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2982161F-8B0F-4BF0-96B1-F568E1B41CFE}" xr6:coauthVersionLast="47" xr6:coauthVersionMax="47" xr10:uidLastSave="{00000000-0000-0000-0000-000000000000}"/>
  <bookViews>
    <workbookView xWindow="-25320" yWindow="345" windowWidth="25440" windowHeight="15270" xr2:uid="{319F3407-3719-4A24-8605-5F908195D115}"/>
  </bookViews>
  <sheets>
    <sheet name="Contents" sheetId="9" r:id="rId1"/>
    <sheet name="Men's Structure" sheetId="2" r:id="rId2"/>
    <sheet name="Women's Structure" sheetId="12" r:id="rId3"/>
    <sheet name="All Fixtures" sheetId="50" r:id="rId4"/>
    <sheet name="MPrem" sheetId="10" r:id="rId5"/>
    <sheet name="M1" sheetId="14" r:id="rId6"/>
    <sheet name="M2" sheetId="13" r:id="rId7"/>
    <sheet name="M3N" sheetId="15" r:id="rId8"/>
    <sheet name="M3S" sheetId="16" r:id="rId9"/>
    <sheet name="M4E" sheetId="17" r:id="rId10"/>
    <sheet name="M4N" sheetId="19" r:id="rId11"/>
    <sheet name="M4W" sheetId="20" r:id="rId12"/>
    <sheet name="M5E" sheetId="18" r:id="rId13"/>
    <sheet name="M5N" sheetId="27" state="hidden" r:id="rId14"/>
    <sheet name="M5SC" sheetId="21" r:id="rId15"/>
    <sheet name="M5WN" sheetId="23" r:id="rId16"/>
    <sheet name="M5WS" sheetId="24" r:id="rId17"/>
    <sheet name="M6E" sheetId="22" r:id="rId18"/>
    <sheet name="M6WS" sheetId="26" r:id="rId19"/>
    <sheet name="M6SC" sheetId="25" r:id="rId20"/>
    <sheet name="M7E" sheetId="28" r:id="rId21"/>
    <sheet name="M67E x3" sheetId="51" state="hidden" r:id="rId22"/>
    <sheet name="M7SC" sheetId="29" r:id="rId23"/>
    <sheet name="WPrem" sheetId="30" r:id="rId24"/>
    <sheet name="W1" sheetId="31" r:id="rId25"/>
    <sheet name="W2N" sheetId="32" r:id="rId26"/>
    <sheet name="W2S" sheetId="33" r:id="rId27"/>
    <sheet name="W3S" sheetId="52" r:id="rId28"/>
    <sheet name="W3N" sheetId="36" r:id="rId29"/>
    <sheet name="W5SC" sheetId="38" r:id="rId30"/>
    <sheet name="W3NC" sheetId="35" r:id="rId31"/>
    <sheet name="W4E" sheetId="34" r:id="rId32"/>
    <sheet name="W4NC" sheetId="40" r:id="rId33"/>
    <sheet name="W4W" sheetId="37" r:id="rId34"/>
    <sheet name="W5E" sheetId="39" r:id="rId35"/>
    <sheet name="W5NC" sheetId="43" r:id="rId36"/>
    <sheet name="W5W" sheetId="41" r:id="rId37"/>
    <sheet name="W6E" sheetId="42" r:id="rId38"/>
    <sheet name="W6SC" sheetId="44" r:id="rId39"/>
    <sheet name="W6WN" sheetId="45" r:id="rId40"/>
    <sheet name="W6WS" sheetId="46" r:id="rId41"/>
    <sheet name="W7E" sheetId="47" r:id="rId42"/>
    <sheet name="W7SC" sheetId="48" r:id="rId43"/>
  </sheets>
  <definedNames>
    <definedName name="_xlnm._FilterDatabase" localSheetId="3" hidden="1">'All Fixtures'!$A$11:$AR$11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9" l="1"/>
  <c r="D20" i="15"/>
  <c r="D15" i="15"/>
  <c r="L15" i="48"/>
  <c r="L14" i="48"/>
  <c r="L13" i="48"/>
  <c r="L12" i="48"/>
  <c r="L11" i="48"/>
  <c r="L10" i="48"/>
  <c r="J15" i="48"/>
  <c r="J14" i="48"/>
  <c r="J13" i="48"/>
  <c r="J12" i="48"/>
  <c r="J11" i="48"/>
  <c r="J10" i="48"/>
  <c r="K15" i="48"/>
  <c r="K14" i="48"/>
  <c r="K13" i="48"/>
  <c r="K12" i="48"/>
  <c r="K11" i="48"/>
  <c r="K10" i="48"/>
  <c r="I15" i="48"/>
  <c r="I14" i="48"/>
  <c r="I13" i="48"/>
  <c r="I10" i="48"/>
  <c r="I12" i="48"/>
  <c r="I11" i="48"/>
  <c r="D15" i="48"/>
  <c r="D14" i="48"/>
  <c r="D13" i="48"/>
  <c r="D12" i="48"/>
  <c r="D11" i="48"/>
  <c r="D10" i="48"/>
  <c r="F10" i="48"/>
  <c r="H15" i="48"/>
  <c r="H14" i="48"/>
  <c r="H13" i="48"/>
  <c r="H12" i="48"/>
  <c r="H11" i="48"/>
  <c r="H10" i="48"/>
  <c r="F15" i="48"/>
  <c r="F14" i="48"/>
  <c r="F13" i="48"/>
  <c r="F12" i="48"/>
  <c r="F11" i="48"/>
  <c r="A15" i="48"/>
  <c r="A14" i="48"/>
  <c r="A13" i="48"/>
  <c r="A12" i="48"/>
  <c r="A11" i="48"/>
  <c r="A10" i="48"/>
  <c r="L21" i="47" l="1"/>
  <c r="K21" i="47"/>
  <c r="J21" i="47"/>
  <c r="I21" i="47"/>
  <c r="H21" i="47"/>
  <c r="F21" i="47"/>
  <c r="A21" i="47"/>
  <c r="L20" i="47"/>
  <c r="K20" i="47"/>
  <c r="J20" i="47"/>
  <c r="I20" i="47"/>
  <c r="L19" i="47"/>
  <c r="K19" i="47"/>
  <c r="J19" i="47"/>
  <c r="I19" i="47"/>
  <c r="L18" i="47"/>
  <c r="K18" i="47"/>
  <c r="J18" i="47"/>
  <c r="I18" i="47"/>
  <c r="H18" i="47"/>
  <c r="F18" i="47"/>
  <c r="A18" i="47"/>
  <c r="L17" i="47"/>
  <c r="K17" i="47"/>
  <c r="J17" i="47"/>
  <c r="I17" i="47"/>
  <c r="L16" i="47"/>
  <c r="K16" i="47"/>
  <c r="J16" i="47"/>
  <c r="I16" i="47"/>
  <c r="L15" i="47"/>
  <c r="K15" i="47"/>
  <c r="J15" i="47"/>
  <c r="I15" i="47"/>
  <c r="L14" i="47"/>
  <c r="K14" i="47"/>
  <c r="J14" i="47"/>
  <c r="I14" i="47"/>
  <c r="L13" i="47"/>
  <c r="K13" i="47"/>
  <c r="J13" i="47"/>
  <c r="I13" i="47"/>
  <c r="L12" i="47"/>
  <c r="K12" i="47"/>
  <c r="J12" i="47"/>
  <c r="I12" i="47"/>
  <c r="L11" i="47"/>
  <c r="K11" i="47"/>
  <c r="J11" i="47"/>
  <c r="I11" i="47"/>
  <c r="L10" i="47"/>
  <c r="K10" i="47"/>
  <c r="J10" i="47"/>
  <c r="I10" i="47"/>
  <c r="H20" i="47"/>
  <c r="H19" i="47"/>
  <c r="H17" i="47"/>
  <c r="H16" i="47"/>
  <c r="H15" i="47"/>
  <c r="H14" i="47"/>
  <c r="H13" i="47"/>
  <c r="H12" i="47"/>
  <c r="H11" i="47"/>
  <c r="H10" i="47"/>
  <c r="A12" i="47"/>
  <c r="F12" i="47"/>
  <c r="D21" i="47"/>
  <c r="D20" i="47"/>
  <c r="D19" i="47"/>
  <c r="D18" i="47"/>
  <c r="D17" i="47"/>
  <c r="D16" i="47"/>
  <c r="D15" i="47"/>
  <c r="D14" i="47"/>
  <c r="D12" i="47"/>
  <c r="D11" i="47"/>
  <c r="D13" i="47"/>
  <c r="D10" i="47"/>
  <c r="L12" i="33"/>
  <c r="K12" i="33"/>
  <c r="J12" i="33"/>
  <c r="I12" i="33"/>
  <c r="H12" i="33"/>
  <c r="F12" i="33"/>
  <c r="A12" i="33"/>
  <c r="F14" i="47"/>
  <c r="A14" i="47"/>
  <c r="F20" i="47"/>
  <c r="F19" i="47"/>
  <c r="F17" i="47"/>
  <c r="F16" i="47"/>
  <c r="F15" i="47"/>
  <c r="F11" i="47"/>
  <c r="F13" i="47"/>
  <c r="F10" i="47"/>
  <c r="A17" i="47"/>
  <c r="A16" i="47"/>
  <c r="A15" i="47"/>
  <c r="A11" i="47"/>
  <c r="A13" i="47"/>
  <c r="A20" i="47"/>
  <c r="A19" i="47"/>
  <c r="A10" i="47"/>
  <c r="A10" i="41"/>
  <c r="L21" i="46"/>
  <c r="K21" i="46"/>
  <c r="J21" i="46"/>
  <c r="I21" i="46"/>
  <c r="L20" i="46"/>
  <c r="K20" i="46"/>
  <c r="J20" i="46"/>
  <c r="I20" i="46"/>
  <c r="L19" i="46"/>
  <c r="K19" i="46"/>
  <c r="J19" i="46"/>
  <c r="I19" i="46"/>
  <c r="L18" i="46"/>
  <c r="K18" i="46"/>
  <c r="J18" i="46"/>
  <c r="I18" i="46"/>
  <c r="L17" i="46"/>
  <c r="K17" i="46"/>
  <c r="J17" i="46"/>
  <c r="I17" i="46"/>
  <c r="L16" i="46"/>
  <c r="K16" i="46"/>
  <c r="J16" i="46"/>
  <c r="I16" i="46"/>
  <c r="L15" i="46"/>
  <c r="K15" i="46"/>
  <c r="J15" i="46"/>
  <c r="I15" i="46"/>
  <c r="L14" i="46"/>
  <c r="K14" i="46"/>
  <c r="J14" i="46"/>
  <c r="I14" i="46"/>
  <c r="L13" i="46"/>
  <c r="K13" i="46"/>
  <c r="J13" i="46"/>
  <c r="I13" i="46"/>
  <c r="L12" i="46"/>
  <c r="K12" i="46"/>
  <c r="J12" i="46"/>
  <c r="I12" i="46"/>
  <c r="L11" i="46"/>
  <c r="K11" i="46"/>
  <c r="J11" i="46"/>
  <c r="I11" i="46"/>
  <c r="L10" i="46"/>
  <c r="K10" i="46"/>
  <c r="J10" i="46"/>
  <c r="I10" i="46"/>
  <c r="H21" i="46"/>
  <c r="H20" i="46"/>
  <c r="H19" i="46"/>
  <c r="H18" i="46"/>
  <c r="H17" i="46"/>
  <c r="H16" i="46"/>
  <c r="H15" i="46"/>
  <c r="H14" i="46"/>
  <c r="H13" i="46"/>
  <c r="H12" i="46"/>
  <c r="H11" i="46"/>
  <c r="H10" i="46"/>
  <c r="F19" i="46"/>
  <c r="F18" i="46"/>
  <c r="F15" i="46"/>
  <c r="F13" i="46"/>
  <c r="A19" i="46"/>
  <c r="A18" i="46"/>
  <c r="F16" i="46"/>
  <c r="A16" i="46"/>
  <c r="A15" i="46"/>
  <c r="A13" i="46"/>
  <c r="D19" i="46"/>
  <c r="D18" i="46"/>
  <c r="D16" i="46"/>
  <c r="D13" i="46"/>
  <c r="D10" i="46"/>
  <c r="F21" i="46"/>
  <c r="F20" i="46"/>
  <c r="F17" i="46"/>
  <c r="F14" i="46"/>
  <c r="F12" i="46"/>
  <c r="F11" i="46"/>
  <c r="F10" i="46"/>
  <c r="D21" i="46"/>
  <c r="D20" i="46"/>
  <c r="D17" i="46"/>
  <c r="D15" i="46"/>
  <c r="D14" i="46"/>
  <c r="D12" i="46"/>
  <c r="D11" i="46"/>
  <c r="A21" i="46"/>
  <c r="A20" i="46"/>
  <c r="A17" i="46"/>
  <c r="A14" i="46"/>
  <c r="A12" i="46"/>
  <c r="A11" i="46"/>
  <c r="A10" i="46"/>
  <c r="D20" i="45"/>
  <c r="D12" i="45"/>
  <c r="D10" i="45"/>
  <c r="L19" i="45"/>
  <c r="K19" i="45"/>
  <c r="J19" i="45"/>
  <c r="I19" i="45"/>
  <c r="H21" i="45"/>
  <c r="H20" i="45"/>
  <c r="H19" i="45"/>
  <c r="H18" i="45"/>
  <c r="H17" i="45"/>
  <c r="H16" i="45"/>
  <c r="H15" i="45"/>
  <c r="H14" i="45"/>
  <c r="H13" i="45"/>
  <c r="H12" i="45"/>
  <c r="H11" i="45"/>
  <c r="H10" i="45"/>
  <c r="F19" i="45"/>
  <c r="L21" i="45"/>
  <c r="K21" i="45"/>
  <c r="J21" i="45"/>
  <c r="I21" i="45"/>
  <c r="L20" i="45"/>
  <c r="K20" i="45"/>
  <c r="J20" i="45"/>
  <c r="I20" i="45"/>
  <c r="F20" i="45"/>
  <c r="A20" i="45"/>
  <c r="L18" i="45"/>
  <c r="K18" i="45"/>
  <c r="J18" i="45"/>
  <c r="I18" i="45"/>
  <c r="A19" i="45"/>
  <c r="L17" i="45"/>
  <c r="K17" i="45"/>
  <c r="J17" i="45"/>
  <c r="I17" i="45"/>
  <c r="L16" i="45"/>
  <c r="K16" i="45"/>
  <c r="J16" i="45"/>
  <c r="I16" i="45"/>
  <c r="L15" i="45"/>
  <c r="K15" i="45"/>
  <c r="J15" i="45"/>
  <c r="I15" i="45"/>
  <c r="L14" i="45"/>
  <c r="K14" i="45"/>
  <c r="J14" i="45"/>
  <c r="I14" i="45"/>
  <c r="L13" i="45"/>
  <c r="K13" i="45"/>
  <c r="J13" i="45"/>
  <c r="I13" i="45"/>
  <c r="L12" i="45"/>
  <c r="K12" i="45"/>
  <c r="J12" i="45"/>
  <c r="I12" i="45"/>
  <c r="F12" i="45"/>
  <c r="A12" i="45"/>
  <c r="L11" i="45"/>
  <c r="K11" i="45"/>
  <c r="J11" i="45"/>
  <c r="I11" i="45"/>
  <c r="L10" i="45"/>
  <c r="K10" i="45"/>
  <c r="J10" i="45"/>
  <c r="I10" i="45"/>
  <c r="F10" i="45"/>
  <c r="A10" i="45"/>
  <c r="F21" i="45"/>
  <c r="F18" i="45"/>
  <c r="F17" i="45"/>
  <c r="F16" i="45"/>
  <c r="F15" i="45"/>
  <c r="F14" i="45"/>
  <c r="F13" i="45"/>
  <c r="F11" i="45"/>
  <c r="D21" i="45"/>
  <c r="D19" i="45"/>
  <c r="D18" i="45"/>
  <c r="D17" i="45"/>
  <c r="D16" i="45"/>
  <c r="D15" i="45"/>
  <c r="D14" i="45"/>
  <c r="D13" i="45"/>
  <c r="D11" i="45"/>
  <c r="A21" i="45"/>
  <c r="A18" i="45"/>
  <c r="A17" i="45"/>
  <c r="A16" i="45"/>
  <c r="A15" i="45"/>
  <c r="A14" i="45"/>
  <c r="A13" i="45"/>
  <c r="A11" i="45"/>
  <c r="L18" i="44"/>
  <c r="K18" i="44"/>
  <c r="J18" i="44"/>
  <c r="I18" i="44"/>
  <c r="L17" i="44"/>
  <c r="K17" i="44"/>
  <c r="J17" i="44"/>
  <c r="I17" i="44"/>
  <c r="H19" i="44"/>
  <c r="H18" i="44"/>
  <c r="H17" i="44"/>
  <c r="H16" i="44"/>
  <c r="H15" i="44"/>
  <c r="H14" i="44"/>
  <c r="H13" i="44"/>
  <c r="H12" i="44"/>
  <c r="H11" i="44"/>
  <c r="H10" i="44"/>
  <c r="L19" i="44"/>
  <c r="K19" i="44"/>
  <c r="J19" i="44"/>
  <c r="I19" i="44"/>
  <c r="F19" i="44"/>
  <c r="A19" i="44"/>
  <c r="D19" i="44"/>
  <c r="D18" i="44"/>
  <c r="D17" i="44"/>
  <c r="D16" i="44"/>
  <c r="D15" i="44"/>
  <c r="D14" i="44"/>
  <c r="D13" i="44"/>
  <c r="D12" i="44"/>
  <c r="L16" i="44"/>
  <c r="K16" i="44"/>
  <c r="J16" i="44"/>
  <c r="I16" i="44"/>
  <c r="F16" i="44"/>
  <c r="A16" i="44"/>
  <c r="L15" i="44"/>
  <c r="K15" i="44"/>
  <c r="J15" i="44"/>
  <c r="I15" i="44"/>
  <c r="L14" i="44"/>
  <c r="K14" i="44"/>
  <c r="J14" i="44"/>
  <c r="I14" i="44"/>
  <c r="L12" i="44"/>
  <c r="K12" i="44"/>
  <c r="J12" i="44"/>
  <c r="I12" i="44"/>
  <c r="L11" i="44"/>
  <c r="K11" i="44"/>
  <c r="J11" i="44"/>
  <c r="I11" i="44"/>
  <c r="L10" i="44"/>
  <c r="K10" i="44"/>
  <c r="J10" i="44"/>
  <c r="I10" i="44"/>
  <c r="A10" i="44"/>
  <c r="L13" i="44"/>
  <c r="K13" i="44"/>
  <c r="J13" i="44"/>
  <c r="I13" i="44"/>
  <c r="F13" i="44"/>
  <c r="A13" i="44"/>
  <c r="F18" i="44"/>
  <c r="F17" i="44"/>
  <c r="F15" i="44"/>
  <c r="F14" i="44"/>
  <c r="F12" i="44"/>
  <c r="F11" i="44"/>
  <c r="F10" i="44"/>
  <c r="D11" i="44"/>
  <c r="D10" i="44"/>
  <c r="A18" i="44"/>
  <c r="A17" i="44"/>
  <c r="A15" i="44"/>
  <c r="A14" i="44"/>
  <c r="A12" i="44"/>
  <c r="A11" i="44"/>
  <c r="D19" i="42"/>
  <c r="D18" i="42"/>
  <c r="D17" i="42"/>
  <c r="D16" i="42"/>
  <c r="D15" i="42"/>
  <c r="D14" i="42"/>
  <c r="D13" i="42"/>
  <c r="D12" i="42"/>
  <c r="D11" i="42"/>
  <c r="D10" i="42"/>
  <c r="L19" i="42"/>
  <c r="K19" i="42"/>
  <c r="J19" i="42"/>
  <c r="I19" i="42"/>
  <c r="H19" i="42"/>
  <c r="F19" i="42"/>
  <c r="A19" i="42"/>
  <c r="L18" i="42"/>
  <c r="K18" i="42"/>
  <c r="J18" i="42"/>
  <c r="I18" i="42"/>
  <c r="H18" i="42"/>
  <c r="F18" i="42"/>
  <c r="A18" i="42"/>
  <c r="L17" i="41"/>
  <c r="K17" i="41"/>
  <c r="J17" i="41"/>
  <c r="I17" i="41"/>
  <c r="H17" i="41"/>
  <c r="F17" i="41"/>
  <c r="A17" i="41"/>
  <c r="L17" i="42"/>
  <c r="K17" i="42"/>
  <c r="J17" i="42"/>
  <c r="I17" i="42"/>
  <c r="L16" i="42"/>
  <c r="K16" i="42"/>
  <c r="J16" i="42"/>
  <c r="I16" i="42"/>
  <c r="H15" i="42"/>
  <c r="F15" i="42"/>
  <c r="A15" i="42"/>
  <c r="J15" i="42"/>
  <c r="L15" i="42"/>
  <c r="K15" i="42"/>
  <c r="I15" i="42"/>
  <c r="L14" i="42"/>
  <c r="K14" i="42"/>
  <c r="J14" i="42"/>
  <c r="I14" i="42"/>
  <c r="H14" i="42"/>
  <c r="F14" i="42"/>
  <c r="A14" i="42"/>
  <c r="L13" i="42"/>
  <c r="K13" i="42"/>
  <c r="J13" i="42"/>
  <c r="I13" i="42"/>
  <c r="H13" i="42"/>
  <c r="F13" i="42"/>
  <c r="A13" i="42"/>
  <c r="L12" i="42"/>
  <c r="K12" i="42"/>
  <c r="J12" i="42"/>
  <c r="I12" i="42"/>
  <c r="H12" i="42"/>
  <c r="F12" i="42"/>
  <c r="A12" i="42"/>
  <c r="L11" i="42"/>
  <c r="K11" i="42"/>
  <c r="J11" i="42"/>
  <c r="I11" i="42"/>
  <c r="H11" i="42"/>
  <c r="F11" i="42"/>
  <c r="A11" i="42"/>
  <c r="L10" i="42"/>
  <c r="K10" i="42"/>
  <c r="J10" i="42"/>
  <c r="I10" i="42"/>
  <c r="H10" i="42"/>
  <c r="F10" i="42"/>
  <c r="A10" i="42"/>
  <c r="H17" i="42"/>
  <c r="H16" i="42"/>
  <c r="L21" i="41"/>
  <c r="K21" i="41"/>
  <c r="J21" i="41"/>
  <c r="I21" i="41"/>
  <c r="L20" i="41"/>
  <c r="K20" i="41"/>
  <c r="J20" i="41"/>
  <c r="I20" i="41"/>
  <c r="H20" i="41"/>
  <c r="F20" i="41"/>
  <c r="H21" i="41"/>
  <c r="H19" i="41"/>
  <c r="H18" i="41"/>
  <c r="H16" i="41"/>
  <c r="H15" i="41"/>
  <c r="H14" i="41"/>
  <c r="H13" i="41"/>
  <c r="H12" i="41"/>
  <c r="H11" i="41"/>
  <c r="H10" i="41"/>
  <c r="L19" i="41"/>
  <c r="K19" i="41"/>
  <c r="J19" i="41"/>
  <c r="I19" i="41"/>
  <c r="L18" i="41"/>
  <c r="K18" i="41"/>
  <c r="J18" i="41"/>
  <c r="I18" i="41"/>
  <c r="L16" i="41"/>
  <c r="K16" i="41"/>
  <c r="J16" i="41"/>
  <c r="I16" i="41"/>
  <c r="F16" i="41"/>
  <c r="A16" i="41"/>
  <c r="L15" i="41"/>
  <c r="K15" i="41"/>
  <c r="J15" i="41"/>
  <c r="I15" i="41"/>
  <c r="L14" i="41"/>
  <c r="K14" i="41"/>
  <c r="J14" i="41"/>
  <c r="I14" i="41"/>
  <c r="L13" i="41"/>
  <c r="K13" i="41"/>
  <c r="J13" i="41"/>
  <c r="I13" i="41"/>
  <c r="L11" i="41"/>
  <c r="K11" i="41"/>
  <c r="J11" i="41"/>
  <c r="I11" i="41"/>
  <c r="L10" i="41"/>
  <c r="K10" i="41"/>
  <c r="J10" i="41"/>
  <c r="I10" i="41"/>
  <c r="L12" i="41"/>
  <c r="K12" i="41"/>
  <c r="J12" i="41"/>
  <c r="I12" i="41"/>
  <c r="F12" i="41"/>
  <c r="A12" i="41"/>
  <c r="D17" i="41"/>
  <c r="D16" i="41"/>
  <c r="D12" i="41"/>
  <c r="A11" i="41"/>
  <c r="A13" i="41"/>
  <c r="A14" i="41"/>
  <c r="A15" i="41"/>
  <c r="A18" i="41"/>
  <c r="A19" i="41"/>
  <c r="A20" i="41"/>
  <c r="A21" i="41"/>
  <c r="H11" i="38"/>
  <c r="F11" i="38"/>
  <c r="A11" i="38"/>
  <c r="L11" i="38"/>
  <c r="K11" i="38"/>
  <c r="J11" i="38"/>
  <c r="I11" i="38"/>
  <c r="L15" i="38"/>
  <c r="K15" i="38"/>
  <c r="J15" i="38"/>
  <c r="I15" i="38"/>
  <c r="H15" i="38"/>
  <c r="F15" i="38"/>
  <c r="A15" i="38"/>
  <c r="L19" i="38"/>
  <c r="K19" i="38"/>
  <c r="J19" i="38"/>
  <c r="I19" i="38"/>
  <c r="H19" i="38"/>
  <c r="F19" i="38"/>
  <c r="A19" i="38"/>
  <c r="L14" i="38"/>
  <c r="K14" i="38"/>
  <c r="J14" i="38"/>
  <c r="I14" i="38"/>
  <c r="L13" i="38"/>
  <c r="K13" i="38"/>
  <c r="J13" i="38"/>
  <c r="I13" i="38"/>
  <c r="L21" i="38"/>
  <c r="K21" i="38"/>
  <c r="J21" i="38"/>
  <c r="I21" i="38"/>
  <c r="L16" i="38"/>
  <c r="K16" i="38"/>
  <c r="J16" i="38"/>
  <c r="I16" i="38"/>
  <c r="H16" i="38"/>
  <c r="F16" i="38"/>
  <c r="A16" i="38"/>
  <c r="L20" i="38"/>
  <c r="K20" i="38"/>
  <c r="J20" i="38"/>
  <c r="I20" i="38"/>
  <c r="L18" i="38"/>
  <c r="K18" i="38"/>
  <c r="J18" i="38"/>
  <c r="I18" i="38"/>
  <c r="L17" i="38"/>
  <c r="K17" i="38"/>
  <c r="J17" i="38"/>
  <c r="I17" i="38"/>
  <c r="H17" i="38"/>
  <c r="F17" i="38"/>
  <c r="A17" i="38"/>
  <c r="L12" i="38"/>
  <c r="K12" i="38"/>
  <c r="J12" i="38"/>
  <c r="I12" i="38"/>
  <c r="H12" i="38"/>
  <c r="F12" i="38"/>
  <c r="A12" i="38"/>
  <c r="L10" i="38"/>
  <c r="K10" i="38"/>
  <c r="J10" i="38"/>
  <c r="I10" i="38"/>
  <c r="D21" i="38"/>
  <c r="D20" i="38"/>
  <c r="D19" i="38"/>
  <c r="D18" i="38"/>
  <c r="D17" i="38"/>
  <c r="D16" i="38"/>
  <c r="D15" i="38"/>
  <c r="D13" i="38"/>
  <c r="D12" i="38"/>
  <c r="D11" i="38"/>
  <c r="H21" i="38"/>
  <c r="H20" i="38"/>
  <c r="H18" i="38"/>
  <c r="H14" i="38"/>
  <c r="H13" i="38"/>
  <c r="H10" i="38"/>
  <c r="F17" i="42"/>
  <c r="F16" i="42"/>
  <c r="F21" i="41"/>
  <c r="F19" i="41"/>
  <c r="F18" i="41"/>
  <c r="F15" i="41"/>
  <c r="F14" i="41"/>
  <c r="F13" i="41"/>
  <c r="F11" i="41"/>
  <c r="F10" i="41"/>
  <c r="F21" i="38"/>
  <c r="F20" i="38"/>
  <c r="F18" i="38"/>
  <c r="F14" i="38"/>
  <c r="F13" i="38"/>
  <c r="F10" i="38"/>
  <c r="D21" i="41"/>
  <c r="D20" i="41"/>
  <c r="D19" i="41"/>
  <c r="D18" i="41"/>
  <c r="D15" i="41"/>
  <c r="D14" i="41"/>
  <c r="D13" i="41"/>
  <c r="D11" i="41"/>
  <c r="D10" i="41"/>
  <c r="D14" i="38"/>
  <c r="D10" i="38"/>
  <c r="A17" i="42"/>
  <c r="A16" i="42"/>
  <c r="A21" i="38"/>
  <c r="A20" i="38"/>
  <c r="A18" i="38"/>
  <c r="A14" i="38"/>
  <c r="A13" i="38"/>
  <c r="A10" i="38"/>
  <c r="L18" i="39"/>
  <c r="K18" i="39"/>
  <c r="J18" i="39"/>
  <c r="I18" i="39"/>
  <c r="H18" i="39"/>
  <c r="F18" i="39"/>
  <c r="A18" i="39"/>
  <c r="L16" i="39"/>
  <c r="K16" i="39"/>
  <c r="J16" i="39"/>
  <c r="I16" i="39"/>
  <c r="L17" i="39"/>
  <c r="K17" i="39"/>
  <c r="J17" i="39"/>
  <c r="I17" i="39"/>
  <c r="L20" i="39"/>
  <c r="K20" i="39"/>
  <c r="J20" i="39"/>
  <c r="I20" i="39"/>
  <c r="H20" i="39"/>
  <c r="F20" i="39"/>
  <c r="A20" i="39"/>
  <c r="L21" i="39"/>
  <c r="K21" i="39"/>
  <c r="J21" i="39"/>
  <c r="I21" i="39"/>
  <c r="H21" i="39"/>
  <c r="F21" i="39"/>
  <c r="A21" i="39"/>
  <c r="L19" i="39"/>
  <c r="K19" i="39"/>
  <c r="J19" i="39"/>
  <c r="I19" i="39"/>
  <c r="I12" i="39"/>
  <c r="H12" i="39"/>
  <c r="F12" i="39"/>
  <c r="A12" i="39"/>
  <c r="L14" i="39"/>
  <c r="K14" i="39"/>
  <c r="J14" i="39"/>
  <c r="I14" i="39"/>
  <c r="H14" i="39"/>
  <c r="F14" i="39"/>
  <c r="A14" i="39"/>
  <c r="L13" i="39"/>
  <c r="K13" i="39"/>
  <c r="J13" i="39"/>
  <c r="I13" i="39"/>
  <c r="H13" i="39"/>
  <c r="F13" i="39"/>
  <c r="A13" i="39"/>
  <c r="L15" i="39"/>
  <c r="K15" i="39"/>
  <c r="J15" i="39"/>
  <c r="I15" i="39"/>
  <c r="H15" i="39"/>
  <c r="F15" i="39"/>
  <c r="A15" i="39"/>
  <c r="L12" i="39"/>
  <c r="K12" i="39"/>
  <c r="J12" i="39"/>
  <c r="L11" i="39"/>
  <c r="K11" i="39"/>
  <c r="J11" i="39"/>
  <c r="I11" i="39"/>
  <c r="L10" i="39"/>
  <c r="K10" i="39"/>
  <c r="J10" i="39"/>
  <c r="I10" i="39"/>
  <c r="H10" i="39"/>
  <c r="F10" i="39"/>
  <c r="A10" i="39"/>
  <c r="D21" i="39"/>
  <c r="D20" i="39"/>
  <c r="D19" i="39"/>
  <c r="D18" i="39"/>
  <c r="D15" i="39"/>
  <c r="D14" i="39"/>
  <c r="D13" i="39"/>
  <c r="D12" i="39"/>
  <c r="D11" i="39"/>
  <c r="D10" i="39"/>
  <c r="H19" i="39"/>
  <c r="H17" i="39"/>
  <c r="H16" i="39"/>
  <c r="H11" i="39"/>
  <c r="F19" i="39"/>
  <c r="F17" i="39"/>
  <c r="F16" i="39"/>
  <c r="F11" i="39"/>
  <c r="D17" i="39"/>
  <c r="D16" i="39"/>
  <c r="A19" i="39"/>
  <c r="A17" i="39"/>
  <c r="A16" i="39"/>
  <c r="A11" i="39"/>
  <c r="A10" i="37"/>
  <c r="I20" i="37"/>
  <c r="H20" i="37"/>
  <c r="F20" i="37"/>
  <c r="L21" i="37"/>
  <c r="K21" i="37"/>
  <c r="J21" i="37"/>
  <c r="I21" i="37"/>
  <c r="L20" i="37"/>
  <c r="K20" i="37"/>
  <c r="J20" i="37"/>
  <c r="I19" i="34"/>
  <c r="J19" i="34"/>
  <c r="L19" i="37"/>
  <c r="K19" i="37"/>
  <c r="J19" i="37"/>
  <c r="I19" i="37"/>
  <c r="L18" i="37"/>
  <c r="K18" i="37"/>
  <c r="J18" i="37"/>
  <c r="I18" i="37"/>
  <c r="L17" i="37"/>
  <c r="K17" i="37"/>
  <c r="J17" i="37"/>
  <c r="I17" i="37"/>
  <c r="L16" i="37"/>
  <c r="K16" i="37"/>
  <c r="J16" i="37"/>
  <c r="I16" i="37"/>
  <c r="L15" i="37"/>
  <c r="K15" i="37"/>
  <c r="J15" i="37"/>
  <c r="I15" i="37"/>
  <c r="L14" i="37"/>
  <c r="K14" i="37"/>
  <c r="J14" i="37"/>
  <c r="I14" i="37"/>
  <c r="L13" i="37"/>
  <c r="K13" i="37"/>
  <c r="J13" i="37"/>
  <c r="I13" i="37"/>
  <c r="L12" i="37"/>
  <c r="K12" i="37"/>
  <c r="J12" i="37"/>
  <c r="I12" i="37"/>
  <c r="L11" i="37"/>
  <c r="K11" i="37"/>
  <c r="J11" i="37"/>
  <c r="I11" i="37"/>
  <c r="L10" i="37"/>
  <c r="K10" i="37"/>
  <c r="J10" i="37"/>
  <c r="I10" i="37"/>
  <c r="D19" i="37"/>
  <c r="D18" i="37"/>
  <c r="D17" i="37"/>
  <c r="D13" i="37"/>
  <c r="H21" i="37"/>
  <c r="H19" i="37"/>
  <c r="H18" i="37"/>
  <c r="H17" i="37"/>
  <c r="H16" i="37"/>
  <c r="H15" i="37"/>
  <c r="H14" i="37"/>
  <c r="H13" i="37"/>
  <c r="H12" i="37"/>
  <c r="H11" i="37"/>
  <c r="H10" i="37"/>
  <c r="F19" i="37"/>
  <c r="A19" i="37"/>
  <c r="F18" i="37"/>
  <c r="A18" i="37"/>
  <c r="F17" i="37"/>
  <c r="A17" i="37"/>
  <c r="F13" i="37"/>
  <c r="A13" i="37"/>
  <c r="K10" i="43"/>
  <c r="I10" i="40"/>
  <c r="J13" i="40"/>
  <c r="D10" i="43"/>
  <c r="F10" i="43"/>
  <c r="L10" i="40"/>
  <c r="K10" i="40"/>
  <c r="J10" i="40"/>
  <c r="H10" i="40"/>
  <c r="F10" i="40"/>
  <c r="I10" i="35"/>
  <c r="L19" i="29"/>
  <c r="L18" i="29"/>
  <c r="L17" i="29"/>
  <c r="L16" i="29"/>
  <c r="L15" i="29"/>
  <c r="L14" i="29"/>
  <c r="L13" i="29"/>
  <c r="L12" i="29"/>
  <c r="L11" i="29"/>
  <c r="L10" i="29"/>
  <c r="J19" i="29"/>
  <c r="J18" i="29"/>
  <c r="J17" i="29"/>
  <c r="J16" i="29"/>
  <c r="J15" i="29"/>
  <c r="J14" i="29"/>
  <c r="J13" i="29"/>
  <c r="J12" i="29"/>
  <c r="J11" i="29"/>
  <c r="J10" i="29"/>
  <c r="K10" i="29"/>
  <c r="K19" i="29"/>
  <c r="K18" i="29"/>
  <c r="K17" i="29"/>
  <c r="K16" i="29"/>
  <c r="K15" i="29"/>
  <c r="K14" i="29"/>
  <c r="K13" i="29"/>
  <c r="K12" i="29"/>
  <c r="K11" i="29"/>
  <c r="I19" i="29"/>
  <c r="I18" i="29"/>
  <c r="I17" i="29"/>
  <c r="I16" i="29"/>
  <c r="I15" i="29"/>
  <c r="I14" i="29"/>
  <c r="I13" i="29"/>
  <c r="I12" i="29"/>
  <c r="I11" i="29"/>
  <c r="I10" i="29"/>
  <c r="A10" i="29"/>
  <c r="K10" i="26"/>
  <c r="J10" i="26"/>
  <c r="I10" i="26"/>
  <c r="L17" i="43"/>
  <c r="L16" i="43"/>
  <c r="L15" i="43"/>
  <c r="L14" i="43"/>
  <c r="L13" i="43"/>
  <c r="L12" i="43"/>
  <c r="L11" i="43"/>
  <c r="L10" i="43"/>
  <c r="J17" i="43"/>
  <c r="J16" i="43"/>
  <c r="J15" i="43"/>
  <c r="J14" i="43"/>
  <c r="J13" i="43"/>
  <c r="J12" i="43"/>
  <c r="J11" i="43"/>
  <c r="J10" i="43"/>
  <c r="K17" i="43"/>
  <c r="K16" i="43"/>
  <c r="K15" i="43"/>
  <c r="K14" i="43"/>
  <c r="K13" i="43"/>
  <c r="K12" i="43"/>
  <c r="K11" i="43"/>
  <c r="I17" i="43"/>
  <c r="I16" i="43"/>
  <c r="I15" i="43"/>
  <c r="I14" i="43"/>
  <c r="I13" i="43"/>
  <c r="I12" i="43"/>
  <c r="I11" i="43"/>
  <c r="I10" i="43"/>
  <c r="H17" i="43"/>
  <c r="H16" i="43"/>
  <c r="H15" i="43"/>
  <c r="H14" i="43"/>
  <c r="H13" i="43"/>
  <c r="H12" i="43"/>
  <c r="H11" i="43"/>
  <c r="H10" i="43"/>
  <c r="F17" i="43"/>
  <c r="F16" i="43"/>
  <c r="F15" i="43"/>
  <c r="F14" i="43"/>
  <c r="F13" i="43"/>
  <c r="F12" i="43"/>
  <c r="F11" i="43"/>
  <c r="D17" i="43"/>
  <c r="D16" i="43"/>
  <c r="D15" i="43"/>
  <c r="D14" i="43"/>
  <c r="D13" i="43"/>
  <c r="D12" i="43"/>
  <c r="D11" i="43"/>
  <c r="A17" i="43"/>
  <c r="A16" i="43"/>
  <c r="A15" i="43"/>
  <c r="A14" i="43"/>
  <c r="A13" i="43"/>
  <c r="A12" i="43"/>
  <c r="A11" i="43"/>
  <c r="A10" i="43"/>
  <c r="A10" i="40"/>
  <c r="I13" i="34"/>
  <c r="H13" i="34"/>
  <c r="F13" i="34"/>
  <c r="H21" i="35"/>
  <c r="H20" i="35"/>
  <c r="H19" i="35"/>
  <c r="H18" i="35"/>
  <c r="H17" i="35"/>
  <c r="H16" i="35"/>
  <c r="H15" i="35"/>
  <c r="H14" i="35"/>
  <c r="H13" i="35"/>
  <c r="H12" i="35"/>
  <c r="H11" i="35"/>
  <c r="H10" i="35"/>
  <c r="H21" i="36"/>
  <c r="H20" i="36"/>
  <c r="H19" i="36"/>
  <c r="H18" i="36"/>
  <c r="H17" i="36"/>
  <c r="H16" i="36"/>
  <c r="H15" i="36"/>
  <c r="H14" i="36"/>
  <c r="H13" i="36"/>
  <c r="H12" i="36"/>
  <c r="H11" i="36"/>
  <c r="H10" i="36"/>
  <c r="H21" i="52"/>
  <c r="H20" i="52"/>
  <c r="H19" i="52"/>
  <c r="H18" i="52"/>
  <c r="H17" i="52"/>
  <c r="H16" i="52"/>
  <c r="H15" i="52"/>
  <c r="H14" i="52"/>
  <c r="H13" i="52"/>
  <c r="H12" i="52"/>
  <c r="H11" i="52"/>
  <c r="H10" i="52"/>
  <c r="H21" i="33"/>
  <c r="H20" i="33"/>
  <c r="H19" i="33"/>
  <c r="H18" i="33"/>
  <c r="H17" i="33"/>
  <c r="H16" i="33"/>
  <c r="H15" i="33"/>
  <c r="H14" i="33"/>
  <c r="H13" i="33"/>
  <c r="H11" i="33"/>
  <c r="H10" i="33"/>
  <c r="H21" i="32"/>
  <c r="H20" i="32"/>
  <c r="H19" i="32"/>
  <c r="H18" i="32"/>
  <c r="H17" i="32"/>
  <c r="H16" i="32"/>
  <c r="H15" i="32"/>
  <c r="H14" i="32"/>
  <c r="H13" i="32"/>
  <c r="H12" i="32"/>
  <c r="H11" i="32"/>
  <c r="H10" i="32"/>
  <c r="H21" i="31"/>
  <c r="H20" i="31"/>
  <c r="H19" i="31"/>
  <c r="H18" i="31"/>
  <c r="H17" i="31"/>
  <c r="H16" i="31"/>
  <c r="H15" i="31"/>
  <c r="H14" i="31"/>
  <c r="H13" i="31"/>
  <c r="H12" i="31"/>
  <c r="H11" i="31"/>
  <c r="H10" i="31"/>
  <c r="H21" i="30"/>
  <c r="H20" i="30"/>
  <c r="H19" i="30"/>
  <c r="H18" i="30"/>
  <c r="H17" i="30"/>
  <c r="H16" i="30"/>
  <c r="H15" i="30"/>
  <c r="H14" i="30"/>
  <c r="H13" i="30"/>
  <c r="H12" i="30"/>
  <c r="H11" i="30"/>
  <c r="H10" i="30"/>
  <c r="F21" i="30"/>
  <c r="F20" i="30"/>
  <c r="F19" i="30"/>
  <c r="F18" i="30"/>
  <c r="F17" i="30"/>
  <c r="F16" i="30"/>
  <c r="F15" i="30"/>
  <c r="F14" i="30"/>
  <c r="F13" i="30"/>
  <c r="F12" i="30"/>
  <c r="F11" i="30"/>
  <c r="F10" i="30"/>
  <c r="F10" i="28"/>
  <c r="H19" i="34"/>
  <c r="F19" i="34"/>
  <c r="D15" i="34"/>
  <c r="D21" i="34"/>
  <c r="D20" i="34"/>
  <c r="D19" i="34"/>
  <c r="D18" i="34"/>
  <c r="D17" i="34"/>
  <c r="D16" i="34"/>
  <c r="D14" i="34"/>
  <c r="D13" i="34"/>
  <c r="D12" i="34"/>
  <c r="D11" i="34"/>
  <c r="D10" i="34"/>
  <c r="J21" i="34"/>
  <c r="J20" i="34"/>
  <c r="J18" i="34"/>
  <c r="J17" i="34"/>
  <c r="J16" i="34"/>
  <c r="J15" i="34"/>
  <c r="J14" i="34"/>
  <c r="J13" i="34"/>
  <c r="J12" i="34"/>
  <c r="J11" i="34"/>
  <c r="J10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21" i="35"/>
  <c r="K20" i="35"/>
  <c r="K19" i="35"/>
  <c r="K18" i="35"/>
  <c r="K17" i="35"/>
  <c r="K16" i="35"/>
  <c r="K15" i="35"/>
  <c r="K14" i="35"/>
  <c r="K13" i="35"/>
  <c r="K12" i="35"/>
  <c r="K11" i="35"/>
  <c r="K10" i="35"/>
  <c r="J21" i="35"/>
  <c r="J20" i="35"/>
  <c r="J19" i="35"/>
  <c r="J18" i="35"/>
  <c r="J17" i="35"/>
  <c r="J16" i="35"/>
  <c r="J15" i="35"/>
  <c r="J14" i="35"/>
  <c r="J13" i="35"/>
  <c r="J12" i="35"/>
  <c r="J11" i="35"/>
  <c r="J10" i="35"/>
  <c r="K21" i="36"/>
  <c r="K20" i="36"/>
  <c r="K19" i="36"/>
  <c r="K18" i="36"/>
  <c r="K17" i="36"/>
  <c r="K16" i="36"/>
  <c r="K15" i="36"/>
  <c r="K14" i="36"/>
  <c r="K13" i="36"/>
  <c r="K12" i="36"/>
  <c r="K11" i="36"/>
  <c r="K10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K21" i="52"/>
  <c r="K20" i="52"/>
  <c r="K19" i="52"/>
  <c r="K18" i="52"/>
  <c r="K17" i="52"/>
  <c r="K16" i="52"/>
  <c r="K15" i="52"/>
  <c r="K14" i="52"/>
  <c r="K13" i="52"/>
  <c r="K12" i="52"/>
  <c r="K11" i="52"/>
  <c r="K10" i="52"/>
  <c r="J21" i="52"/>
  <c r="J20" i="52"/>
  <c r="J19" i="52"/>
  <c r="J18" i="52"/>
  <c r="J17" i="52"/>
  <c r="J16" i="52"/>
  <c r="J15" i="52"/>
  <c r="J14" i="52"/>
  <c r="J13" i="52"/>
  <c r="J12" i="52"/>
  <c r="J11" i="52"/>
  <c r="J10" i="52"/>
  <c r="K21" i="33"/>
  <c r="K20" i="33"/>
  <c r="K19" i="33"/>
  <c r="K18" i="33"/>
  <c r="K17" i="33"/>
  <c r="K16" i="33"/>
  <c r="K15" i="33"/>
  <c r="K14" i="33"/>
  <c r="K13" i="33"/>
  <c r="K11" i="33"/>
  <c r="K10" i="33"/>
  <c r="J21" i="33"/>
  <c r="J20" i="33"/>
  <c r="J19" i="33"/>
  <c r="J18" i="33"/>
  <c r="J17" i="33"/>
  <c r="J16" i="33"/>
  <c r="J15" i="33"/>
  <c r="J14" i="33"/>
  <c r="J13" i="33"/>
  <c r="J11" i="33"/>
  <c r="J10" i="33"/>
  <c r="K21" i="32"/>
  <c r="K20" i="32"/>
  <c r="K19" i="32"/>
  <c r="K18" i="32"/>
  <c r="K17" i="32"/>
  <c r="K16" i="32"/>
  <c r="K15" i="32"/>
  <c r="K14" i="32"/>
  <c r="K13" i="32"/>
  <c r="K12" i="32"/>
  <c r="K11" i="32"/>
  <c r="K10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K21" i="31"/>
  <c r="K20" i="31"/>
  <c r="K19" i="31"/>
  <c r="K18" i="31"/>
  <c r="K17" i="31"/>
  <c r="K16" i="31"/>
  <c r="K15" i="31"/>
  <c r="K14" i="31"/>
  <c r="K13" i="31"/>
  <c r="K12" i="31"/>
  <c r="K11" i="31"/>
  <c r="K10" i="31"/>
  <c r="J21" i="31"/>
  <c r="J20" i="31"/>
  <c r="J19" i="31"/>
  <c r="J18" i="31"/>
  <c r="J17" i="31"/>
  <c r="J16" i="31"/>
  <c r="J15" i="31"/>
  <c r="J14" i="31"/>
  <c r="J13" i="31"/>
  <c r="J12" i="31"/>
  <c r="J11" i="31"/>
  <c r="J10" i="31"/>
  <c r="K21" i="30"/>
  <c r="K20" i="30"/>
  <c r="K19" i="30"/>
  <c r="K18" i="30"/>
  <c r="K17" i="30"/>
  <c r="K16" i="30"/>
  <c r="K15" i="30"/>
  <c r="K14" i="30"/>
  <c r="K13" i="30"/>
  <c r="K12" i="30"/>
  <c r="K11" i="30"/>
  <c r="K10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21" i="28"/>
  <c r="J20" i="28"/>
  <c r="J19" i="28"/>
  <c r="J18" i="28"/>
  <c r="J17" i="28"/>
  <c r="J16" i="28"/>
  <c r="J15" i="28"/>
  <c r="J14" i="28"/>
  <c r="J13" i="28"/>
  <c r="J12" i="28"/>
  <c r="J11" i="28"/>
  <c r="J10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J19" i="25"/>
  <c r="J18" i="25"/>
  <c r="J17" i="25"/>
  <c r="J16" i="25"/>
  <c r="J15" i="25"/>
  <c r="J14" i="25"/>
  <c r="J13" i="25"/>
  <c r="J12" i="25"/>
  <c r="J11" i="25"/>
  <c r="J10" i="25"/>
  <c r="K19" i="25"/>
  <c r="K18" i="25"/>
  <c r="K17" i="25"/>
  <c r="K16" i="25"/>
  <c r="K15" i="25"/>
  <c r="K14" i="25"/>
  <c r="K13" i="25"/>
  <c r="K12" i="25"/>
  <c r="K11" i="25"/>
  <c r="K10" i="25"/>
  <c r="J19" i="26"/>
  <c r="J18" i="26"/>
  <c r="J17" i="26"/>
  <c r="J16" i="26"/>
  <c r="J15" i="26"/>
  <c r="J14" i="26"/>
  <c r="J13" i="26"/>
  <c r="J12" i="26"/>
  <c r="J11" i="26"/>
  <c r="K19" i="26"/>
  <c r="K18" i="26"/>
  <c r="K17" i="26"/>
  <c r="K16" i="26"/>
  <c r="K15" i="26"/>
  <c r="K14" i="26"/>
  <c r="K13" i="26"/>
  <c r="K12" i="26"/>
  <c r="K11" i="26"/>
  <c r="J21" i="22"/>
  <c r="J20" i="22"/>
  <c r="J19" i="22"/>
  <c r="J18" i="22"/>
  <c r="J17" i="22"/>
  <c r="J16" i="22"/>
  <c r="J15" i="22"/>
  <c r="J14" i="22"/>
  <c r="J13" i="22"/>
  <c r="J12" i="22"/>
  <c r="J11" i="22"/>
  <c r="J10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J21" i="24"/>
  <c r="J20" i="24"/>
  <c r="J19" i="24"/>
  <c r="J18" i="24"/>
  <c r="J17" i="24"/>
  <c r="J16" i="24"/>
  <c r="J15" i="24"/>
  <c r="J14" i="24"/>
  <c r="J13" i="24"/>
  <c r="J12" i="24"/>
  <c r="J11" i="24"/>
  <c r="J10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J21" i="23"/>
  <c r="J20" i="23"/>
  <c r="J19" i="23"/>
  <c r="J18" i="23"/>
  <c r="J17" i="23"/>
  <c r="J16" i="23"/>
  <c r="J15" i="23"/>
  <c r="J14" i="23"/>
  <c r="J13" i="23"/>
  <c r="J12" i="23"/>
  <c r="J11" i="23"/>
  <c r="J10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J21" i="21"/>
  <c r="J20" i="21"/>
  <c r="J19" i="21"/>
  <c r="J18" i="21"/>
  <c r="J17" i="21"/>
  <c r="J16" i="21"/>
  <c r="J15" i="21"/>
  <c r="J14" i="21"/>
  <c r="J13" i="21"/>
  <c r="J12" i="21"/>
  <c r="J11" i="21"/>
  <c r="J10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J21" i="18"/>
  <c r="J20" i="18"/>
  <c r="J19" i="18"/>
  <c r="J18" i="18"/>
  <c r="J17" i="18"/>
  <c r="J16" i="18"/>
  <c r="J15" i="18"/>
  <c r="J14" i="18"/>
  <c r="J13" i="18"/>
  <c r="J12" i="18"/>
  <c r="J11" i="18"/>
  <c r="J10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J21" i="20"/>
  <c r="J20" i="20"/>
  <c r="J19" i="20"/>
  <c r="J18" i="20"/>
  <c r="J17" i="20"/>
  <c r="J16" i="20"/>
  <c r="J15" i="20"/>
  <c r="J14" i="20"/>
  <c r="J13" i="20"/>
  <c r="J12" i="20"/>
  <c r="J11" i="20"/>
  <c r="J10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J21" i="19"/>
  <c r="J20" i="19"/>
  <c r="J19" i="19"/>
  <c r="J18" i="19"/>
  <c r="J17" i="19"/>
  <c r="J16" i="19"/>
  <c r="J15" i="19"/>
  <c r="J14" i="19"/>
  <c r="J13" i="19"/>
  <c r="J12" i="19"/>
  <c r="J11" i="19"/>
  <c r="J10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J21" i="17"/>
  <c r="J20" i="17"/>
  <c r="J19" i="17"/>
  <c r="J18" i="17"/>
  <c r="J17" i="17"/>
  <c r="J16" i="17"/>
  <c r="J15" i="17"/>
  <c r="J14" i="17"/>
  <c r="J13" i="17"/>
  <c r="J12" i="17"/>
  <c r="J11" i="17"/>
  <c r="J10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J21" i="16"/>
  <c r="J20" i="16"/>
  <c r="J19" i="16"/>
  <c r="J18" i="16"/>
  <c r="J17" i="16"/>
  <c r="J16" i="16"/>
  <c r="J15" i="16"/>
  <c r="J14" i="16"/>
  <c r="J13" i="16"/>
  <c r="J12" i="16"/>
  <c r="J11" i="16"/>
  <c r="J10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J21" i="15"/>
  <c r="J20" i="15"/>
  <c r="J19" i="15"/>
  <c r="J18" i="15"/>
  <c r="J17" i="15"/>
  <c r="J16" i="15"/>
  <c r="J15" i="15"/>
  <c r="J14" i="15"/>
  <c r="J13" i="15"/>
  <c r="J12" i="15"/>
  <c r="J11" i="15"/>
  <c r="J10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J21" i="13"/>
  <c r="J20" i="13"/>
  <c r="J19" i="13"/>
  <c r="J18" i="13"/>
  <c r="J17" i="13"/>
  <c r="J16" i="13"/>
  <c r="J15" i="13"/>
  <c r="J14" i="13"/>
  <c r="J13" i="13"/>
  <c r="J12" i="13"/>
  <c r="J11" i="13"/>
  <c r="J10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J10" i="14"/>
  <c r="J21" i="14"/>
  <c r="J20" i="14"/>
  <c r="J19" i="14"/>
  <c r="J18" i="14"/>
  <c r="J17" i="14"/>
  <c r="J16" i="14"/>
  <c r="J15" i="14"/>
  <c r="J14" i="14"/>
  <c r="J13" i="14"/>
  <c r="J12" i="14"/>
  <c r="J11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J10" i="10"/>
  <c r="J21" i="10"/>
  <c r="J20" i="10"/>
  <c r="J19" i="10"/>
  <c r="J18" i="10"/>
  <c r="J17" i="10"/>
  <c r="J16" i="10"/>
  <c r="J15" i="10"/>
  <c r="J14" i="10"/>
  <c r="J13" i="10"/>
  <c r="J12" i="10"/>
  <c r="J11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L10" i="10"/>
  <c r="I10" i="10"/>
  <c r="L21" i="34"/>
  <c r="I21" i="34"/>
  <c r="L19" i="34"/>
  <c r="L18" i="34"/>
  <c r="I18" i="34"/>
  <c r="L17" i="34"/>
  <c r="I17" i="34"/>
  <c r="L16" i="34"/>
  <c r="I16" i="34"/>
  <c r="L15" i="34"/>
  <c r="I15" i="34"/>
  <c r="L14" i="34"/>
  <c r="I14" i="34"/>
  <c r="L13" i="34"/>
  <c r="L20" i="34"/>
  <c r="I20" i="34"/>
  <c r="H20" i="34"/>
  <c r="F20" i="34"/>
  <c r="A20" i="34"/>
  <c r="A19" i="34"/>
  <c r="H18" i="34"/>
  <c r="F18" i="34"/>
  <c r="A18" i="34"/>
  <c r="H17" i="34"/>
  <c r="F17" i="34"/>
  <c r="A17" i="34"/>
  <c r="H16" i="34"/>
  <c r="F16" i="34"/>
  <c r="A16" i="34"/>
  <c r="H15" i="34"/>
  <c r="F15" i="34"/>
  <c r="A15" i="34"/>
  <c r="H14" i="34"/>
  <c r="F14" i="34"/>
  <c r="A14" i="34"/>
  <c r="A13" i="34"/>
  <c r="L12" i="34"/>
  <c r="I12" i="34"/>
  <c r="H12" i="34"/>
  <c r="F12" i="34"/>
  <c r="A12" i="34"/>
  <c r="L11" i="34"/>
  <c r="I11" i="34"/>
  <c r="H11" i="34"/>
  <c r="F11" i="34"/>
  <c r="A11" i="34"/>
  <c r="L10" i="34"/>
  <c r="I10" i="34"/>
  <c r="H10" i="34"/>
  <c r="F10" i="34"/>
  <c r="A10" i="34"/>
  <c r="H15" i="29"/>
  <c r="F15" i="29"/>
  <c r="H19" i="29"/>
  <c r="F19" i="29"/>
  <c r="D19" i="29"/>
  <c r="A19" i="29"/>
  <c r="H18" i="29"/>
  <c r="F18" i="29"/>
  <c r="D18" i="29"/>
  <c r="A18" i="29"/>
  <c r="H17" i="29"/>
  <c r="F17" i="29"/>
  <c r="D17" i="29"/>
  <c r="A17" i="29"/>
  <c r="H16" i="29"/>
  <c r="F16" i="29"/>
  <c r="D16" i="29"/>
  <c r="A16" i="29"/>
  <c r="D15" i="29"/>
  <c r="A15" i="29"/>
  <c r="H14" i="29"/>
  <c r="F14" i="29"/>
  <c r="D14" i="29"/>
  <c r="A14" i="29"/>
  <c r="H13" i="29"/>
  <c r="F13" i="29"/>
  <c r="D13" i="29"/>
  <c r="A13" i="29"/>
  <c r="H12" i="29"/>
  <c r="F12" i="29"/>
  <c r="D12" i="29"/>
  <c r="A12" i="29"/>
  <c r="H11" i="29"/>
  <c r="F11" i="29"/>
  <c r="D11" i="29"/>
  <c r="A11" i="29"/>
  <c r="H10" i="29"/>
  <c r="F10" i="29"/>
  <c r="D10" i="29"/>
  <c r="L18" i="26"/>
  <c r="I18" i="26"/>
  <c r="L19" i="26"/>
  <c r="I19" i="26"/>
  <c r="L17" i="26"/>
  <c r="I17" i="26"/>
  <c r="L16" i="26"/>
  <c r="I16" i="26"/>
  <c r="L15" i="26"/>
  <c r="I15" i="26"/>
  <c r="L14" i="26"/>
  <c r="I14" i="26"/>
  <c r="L13" i="26"/>
  <c r="I13" i="26"/>
  <c r="D13" i="26"/>
  <c r="L10" i="26"/>
  <c r="L12" i="26"/>
  <c r="I12" i="26"/>
  <c r="H12" i="26"/>
  <c r="H19" i="26"/>
  <c r="F19" i="26"/>
  <c r="D19" i="26"/>
  <c r="H18" i="26"/>
  <c r="F18" i="26"/>
  <c r="D18" i="26"/>
  <c r="H17" i="26"/>
  <c r="F17" i="26"/>
  <c r="D17" i="26"/>
  <c r="H16" i="26"/>
  <c r="F16" i="26"/>
  <c r="D16" i="26"/>
  <c r="H15" i="26"/>
  <c r="F15" i="26"/>
  <c r="D15" i="26"/>
  <c r="H14" i="26"/>
  <c r="F14" i="26"/>
  <c r="D14" i="26"/>
  <c r="H13" i="26"/>
  <c r="F13" i="26"/>
  <c r="F12" i="26"/>
  <c r="D12" i="26"/>
  <c r="H11" i="26"/>
  <c r="F11" i="26"/>
  <c r="D11" i="26"/>
  <c r="H10" i="26"/>
  <c r="F10" i="26"/>
  <c r="D10" i="26"/>
  <c r="A19" i="26"/>
  <c r="A18" i="26"/>
  <c r="A17" i="26"/>
  <c r="A16" i="26"/>
  <c r="A15" i="26"/>
  <c r="A14" i="26"/>
  <c r="A13" i="26"/>
  <c r="A11" i="26"/>
  <c r="A10" i="26"/>
  <c r="A12" i="26"/>
  <c r="D12" i="10"/>
  <c r="L11" i="26"/>
  <c r="I11" i="26"/>
  <c r="I11" i="25"/>
  <c r="I10" i="25"/>
  <c r="L10" i="25"/>
  <c r="L19" i="25"/>
  <c r="L18" i="25"/>
  <c r="L17" i="25"/>
  <c r="L16" i="25"/>
  <c r="L15" i="25"/>
  <c r="L14" i="25"/>
  <c r="L13" i="25"/>
  <c r="L12" i="25"/>
  <c r="L11" i="25"/>
  <c r="I19" i="25"/>
  <c r="I18" i="25"/>
  <c r="I17" i="25"/>
  <c r="I16" i="25"/>
  <c r="I15" i="25"/>
  <c r="I14" i="25"/>
  <c r="I13" i="25"/>
  <c r="I12" i="25"/>
  <c r="F10" i="25"/>
  <c r="L14" i="24" l="1"/>
  <c r="I14" i="24"/>
  <c r="H14" i="24"/>
  <c r="F14" i="24"/>
  <c r="A14" i="24"/>
  <c r="D14" i="24"/>
  <c r="D12" i="20"/>
  <c r="L12" i="20"/>
  <c r="I12" i="20"/>
  <c r="H12" i="20"/>
  <c r="F12" i="20"/>
  <c r="A12" i="20"/>
  <c r="L10" i="23"/>
  <c r="I10" i="23"/>
  <c r="H10" i="23"/>
  <c r="F10" i="23"/>
  <c r="A10" i="23"/>
  <c r="D10" i="23"/>
  <c r="L17" i="40"/>
  <c r="K17" i="40"/>
  <c r="L16" i="40"/>
  <c r="K16" i="40"/>
  <c r="L15" i="40"/>
  <c r="K15" i="40"/>
  <c r="L14" i="40"/>
  <c r="K14" i="40"/>
  <c r="L13" i="40"/>
  <c r="K13" i="40"/>
  <c r="L12" i="40"/>
  <c r="K12" i="40"/>
  <c r="L11" i="40"/>
  <c r="K11" i="40"/>
  <c r="J17" i="40"/>
  <c r="J16" i="40"/>
  <c r="J15" i="40"/>
  <c r="J14" i="40"/>
  <c r="J12" i="40"/>
  <c r="J11" i="40"/>
  <c r="I17" i="40"/>
  <c r="I16" i="40"/>
  <c r="I15" i="40"/>
  <c r="I14" i="40"/>
  <c r="I13" i="40"/>
  <c r="I12" i="40"/>
  <c r="I11" i="40"/>
  <c r="D10" i="40"/>
  <c r="D11" i="40"/>
  <c r="D12" i="40"/>
  <c r="D13" i="40"/>
  <c r="D14" i="40"/>
  <c r="D15" i="40"/>
  <c r="D16" i="40"/>
  <c r="D17" i="40"/>
  <c r="H17" i="40"/>
  <c r="H16" i="40"/>
  <c r="H15" i="40"/>
  <c r="H14" i="40"/>
  <c r="H13" i="40"/>
  <c r="H12" i="40"/>
  <c r="H11" i="40"/>
  <c r="F17" i="40"/>
  <c r="F16" i="40"/>
  <c r="F15" i="40"/>
  <c r="F14" i="40"/>
  <c r="F13" i="40"/>
  <c r="F12" i="40"/>
  <c r="F11" i="40"/>
  <c r="A17" i="40"/>
  <c r="A16" i="40"/>
  <c r="A15" i="40"/>
  <c r="A14" i="40"/>
  <c r="A13" i="40"/>
  <c r="A12" i="40"/>
  <c r="A11" i="40"/>
  <c r="L15" i="35" l="1"/>
  <c r="I15" i="35"/>
  <c r="L13" i="35"/>
  <c r="I13" i="35"/>
  <c r="L17" i="35"/>
  <c r="I17" i="35"/>
  <c r="L20" i="35"/>
  <c r="I20" i="35"/>
  <c r="L12" i="35"/>
  <c r="I12" i="35"/>
  <c r="L11" i="35"/>
  <c r="I11" i="35"/>
  <c r="L10" i="35"/>
  <c r="F12" i="35"/>
  <c r="L16" i="35"/>
  <c r="I16" i="35"/>
  <c r="L14" i="35"/>
  <c r="I14" i="35"/>
  <c r="L21" i="35"/>
  <c r="I21" i="35"/>
  <c r="D11" i="35"/>
  <c r="D15" i="35"/>
  <c r="L19" i="35"/>
  <c r="I19" i="35"/>
  <c r="L18" i="35"/>
  <c r="I18" i="35"/>
  <c r="D19" i="35"/>
  <c r="F19" i="35" l="1"/>
  <c r="A19" i="35"/>
  <c r="F15" i="35"/>
  <c r="A15" i="35"/>
  <c r="F11" i="35"/>
  <c r="A11" i="35"/>
  <c r="L19" i="36"/>
  <c r="I19" i="36"/>
  <c r="L18" i="36"/>
  <c r="I18" i="36"/>
  <c r="L13" i="36"/>
  <c r="I13" i="36"/>
  <c r="F13" i="36"/>
  <c r="L10" i="36"/>
  <c r="I10" i="36"/>
  <c r="L14" i="36"/>
  <c r="I14" i="36"/>
  <c r="L17" i="36"/>
  <c r="I17" i="36"/>
  <c r="L16" i="36"/>
  <c r="I16" i="36"/>
  <c r="L15" i="36"/>
  <c r="I15" i="36"/>
  <c r="L12" i="36"/>
  <c r="I12" i="36"/>
  <c r="L21" i="36"/>
  <c r="I21" i="36"/>
  <c r="L20" i="36"/>
  <c r="I20" i="36"/>
  <c r="D20" i="36"/>
  <c r="L11" i="36"/>
  <c r="I11" i="36"/>
  <c r="F20" i="36"/>
  <c r="A20" i="36"/>
  <c r="A12" i="36"/>
  <c r="F21" i="36"/>
  <c r="F19" i="36"/>
  <c r="F18" i="36"/>
  <c r="F17" i="36"/>
  <c r="F16" i="36"/>
  <c r="F15" i="36"/>
  <c r="F14" i="36"/>
  <c r="F12" i="36"/>
  <c r="F11" i="36"/>
  <c r="F10" i="36"/>
  <c r="D21" i="36"/>
  <c r="D19" i="36"/>
  <c r="D18" i="36"/>
  <c r="D17" i="36"/>
  <c r="D16" i="36"/>
  <c r="D15" i="36"/>
  <c r="D14" i="36"/>
  <c r="D13" i="36"/>
  <c r="D12" i="36"/>
  <c r="D11" i="36"/>
  <c r="D10" i="36"/>
  <c r="A21" i="36"/>
  <c r="A19" i="36"/>
  <c r="A18" i="36"/>
  <c r="A17" i="36"/>
  <c r="A16" i="36"/>
  <c r="A15" i="36"/>
  <c r="A14" i="36"/>
  <c r="A13" i="36"/>
  <c r="A11" i="36"/>
  <c r="A10" i="36"/>
  <c r="L10" i="52"/>
  <c r="I10" i="52"/>
  <c r="F10" i="52"/>
  <c r="A10" i="52"/>
  <c r="D21" i="52"/>
  <c r="D20" i="52"/>
  <c r="D19" i="52"/>
  <c r="D18" i="52"/>
  <c r="D17" i="52"/>
  <c r="D16" i="52"/>
  <c r="D15" i="52"/>
  <c r="D14" i="52"/>
  <c r="D13" i="52"/>
  <c r="D12" i="52"/>
  <c r="D10" i="52"/>
  <c r="D11" i="52"/>
  <c r="L21" i="52"/>
  <c r="I21" i="52"/>
  <c r="F21" i="52"/>
  <c r="A21" i="52"/>
  <c r="L20" i="52"/>
  <c r="I20" i="52"/>
  <c r="F20" i="52"/>
  <c r="A20" i="52"/>
  <c r="L19" i="52"/>
  <c r="I19" i="52"/>
  <c r="F19" i="52"/>
  <c r="A19" i="52"/>
  <c r="L18" i="52"/>
  <c r="I18" i="52"/>
  <c r="F18" i="52"/>
  <c r="A18" i="52"/>
  <c r="L17" i="52"/>
  <c r="I17" i="52"/>
  <c r="F17" i="52"/>
  <c r="A17" i="52"/>
  <c r="L16" i="52"/>
  <c r="I16" i="52"/>
  <c r="F16" i="52"/>
  <c r="A16" i="52"/>
  <c r="L15" i="52"/>
  <c r="I15" i="52"/>
  <c r="F15" i="52"/>
  <c r="A15" i="52"/>
  <c r="L14" i="52"/>
  <c r="I14" i="52"/>
  <c r="F14" i="52"/>
  <c r="A14" i="52"/>
  <c r="L13" i="52"/>
  <c r="I13" i="52"/>
  <c r="F13" i="52"/>
  <c r="A13" i="52"/>
  <c r="L12" i="52"/>
  <c r="I12" i="52"/>
  <c r="F12" i="52"/>
  <c r="A12" i="52"/>
  <c r="L11" i="52"/>
  <c r="I11" i="52"/>
  <c r="F11" i="52"/>
  <c r="A11" i="52"/>
  <c r="L20" i="33"/>
  <c r="I20" i="33"/>
  <c r="L18" i="33"/>
  <c r="I18" i="33"/>
  <c r="L17" i="33"/>
  <c r="I17" i="33"/>
  <c r="L14" i="33"/>
  <c r="I14" i="33"/>
  <c r="L10" i="33"/>
  <c r="I10" i="33"/>
  <c r="L13" i="33"/>
  <c r="I13" i="33"/>
  <c r="L21" i="33"/>
  <c r="I21" i="33"/>
  <c r="L15" i="33"/>
  <c r="I15" i="33"/>
  <c r="L11" i="33"/>
  <c r="I11" i="33"/>
  <c r="L19" i="33"/>
  <c r="I19" i="33"/>
  <c r="L16" i="33"/>
  <c r="I16" i="33"/>
  <c r="D17" i="33"/>
  <c r="D13" i="33"/>
  <c r="D12" i="33"/>
  <c r="F17" i="33"/>
  <c r="F13" i="33"/>
  <c r="A17" i="33"/>
  <c r="A13" i="33"/>
  <c r="L17" i="32"/>
  <c r="I17" i="32"/>
  <c r="L11" i="32"/>
  <c r="I11" i="32"/>
  <c r="L19" i="32"/>
  <c r="I19" i="32"/>
  <c r="L18" i="32"/>
  <c r="I18" i="32"/>
  <c r="L21" i="32"/>
  <c r="I21" i="32"/>
  <c r="L12" i="32"/>
  <c r="I12" i="32"/>
  <c r="L14" i="32"/>
  <c r="I14" i="32"/>
  <c r="I20" i="32"/>
  <c r="F20" i="32"/>
  <c r="L16" i="32"/>
  <c r="I16" i="32"/>
  <c r="F21" i="32"/>
  <c r="L20" i="32"/>
  <c r="L10" i="32"/>
  <c r="I10" i="32"/>
  <c r="L15" i="32"/>
  <c r="I15" i="32"/>
  <c r="L13" i="32"/>
  <c r="I13" i="32"/>
  <c r="A20" i="32"/>
  <c r="F16" i="32"/>
  <c r="A16" i="32"/>
  <c r="F15" i="32"/>
  <c r="A15" i="32"/>
  <c r="F13" i="32"/>
  <c r="A13" i="32"/>
  <c r="D20" i="32"/>
  <c r="D15" i="32"/>
  <c r="I15" i="31"/>
  <c r="F15" i="31"/>
  <c r="L13" i="31"/>
  <c r="I13" i="31"/>
  <c r="L20" i="31"/>
  <c r="I20" i="31"/>
  <c r="I18" i="31"/>
  <c r="F18" i="31"/>
  <c r="L17" i="31"/>
  <c r="I17" i="31"/>
  <c r="F17" i="31"/>
  <c r="L19" i="31"/>
  <c r="I19" i="31"/>
  <c r="F19" i="31"/>
  <c r="A19" i="31"/>
  <c r="L12" i="31"/>
  <c r="I12" i="31"/>
  <c r="I10" i="31"/>
  <c r="F10" i="31"/>
  <c r="L14" i="31"/>
  <c r="I14" i="31"/>
  <c r="I21" i="31"/>
  <c r="F21" i="31"/>
  <c r="L10" i="31"/>
  <c r="L18" i="31"/>
  <c r="L16" i="31"/>
  <c r="I16" i="31"/>
  <c r="F16" i="31"/>
  <c r="A16" i="31"/>
  <c r="L15" i="31"/>
  <c r="L11" i="31"/>
  <c r="I11" i="31"/>
  <c r="L21" i="31"/>
  <c r="F11" i="31"/>
  <c r="D11" i="31"/>
  <c r="D17" i="31"/>
  <c r="A17" i="31"/>
  <c r="F21" i="37"/>
  <c r="F16" i="37"/>
  <c r="F15" i="37"/>
  <c r="F14" i="37"/>
  <c r="F12" i="37"/>
  <c r="F11" i="37"/>
  <c r="F10" i="37"/>
  <c r="F21" i="35"/>
  <c r="F20" i="35"/>
  <c r="F18" i="35"/>
  <c r="F17" i="35"/>
  <c r="F16" i="35"/>
  <c r="F14" i="35"/>
  <c r="F13" i="35"/>
  <c r="F10" i="35"/>
  <c r="F21" i="34"/>
  <c r="F21" i="33"/>
  <c r="F20" i="33"/>
  <c r="F19" i="33"/>
  <c r="F18" i="33"/>
  <c r="F16" i="33"/>
  <c r="F15" i="33"/>
  <c r="F14" i="33"/>
  <c r="F11" i="33"/>
  <c r="F10" i="33"/>
  <c r="F19" i="32"/>
  <c r="F18" i="32"/>
  <c r="F17" i="32"/>
  <c r="F14" i="32"/>
  <c r="F12" i="32"/>
  <c r="F11" i="32"/>
  <c r="F10" i="32"/>
  <c r="F20" i="31"/>
  <c r="F14" i="31"/>
  <c r="F13" i="31"/>
  <c r="F12" i="31"/>
  <c r="L21" i="30"/>
  <c r="I21" i="30"/>
  <c r="L14" i="30"/>
  <c r="I14" i="30"/>
  <c r="L15" i="30"/>
  <c r="I15" i="30"/>
  <c r="L16" i="30"/>
  <c r="I16" i="30"/>
  <c r="L12" i="30"/>
  <c r="I12" i="30"/>
  <c r="L11" i="30"/>
  <c r="I11" i="30"/>
  <c r="L17" i="30"/>
  <c r="L13" i="30"/>
  <c r="I13" i="30"/>
  <c r="L18" i="30"/>
  <c r="I18" i="30"/>
  <c r="L20" i="30"/>
  <c r="I20" i="30"/>
  <c r="L19" i="30"/>
  <c r="I19" i="30"/>
  <c r="L10" i="30"/>
  <c r="I10" i="30"/>
  <c r="I17" i="30"/>
  <c r="D17" i="30"/>
  <c r="D10" i="30"/>
  <c r="A17" i="30"/>
  <c r="A10" i="30"/>
  <c r="D21" i="37" l="1"/>
  <c r="D20" i="37"/>
  <c r="D16" i="37"/>
  <c r="D15" i="37"/>
  <c r="D14" i="37"/>
  <c r="D12" i="37"/>
  <c r="D11" i="37"/>
  <c r="D10" i="37"/>
  <c r="D21" i="35"/>
  <c r="D20" i="35"/>
  <c r="D18" i="35"/>
  <c r="D17" i="35"/>
  <c r="D16" i="35"/>
  <c r="D14" i="35"/>
  <c r="D13" i="35"/>
  <c r="D12" i="35"/>
  <c r="D10" i="35"/>
  <c r="D21" i="33"/>
  <c r="D20" i="33"/>
  <c r="D19" i="33"/>
  <c r="D18" i="33"/>
  <c r="D16" i="33"/>
  <c r="D15" i="33"/>
  <c r="D14" i="33"/>
  <c r="D11" i="33"/>
  <c r="D10" i="33"/>
  <c r="D21" i="32"/>
  <c r="D19" i="32"/>
  <c r="D16" i="32"/>
  <c r="D18" i="32"/>
  <c r="D17" i="32"/>
  <c r="D14" i="32"/>
  <c r="D12" i="32"/>
  <c r="D11" i="32"/>
  <c r="D13" i="32"/>
  <c r="D10" i="32"/>
  <c r="D21" i="31"/>
  <c r="D20" i="31"/>
  <c r="D16" i="31"/>
  <c r="D19" i="31"/>
  <c r="D18" i="31"/>
  <c r="D15" i="31"/>
  <c r="D14" i="31"/>
  <c r="D13" i="31"/>
  <c r="D12" i="31"/>
  <c r="D10" i="31"/>
  <c r="D21" i="30"/>
  <c r="D20" i="30"/>
  <c r="D19" i="30"/>
  <c r="D18" i="30"/>
  <c r="D16" i="30"/>
  <c r="D15" i="30"/>
  <c r="D14" i="30"/>
  <c r="D13" i="30"/>
  <c r="D12" i="30"/>
  <c r="D11" i="30"/>
  <c r="A21" i="37"/>
  <c r="A20" i="37"/>
  <c r="A16" i="37"/>
  <c r="A15" i="37"/>
  <c r="A14" i="37"/>
  <c r="A12" i="37"/>
  <c r="A11" i="37"/>
  <c r="A21" i="35"/>
  <c r="A20" i="35"/>
  <c r="A18" i="35"/>
  <c r="A17" i="35"/>
  <c r="A16" i="35"/>
  <c r="A14" i="35"/>
  <c r="A13" i="35"/>
  <c r="A12" i="35"/>
  <c r="A10" i="35"/>
  <c r="A21" i="34"/>
  <c r="A21" i="33"/>
  <c r="A20" i="33"/>
  <c r="A19" i="33"/>
  <c r="A18" i="33"/>
  <c r="A16" i="33"/>
  <c r="A15" i="33"/>
  <c r="A14" i="33"/>
  <c r="A11" i="33"/>
  <c r="A10" i="33"/>
  <c r="A21" i="32"/>
  <c r="A19" i="32"/>
  <c r="A18" i="32"/>
  <c r="A17" i="32"/>
  <c r="A14" i="32"/>
  <c r="A12" i="32"/>
  <c r="A11" i="32"/>
  <c r="A10" i="32"/>
  <c r="A21" i="31"/>
  <c r="A20" i="31"/>
  <c r="A18" i="31"/>
  <c r="A15" i="31"/>
  <c r="A14" i="31"/>
  <c r="A13" i="31"/>
  <c r="A12" i="31"/>
  <c r="A10" i="31"/>
  <c r="A11" i="31"/>
  <c r="A21" i="30"/>
  <c r="A20" i="30"/>
  <c r="A19" i="30"/>
  <c r="A18" i="30"/>
  <c r="A16" i="30"/>
  <c r="A15" i="30"/>
  <c r="A14" i="30"/>
  <c r="A13" i="30"/>
  <c r="A12" i="30"/>
  <c r="A11" i="30"/>
  <c r="L13" i="28" l="1"/>
  <c r="I13" i="28"/>
  <c r="L19" i="28"/>
  <c r="I19" i="28"/>
  <c r="L14" i="28"/>
  <c r="I14" i="28"/>
  <c r="L15" i="28"/>
  <c r="I15" i="28"/>
  <c r="A20" i="28"/>
  <c r="A18" i="28"/>
  <c r="L11" i="28"/>
  <c r="I11" i="28"/>
  <c r="L20" i="28"/>
  <c r="I20" i="28"/>
  <c r="L16" i="28"/>
  <c r="I16" i="28"/>
  <c r="L17" i="28"/>
  <c r="I17" i="28"/>
  <c r="L18" i="28"/>
  <c r="I18" i="28"/>
  <c r="H18" i="28"/>
  <c r="F18" i="28"/>
  <c r="L21" i="28"/>
  <c r="I21" i="28"/>
  <c r="L12" i="28"/>
  <c r="I12" i="28"/>
  <c r="F12" i="28"/>
  <c r="H12" i="28"/>
  <c r="A12" i="28"/>
  <c r="L10" i="28"/>
  <c r="I10" i="28"/>
  <c r="D18" i="28"/>
  <c r="D16" i="28"/>
  <c r="D15" i="28"/>
  <c r="D13" i="28"/>
  <c r="H21" i="28"/>
  <c r="H20" i="28"/>
  <c r="H19" i="28"/>
  <c r="H17" i="28"/>
  <c r="H16" i="28"/>
  <c r="H15" i="28"/>
  <c r="H14" i="28"/>
  <c r="H13" i="28"/>
  <c r="H11" i="28"/>
  <c r="H10" i="28"/>
  <c r="F21" i="28"/>
  <c r="F20" i="28"/>
  <c r="F19" i="28"/>
  <c r="F17" i="28"/>
  <c r="F16" i="28"/>
  <c r="F15" i="28"/>
  <c r="F14" i="28"/>
  <c r="F13" i="28"/>
  <c r="F11" i="28"/>
  <c r="D21" i="28"/>
  <c r="D20" i="28"/>
  <c r="D19" i="28"/>
  <c r="D17" i="28"/>
  <c r="D14" i="28"/>
  <c r="D12" i="28"/>
  <c r="D11" i="28"/>
  <c r="D10" i="28"/>
  <c r="D10" i="22"/>
  <c r="A13" i="28"/>
  <c r="A15" i="28"/>
  <c r="A21" i="28"/>
  <c r="A19" i="28"/>
  <c r="A17" i="28"/>
  <c r="A16" i="28"/>
  <c r="A14" i="28"/>
  <c r="A11" i="28"/>
  <c r="A10" i="28"/>
  <c r="A10" i="22"/>
  <c r="H19" i="25"/>
  <c r="H18" i="25"/>
  <c r="H17" i="25"/>
  <c r="H16" i="25"/>
  <c r="H15" i="25"/>
  <c r="H14" i="25"/>
  <c r="H13" i="25"/>
  <c r="H12" i="25"/>
  <c r="H11" i="25"/>
  <c r="H10" i="25"/>
  <c r="F19" i="25"/>
  <c r="F18" i="25"/>
  <c r="F17" i="25"/>
  <c r="F16" i="25"/>
  <c r="F15" i="25"/>
  <c r="F14" i="25"/>
  <c r="F13" i="25"/>
  <c r="F12" i="25"/>
  <c r="F11" i="25"/>
  <c r="D19" i="25"/>
  <c r="D18" i="25"/>
  <c r="D17" i="25"/>
  <c r="D16" i="25"/>
  <c r="D15" i="25"/>
  <c r="D14" i="25"/>
  <c r="D13" i="25"/>
  <c r="D12" i="25"/>
  <c r="D11" i="25"/>
  <c r="D10" i="25"/>
  <c r="A18" i="25" l="1"/>
  <c r="A15" i="25"/>
  <c r="A13" i="25"/>
  <c r="A12" i="25"/>
  <c r="A19" i="25"/>
  <c r="A17" i="25"/>
  <c r="A16" i="25"/>
  <c r="A14" i="25"/>
  <c r="A11" i="25"/>
  <c r="A10" i="25"/>
  <c r="L21" i="22"/>
  <c r="I21" i="22"/>
  <c r="L20" i="22"/>
  <c r="I20" i="22"/>
  <c r="L19" i="22"/>
  <c r="I19" i="22"/>
  <c r="L18" i="22"/>
  <c r="I18" i="22"/>
  <c r="L17" i="22"/>
  <c r="I17" i="22"/>
  <c r="L16" i="22"/>
  <c r="I16" i="22"/>
  <c r="L15" i="22"/>
  <c r="I15" i="22"/>
  <c r="L14" i="22"/>
  <c r="I14" i="22"/>
  <c r="L13" i="22"/>
  <c r="I13" i="22"/>
  <c r="L12" i="22"/>
  <c r="I12" i="22"/>
  <c r="L11" i="22"/>
  <c r="I11" i="22"/>
  <c r="L10" i="22"/>
  <c r="I10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F10" i="22"/>
  <c r="F21" i="22"/>
  <c r="F20" i="22"/>
  <c r="F19" i="22"/>
  <c r="F18" i="22"/>
  <c r="F17" i="22"/>
  <c r="F16" i="22"/>
  <c r="F15" i="22"/>
  <c r="F14" i="22"/>
  <c r="F13" i="22"/>
  <c r="F12" i="22"/>
  <c r="F11" i="22"/>
  <c r="D21" i="22"/>
  <c r="D12" i="22"/>
  <c r="D11" i="22"/>
  <c r="D19" i="22"/>
  <c r="D16" i="22"/>
  <c r="D15" i="22"/>
  <c r="A15" i="22"/>
  <c r="A19" i="22"/>
  <c r="A16" i="22"/>
  <c r="L21" i="24"/>
  <c r="I21" i="24"/>
  <c r="L20" i="24"/>
  <c r="I20" i="24"/>
  <c r="H20" i="24"/>
  <c r="F20" i="24"/>
  <c r="L19" i="24"/>
  <c r="I19" i="24"/>
  <c r="A20" i="24"/>
  <c r="L18" i="24"/>
  <c r="I18" i="24"/>
  <c r="L17" i="24"/>
  <c r="I17" i="24"/>
  <c r="H18" i="24"/>
  <c r="F18" i="24"/>
  <c r="L15" i="24"/>
  <c r="I15" i="24"/>
  <c r="H15" i="24"/>
  <c r="L16" i="24"/>
  <c r="I16" i="24"/>
  <c r="L13" i="24"/>
  <c r="I13" i="24"/>
  <c r="L12" i="24"/>
  <c r="I12" i="24"/>
  <c r="L11" i="24"/>
  <c r="I11" i="24"/>
  <c r="L10" i="24"/>
  <c r="I10" i="24"/>
  <c r="D20" i="24"/>
  <c r="D18" i="24"/>
  <c r="A18" i="24"/>
  <c r="H21" i="24"/>
  <c r="H19" i="24"/>
  <c r="H17" i="24"/>
  <c r="H16" i="24"/>
  <c r="H13" i="24"/>
  <c r="H12" i="24"/>
  <c r="H11" i="24"/>
  <c r="H10" i="24"/>
  <c r="F21" i="24"/>
  <c r="F19" i="24"/>
  <c r="F17" i="24"/>
  <c r="F16" i="24"/>
  <c r="F15" i="24"/>
  <c r="F13" i="24"/>
  <c r="F12" i="24"/>
  <c r="F11" i="24"/>
  <c r="F10" i="24"/>
  <c r="D21" i="24"/>
  <c r="D19" i="24"/>
  <c r="D17" i="24"/>
  <c r="D16" i="24"/>
  <c r="D15" i="24"/>
  <c r="D13" i="24"/>
  <c r="D12" i="24"/>
  <c r="D11" i="24"/>
  <c r="D10" i="24"/>
  <c r="A21" i="24"/>
  <c r="A19" i="24"/>
  <c r="A17" i="24"/>
  <c r="A16" i="24"/>
  <c r="A15" i="24"/>
  <c r="A13" i="24"/>
  <c r="A12" i="24"/>
  <c r="A11" i="24"/>
  <c r="A10" i="24"/>
  <c r="D14" i="23"/>
  <c r="L21" i="23" l="1"/>
  <c r="I21" i="23"/>
  <c r="L20" i="23"/>
  <c r="I20" i="23"/>
  <c r="L19" i="23"/>
  <c r="I19" i="23"/>
  <c r="L18" i="23"/>
  <c r="I18" i="23"/>
  <c r="L17" i="23"/>
  <c r="I17" i="23"/>
  <c r="L16" i="23"/>
  <c r="L15" i="23"/>
  <c r="I16" i="23"/>
  <c r="I15" i="23"/>
  <c r="L14" i="23"/>
  <c r="I14" i="23"/>
  <c r="L13" i="23"/>
  <c r="I13" i="23"/>
  <c r="L12" i="23"/>
  <c r="I12" i="23"/>
  <c r="L11" i="23"/>
  <c r="I11" i="23"/>
  <c r="D19" i="23"/>
  <c r="D13" i="23"/>
  <c r="H21" i="23"/>
  <c r="F21" i="23"/>
  <c r="H18" i="23"/>
  <c r="F18" i="23"/>
  <c r="H13" i="23"/>
  <c r="F13" i="23"/>
  <c r="H16" i="23"/>
  <c r="F16" i="23"/>
  <c r="A16" i="23"/>
  <c r="H19" i="23"/>
  <c r="F19" i="23"/>
  <c r="A13" i="23"/>
  <c r="A19" i="23"/>
  <c r="L20" i="21"/>
  <c r="I20" i="21"/>
  <c r="H20" i="21"/>
  <c r="L16" i="21"/>
  <c r="I16" i="21"/>
  <c r="L15" i="21"/>
  <c r="I15" i="21"/>
  <c r="L19" i="21"/>
  <c r="I19" i="21"/>
  <c r="L21" i="21"/>
  <c r="I21" i="21"/>
  <c r="L18" i="21"/>
  <c r="I18" i="21"/>
  <c r="L17" i="21"/>
  <c r="I17" i="21"/>
  <c r="L14" i="21"/>
  <c r="I14" i="21"/>
  <c r="L13" i="21"/>
  <c r="I13" i="21"/>
  <c r="L11" i="21"/>
  <c r="I11" i="21"/>
  <c r="L12" i="21"/>
  <c r="I12" i="21"/>
  <c r="L10" i="21"/>
  <c r="I10" i="21"/>
  <c r="D20" i="21"/>
  <c r="D18" i="21"/>
  <c r="D17" i="21"/>
  <c r="D16" i="21"/>
  <c r="D12" i="21"/>
  <c r="H10" i="21"/>
  <c r="H21" i="21"/>
  <c r="H19" i="21"/>
  <c r="H18" i="21"/>
  <c r="H17" i="21"/>
  <c r="H16" i="21"/>
  <c r="H15" i="21"/>
  <c r="H14" i="21"/>
  <c r="H13" i="21"/>
  <c r="H12" i="21"/>
  <c r="H11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D21" i="21"/>
  <c r="D10" i="21"/>
  <c r="D11" i="21"/>
  <c r="D13" i="21"/>
  <c r="D14" i="21"/>
  <c r="D15" i="21"/>
  <c r="D19" i="21"/>
  <c r="A20" i="21"/>
  <c r="A19" i="21"/>
  <c r="A18" i="21"/>
  <c r="A17" i="21"/>
  <c r="A16" i="21"/>
  <c r="A12" i="21"/>
  <c r="A21" i="21"/>
  <c r="A15" i="21"/>
  <c r="A14" i="21"/>
  <c r="A13" i="21"/>
  <c r="A11" i="21"/>
  <c r="A10" i="21"/>
  <c r="L17" i="18"/>
  <c r="I17" i="18"/>
  <c r="L18" i="18"/>
  <c r="I18" i="18"/>
  <c r="L13" i="18"/>
  <c r="I13" i="18"/>
  <c r="L21" i="18"/>
  <c r="I21" i="18"/>
  <c r="H21" i="18"/>
  <c r="F21" i="18"/>
  <c r="D21" i="18"/>
  <c r="L15" i="18"/>
  <c r="I15" i="18"/>
  <c r="L20" i="18"/>
  <c r="I20" i="18"/>
  <c r="D19" i="18"/>
  <c r="L19" i="18"/>
  <c r="I19" i="18"/>
  <c r="H19" i="18"/>
  <c r="F19" i="18"/>
  <c r="L14" i="18"/>
  <c r="I14" i="18"/>
  <c r="L16" i="18"/>
  <c r="I16" i="18"/>
  <c r="L11" i="18"/>
  <c r="I11" i="18"/>
  <c r="H11" i="18"/>
  <c r="F11" i="18"/>
  <c r="D11" i="18"/>
  <c r="L12" i="18"/>
  <c r="I12" i="18"/>
  <c r="L10" i="18"/>
  <c r="I10" i="18"/>
  <c r="H20" i="23"/>
  <c r="H17" i="23"/>
  <c r="H15" i="23"/>
  <c r="H14" i="23"/>
  <c r="H12" i="23"/>
  <c r="H11" i="23"/>
  <c r="H20" i="18"/>
  <c r="H18" i="18"/>
  <c r="H17" i="18"/>
  <c r="H16" i="18"/>
  <c r="H15" i="18"/>
  <c r="H14" i="18"/>
  <c r="H13" i="18"/>
  <c r="H12" i="18"/>
  <c r="H10" i="18"/>
  <c r="F20" i="23"/>
  <c r="F17" i="23"/>
  <c r="F15" i="23"/>
  <c r="F14" i="23"/>
  <c r="F12" i="23"/>
  <c r="F11" i="23"/>
  <c r="F20" i="18"/>
  <c r="F18" i="18"/>
  <c r="F17" i="18"/>
  <c r="F16" i="18"/>
  <c r="F15" i="18"/>
  <c r="F14" i="18"/>
  <c r="F13" i="18"/>
  <c r="F12" i="18"/>
  <c r="F10" i="18"/>
  <c r="D20" i="22"/>
  <c r="D18" i="22"/>
  <c r="D17" i="22"/>
  <c r="D14" i="22"/>
  <c r="D13" i="22"/>
  <c r="D21" i="23"/>
  <c r="D20" i="23"/>
  <c r="D18" i="23"/>
  <c r="D17" i="23"/>
  <c r="D16" i="23"/>
  <c r="D15" i="23"/>
  <c r="D12" i="23"/>
  <c r="D11" i="23"/>
  <c r="D20" i="18"/>
  <c r="D18" i="18"/>
  <c r="D17" i="18"/>
  <c r="D16" i="18"/>
  <c r="D15" i="18"/>
  <c r="D14" i="18"/>
  <c r="D13" i="18"/>
  <c r="D12" i="18"/>
  <c r="D10" i="18"/>
  <c r="A19" i="18"/>
  <c r="A11" i="18"/>
  <c r="A21" i="18"/>
  <c r="L14" i="20"/>
  <c r="I14" i="20"/>
  <c r="L18" i="20"/>
  <c r="I18" i="20"/>
  <c r="L17" i="20"/>
  <c r="I17" i="20"/>
  <c r="H17" i="20"/>
  <c r="F17" i="20"/>
  <c r="L19" i="20"/>
  <c r="I19" i="20"/>
  <c r="L21" i="20"/>
  <c r="I21" i="20"/>
  <c r="L20" i="20"/>
  <c r="I20" i="20"/>
  <c r="L13" i="20"/>
  <c r="I13" i="20"/>
  <c r="L11" i="20"/>
  <c r="I11" i="20"/>
  <c r="L15" i="20"/>
  <c r="I15" i="20"/>
  <c r="L16" i="20"/>
  <c r="I16" i="20"/>
  <c r="H16" i="20"/>
  <c r="F16" i="20"/>
  <c r="L10" i="20"/>
  <c r="I10" i="20"/>
  <c r="H10" i="20"/>
  <c r="F10" i="20"/>
  <c r="D16" i="20"/>
  <c r="D10" i="20"/>
  <c r="A16" i="20"/>
  <c r="A10" i="20"/>
  <c r="D21" i="20"/>
  <c r="D20" i="20"/>
  <c r="D19" i="20"/>
  <c r="D18" i="20"/>
  <c r="D17" i="20"/>
  <c r="D15" i="20"/>
  <c r="D14" i="20"/>
  <c r="D13" i="20"/>
  <c r="D11" i="20"/>
  <c r="H11" i="20"/>
  <c r="H21" i="20"/>
  <c r="H20" i="20"/>
  <c r="H19" i="20"/>
  <c r="H18" i="20"/>
  <c r="H15" i="20"/>
  <c r="H14" i="20"/>
  <c r="H13" i="20"/>
  <c r="F21" i="20"/>
  <c r="F20" i="20"/>
  <c r="F19" i="20"/>
  <c r="F18" i="20"/>
  <c r="F15" i="20"/>
  <c r="F14" i="20"/>
  <c r="F13" i="20"/>
  <c r="F11" i="20"/>
  <c r="A21" i="22"/>
  <c r="A20" i="22"/>
  <c r="A18" i="22"/>
  <c r="A17" i="22"/>
  <c r="A14" i="22"/>
  <c r="A13" i="22"/>
  <c r="A12" i="22"/>
  <c r="A11" i="22"/>
  <c r="A21" i="23"/>
  <c r="A20" i="23"/>
  <c r="A18" i="23"/>
  <c r="A17" i="23"/>
  <c r="A15" i="23"/>
  <c r="A14" i="23"/>
  <c r="A12" i="23"/>
  <c r="A11" i="23"/>
  <c r="A20" i="18"/>
  <c r="A18" i="18"/>
  <c r="A17" i="18"/>
  <c r="A16" i="18"/>
  <c r="A15" i="18"/>
  <c r="A14" i="18"/>
  <c r="A13" i="18"/>
  <c r="A12" i="18"/>
  <c r="A10" i="18"/>
  <c r="A21" i="20"/>
  <c r="A20" i="20"/>
  <c r="A19" i="20"/>
  <c r="A18" i="20"/>
  <c r="A17" i="20"/>
  <c r="A15" i="20"/>
  <c r="A14" i="20"/>
  <c r="A13" i="20"/>
  <c r="A11" i="20"/>
  <c r="L15" i="19"/>
  <c r="I15" i="19"/>
  <c r="H15" i="19"/>
  <c r="F15" i="19"/>
  <c r="L11" i="19"/>
  <c r="I11" i="19"/>
  <c r="L14" i="19"/>
  <c r="I14" i="19"/>
  <c r="L21" i="19"/>
  <c r="I21" i="19"/>
  <c r="H21" i="19"/>
  <c r="F21" i="19"/>
  <c r="L13" i="19"/>
  <c r="I13" i="19"/>
  <c r="L18" i="19"/>
  <c r="I18" i="19"/>
  <c r="L17" i="19"/>
  <c r="I17" i="19"/>
  <c r="H17" i="19"/>
  <c r="F17" i="19"/>
  <c r="L16" i="19"/>
  <c r="I16" i="19"/>
  <c r="L20" i="19"/>
  <c r="I20" i="19"/>
  <c r="L19" i="19"/>
  <c r="I19" i="19"/>
  <c r="H19" i="19"/>
  <c r="L12" i="19"/>
  <c r="I12" i="19"/>
  <c r="A12" i="19"/>
  <c r="H12" i="19"/>
  <c r="F12" i="19"/>
  <c r="L10" i="19"/>
  <c r="I10" i="19"/>
  <c r="H10" i="19"/>
  <c r="F10" i="19"/>
  <c r="D17" i="19"/>
  <c r="D15" i="19"/>
  <c r="D12" i="19"/>
  <c r="D10" i="19"/>
  <c r="A21" i="19"/>
  <c r="A17" i="19"/>
  <c r="A15" i="19"/>
  <c r="A10" i="19"/>
  <c r="H20" i="19"/>
  <c r="H18" i="19"/>
  <c r="H16" i="19"/>
  <c r="H14" i="19"/>
  <c r="H13" i="19"/>
  <c r="H11" i="19"/>
  <c r="F20" i="19"/>
  <c r="F19" i="19"/>
  <c r="F18" i="19"/>
  <c r="F16" i="19"/>
  <c r="F14" i="19"/>
  <c r="F13" i="19"/>
  <c r="F11" i="19"/>
  <c r="D20" i="19"/>
  <c r="D19" i="19"/>
  <c r="D18" i="19"/>
  <c r="D16" i="19"/>
  <c r="D14" i="19"/>
  <c r="D13" i="19"/>
  <c r="D11" i="19"/>
  <c r="A20" i="19"/>
  <c r="A19" i="19"/>
  <c r="A18" i="19"/>
  <c r="A16" i="19"/>
  <c r="A14" i="19"/>
  <c r="A13" i="19"/>
  <c r="A11" i="19"/>
  <c r="L21" i="17"/>
  <c r="I21" i="17"/>
  <c r="H21" i="17"/>
  <c r="F21" i="17"/>
  <c r="D10" i="17"/>
  <c r="D21" i="17"/>
  <c r="L11" i="17"/>
  <c r="I11" i="17"/>
  <c r="D11" i="17"/>
  <c r="H11" i="17"/>
  <c r="F11" i="17"/>
  <c r="H10" i="17"/>
  <c r="F10" i="17"/>
  <c r="L14" i="17"/>
  <c r="I14" i="17"/>
  <c r="H14" i="17"/>
  <c r="F14" i="17"/>
  <c r="D14" i="17"/>
  <c r="L17" i="17"/>
  <c r="I17" i="17"/>
  <c r="L19" i="17"/>
  <c r="I19" i="17"/>
  <c r="L20" i="17"/>
  <c r="I20" i="17"/>
  <c r="L18" i="17"/>
  <c r="I18" i="17"/>
  <c r="L16" i="17"/>
  <c r="I16" i="17"/>
  <c r="L10" i="17" l="1"/>
  <c r="I10" i="17"/>
  <c r="A21" i="17"/>
  <c r="A14" i="17"/>
  <c r="D13" i="17"/>
  <c r="L13" i="17"/>
  <c r="I13" i="17"/>
  <c r="H13" i="17"/>
  <c r="F13" i="17"/>
  <c r="A13" i="17"/>
  <c r="A11" i="17"/>
  <c r="A10" i="17"/>
  <c r="L12" i="17"/>
  <c r="I12" i="17"/>
  <c r="L15" i="17"/>
  <c r="I15" i="17"/>
  <c r="H20" i="17"/>
  <c r="H19" i="17"/>
  <c r="H18" i="17"/>
  <c r="H17" i="17"/>
  <c r="H16" i="17"/>
  <c r="H15" i="17"/>
  <c r="H12" i="17"/>
  <c r="F20" i="17"/>
  <c r="F19" i="17"/>
  <c r="F18" i="17"/>
  <c r="F17" i="17"/>
  <c r="F16" i="17"/>
  <c r="F15" i="17"/>
  <c r="F12" i="17"/>
  <c r="D20" i="17"/>
  <c r="D19" i="17"/>
  <c r="D18" i="17"/>
  <c r="D17" i="17"/>
  <c r="D16" i="17"/>
  <c r="D15" i="17"/>
  <c r="D12" i="17"/>
  <c r="A20" i="17"/>
  <c r="A19" i="17"/>
  <c r="A18" i="17"/>
  <c r="A17" i="17"/>
  <c r="A16" i="17"/>
  <c r="A15" i="17"/>
  <c r="A12" i="17"/>
  <c r="L21" i="16"/>
  <c r="I21" i="16"/>
  <c r="H21" i="16"/>
  <c r="F21" i="16"/>
  <c r="L15" i="16"/>
  <c r="I15" i="16"/>
  <c r="H15" i="16"/>
  <c r="D21" i="16"/>
  <c r="D15" i="16"/>
  <c r="F15" i="16"/>
  <c r="L18" i="16"/>
  <c r="I18" i="16"/>
  <c r="L16" i="16"/>
  <c r="I16" i="16"/>
  <c r="L13" i="16"/>
  <c r="I13" i="16"/>
  <c r="H13" i="16"/>
  <c r="F13" i="16"/>
  <c r="D13" i="16"/>
  <c r="L17" i="16"/>
  <c r="I17" i="16"/>
  <c r="L20" i="16"/>
  <c r="I20" i="16"/>
  <c r="L19" i="16"/>
  <c r="I19" i="16"/>
  <c r="L14" i="16"/>
  <c r="I14" i="16"/>
  <c r="L11" i="16"/>
  <c r="I11" i="16"/>
  <c r="H11" i="16"/>
  <c r="F11" i="16"/>
  <c r="A21" i="16"/>
  <c r="A15" i="16"/>
  <c r="A13" i="16"/>
  <c r="A11" i="16"/>
  <c r="D11" i="16"/>
  <c r="L12" i="16"/>
  <c r="I12" i="16"/>
  <c r="L10" i="16"/>
  <c r="I10" i="16"/>
  <c r="H17" i="16"/>
  <c r="H10" i="16"/>
  <c r="H20" i="16"/>
  <c r="H19" i="16"/>
  <c r="H18" i="16"/>
  <c r="H16" i="16"/>
  <c r="H14" i="16"/>
  <c r="H12" i="16"/>
  <c r="F17" i="16"/>
  <c r="F10" i="16"/>
  <c r="F20" i="16"/>
  <c r="F19" i="16"/>
  <c r="F18" i="16"/>
  <c r="F16" i="16"/>
  <c r="F14" i="16"/>
  <c r="F12" i="16"/>
  <c r="D20" i="16"/>
  <c r="D19" i="16"/>
  <c r="D18" i="16"/>
  <c r="D17" i="16"/>
  <c r="D16" i="16"/>
  <c r="D14" i="16"/>
  <c r="D12" i="16"/>
  <c r="D10" i="16"/>
  <c r="A20" i="16"/>
  <c r="A19" i="16"/>
  <c r="A18" i="16"/>
  <c r="A17" i="16"/>
  <c r="A16" i="16"/>
  <c r="A14" i="16"/>
  <c r="A12" i="16"/>
  <c r="A10" i="16"/>
  <c r="L20" i="15"/>
  <c r="I20" i="15"/>
  <c r="H20" i="15"/>
  <c r="F20" i="15"/>
  <c r="L15" i="15"/>
  <c r="I15" i="15"/>
  <c r="H15" i="15"/>
  <c r="F15" i="15"/>
  <c r="A15" i="15"/>
  <c r="L14" i="15"/>
  <c r="I14" i="15"/>
  <c r="H14" i="15"/>
  <c r="F14" i="15"/>
  <c r="L13" i="15"/>
  <c r="I13" i="15"/>
  <c r="H13" i="15"/>
  <c r="F13" i="15"/>
  <c r="L17" i="15"/>
  <c r="I17" i="15"/>
  <c r="H17" i="15"/>
  <c r="F17" i="15"/>
  <c r="L12" i="15"/>
  <c r="I12" i="15"/>
  <c r="H12" i="15"/>
  <c r="F12" i="15"/>
  <c r="D12" i="15"/>
  <c r="L16" i="15"/>
  <c r="I16" i="15"/>
  <c r="H16" i="15"/>
  <c r="F16" i="15"/>
  <c r="L11" i="15"/>
  <c r="I11" i="15"/>
  <c r="H11" i="15"/>
  <c r="F11" i="15"/>
  <c r="L21" i="15"/>
  <c r="I21" i="15"/>
  <c r="H21" i="15"/>
  <c r="F21" i="15"/>
  <c r="L19" i="15"/>
  <c r="I19" i="15"/>
  <c r="H19" i="15"/>
  <c r="F19" i="15"/>
  <c r="L18" i="15"/>
  <c r="I18" i="15"/>
  <c r="H18" i="15"/>
  <c r="F18" i="15"/>
  <c r="L10" i="15"/>
  <c r="I10" i="15"/>
  <c r="H10" i="15"/>
  <c r="F10" i="15"/>
  <c r="D21" i="15"/>
  <c r="D19" i="15"/>
  <c r="D18" i="15"/>
  <c r="D17" i="15"/>
  <c r="D16" i="15"/>
  <c r="D14" i="15"/>
  <c r="D13" i="15"/>
  <c r="D11" i="15"/>
  <c r="D10" i="15"/>
  <c r="A20" i="15"/>
  <c r="A12" i="15"/>
  <c r="A21" i="15"/>
  <c r="A19" i="15"/>
  <c r="A18" i="15"/>
  <c r="A17" i="15"/>
  <c r="A16" i="15"/>
  <c r="A14" i="15"/>
  <c r="A13" i="15"/>
  <c r="A11" i="15"/>
  <c r="A10" i="15"/>
  <c r="A10" i="13"/>
  <c r="I15" i="13"/>
  <c r="I20" i="13"/>
  <c r="D20" i="13"/>
  <c r="D17" i="13"/>
  <c r="D13" i="13"/>
  <c r="D10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I21" i="13"/>
  <c r="I19" i="13"/>
  <c r="I18" i="13"/>
  <c r="I17" i="13"/>
  <c r="H20" i="13"/>
  <c r="H19" i="13"/>
  <c r="H18" i="13"/>
  <c r="H17" i="13"/>
  <c r="H12" i="13"/>
  <c r="H11" i="13"/>
  <c r="H21" i="13"/>
  <c r="H16" i="13"/>
  <c r="H15" i="13"/>
  <c r="H14" i="13"/>
  <c r="H13" i="13"/>
  <c r="H10" i="13"/>
  <c r="F18" i="13"/>
  <c r="H21" i="14"/>
  <c r="H20" i="14"/>
  <c r="H19" i="14"/>
  <c r="H18" i="14"/>
  <c r="H17" i="14"/>
  <c r="H16" i="14"/>
  <c r="H15" i="14"/>
  <c r="H14" i="14"/>
  <c r="H13" i="14"/>
  <c r="H12" i="14"/>
  <c r="H11" i="14"/>
  <c r="H10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D21" i="13"/>
  <c r="D19" i="13"/>
  <c r="D18" i="13"/>
  <c r="D16" i="13"/>
  <c r="D15" i="13"/>
  <c r="D14" i="13"/>
  <c r="D12" i="13"/>
  <c r="D11" i="13"/>
  <c r="D10" i="14"/>
  <c r="D21" i="14"/>
  <c r="D20" i="14"/>
  <c r="D19" i="14"/>
  <c r="D18" i="14"/>
  <c r="D17" i="14"/>
  <c r="D16" i="14"/>
  <c r="D15" i="14"/>
  <c r="D14" i="14"/>
  <c r="D13" i="14"/>
  <c r="D12" i="14"/>
  <c r="D11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21" i="10"/>
  <c r="L20" i="10"/>
  <c r="L19" i="10"/>
  <c r="L18" i="10"/>
  <c r="L17" i="10"/>
  <c r="L16" i="10"/>
  <c r="L15" i="10"/>
  <c r="L14" i="10"/>
  <c r="L13" i="10"/>
  <c r="L12" i="10"/>
  <c r="L11" i="10"/>
  <c r="I16" i="13"/>
  <c r="I14" i="13"/>
  <c r="I13" i="13"/>
  <c r="I12" i="13"/>
  <c r="I11" i="13"/>
  <c r="I10" i="13"/>
  <c r="I21" i="14"/>
  <c r="I20" i="14"/>
  <c r="I19" i="14"/>
  <c r="I18" i="14"/>
  <c r="I17" i="14"/>
  <c r="I16" i="14"/>
  <c r="I15" i="14"/>
  <c r="I14" i="14"/>
  <c r="I13" i="14"/>
  <c r="I12" i="14"/>
  <c r="I11" i="14"/>
  <c r="I10" i="14"/>
  <c r="I21" i="10"/>
  <c r="I20" i="10"/>
  <c r="I19" i="10"/>
  <c r="I18" i="10"/>
  <c r="I17" i="10"/>
  <c r="I16" i="10"/>
  <c r="I15" i="10"/>
  <c r="I14" i="10"/>
  <c r="I13" i="10"/>
  <c r="I12" i="10"/>
  <c r="I11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D21" i="10"/>
  <c r="D20" i="10"/>
  <c r="D19" i="10"/>
  <c r="D18" i="10"/>
  <c r="D17" i="10"/>
  <c r="D16" i="10"/>
  <c r="D15" i="10"/>
  <c r="D14" i="10"/>
  <c r="D13" i="10"/>
  <c r="D11" i="10"/>
  <c r="D10" i="10"/>
  <c r="A19" i="10"/>
  <c r="A18" i="10"/>
  <c r="A17" i="10"/>
  <c r="A16" i="10"/>
  <c r="A21" i="10"/>
  <c r="A20" i="10"/>
  <c r="A15" i="10"/>
  <c r="A14" i="10"/>
  <c r="A13" i="10"/>
  <c r="A12" i="10"/>
  <c r="A11" i="10"/>
  <c r="A10" i="10"/>
  <c r="A21" i="14"/>
  <c r="A20" i="14"/>
  <c r="A19" i="14"/>
  <c r="A18" i="14"/>
  <c r="A17" i="14"/>
  <c r="A16" i="14"/>
  <c r="A15" i="14"/>
  <c r="A14" i="14"/>
  <c r="A13" i="14"/>
  <c r="A12" i="14"/>
  <c r="A11" i="14"/>
  <c r="A10" i="14"/>
  <c r="A21" i="13"/>
  <c r="A20" i="13"/>
  <c r="A19" i="13"/>
  <c r="A18" i="13"/>
  <c r="A17" i="13"/>
  <c r="A16" i="13"/>
  <c r="A15" i="13"/>
  <c r="A14" i="13"/>
  <c r="A13" i="13"/>
  <c r="A12" i="13"/>
  <c r="A11" i="13"/>
  <c r="F21" i="13"/>
  <c r="F20" i="13"/>
  <c r="F19" i="13"/>
  <c r="F17" i="13"/>
  <c r="F16" i="13"/>
  <c r="F15" i="13"/>
  <c r="F14" i="13"/>
  <c r="F13" i="13"/>
  <c r="F12" i="13"/>
  <c r="F11" i="13"/>
  <c r="F10" i="13"/>
  <c r="H21" i="34" l="1"/>
  <c r="A19" i="51" l="1"/>
  <c r="A18" i="51"/>
  <c r="A17" i="51"/>
  <c r="A16" i="51"/>
  <c r="A15" i="51"/>
  <c r="A14" i="51"/>
  <c r="A13" i="51"/>
  <c r="A12" i="51"/>
  <c r="A11" i="51"/>
  <c r="A10" i="51"/>
  <c r="A16" i="27" l="1"/>
  <c r="A15" i="27"/>
  <c r="A14" i="27"/>
  <c r="A13" i="27"/>
  <c r="A12" i="27"/>
  <c r="A11" i="27"/>
  <c r="A10" i="27"/>
</calcChain>
</file>

<file path=xl/sharedStrings.xml><?xml version="1.0" encoding="utf-8"?>
<sst xmlns="http://schemas.openxmlformats.org/spreadsheetml/2006/main" count="50508" uniqueCount="724">
  <si>
    <t>Tier 4</t>
  </si>
  <si>
    <t>Tier 5</t>
  </si>
  <si>
    <t>Tier 6</t>
  </si>
  <si>
    <t>Tier 7</t>
  </si>
  <si>
    <t>Tier 8</t>
  </si>
  <si>
    <t>Tier 9</t>
  </si>
  <si>
    <t>Tier 10</t>
  </si>
  <si>
    <t>Tier 11</t>
  </si>
  <si>
    <t>Chester 1</t>
  </si>
  <si>
    <t>Bowdon 2</t>
  </si>
  <si>
    <t>Wilmslow 1</t>
  </si>
  <si>
    <t>Deeside Ramblers 2</t>
  </si>
  <si>
    <t>Formby 1</t>
  </si>
  <si>
    <t>Windermere 1</t>
  </si>
  <si>
    <t>Timperley 2</t>
  </si>
  <si>
    <t>Alderley Edge 1</t>
  </si>
  <si>
    <t>NW Premier Division</t>
  </si>
  <si>
    <t>NW Division 1</t>
  </si>
  <si>
    <t>Grade 2</t>
  </si>
  <si>
    <t>Grade 3</t>
  </si>
  <si>
    <t>Grade 4</t>
  </si>
  <si>
    <t>Grade 5</t>
  </si>
  <si>
    <t>NW Division 2</t>
  </si>
  <si>
    <t>NW Division 3 North</t>
  </si>
  <si>
    <t>NW Division 3 South</t>
  </si>
  <si>
    <t>NW Division 4 West</t>
  </si>
  <si>
    <t>NW Division 4 North</t>
  </si>
  <si>
    <t>NW Division 4 East</t>
  </si>
  <si>
    <t>NW Division 5 East</t>
  </si>
  <si>
    <t>NW Division 6 East</t>
  </si>
  <si>
    <t>NW Division 7 East</t>
  </si>
  <si>
    <t>NW Division 5 West (South)</t>
  </si>
  <si>
    <t>NW Division 6 West (South)</t>
  </si>
  <si>
    <t>NW Division 5 West (North)</t>
  </si>
  <si>
    <t>NW Division 5 South (Central)</t>
  </si>
  <si>
    <t>NW Division 6 South (Central)</t>
  </si>
  <si>
    <t>NW Division 7 South (Central)</t>
  </si>
  <si>
    <t>Preston 1</t>
  </si>
  <si>
    <t>MPrem</t>
  </si>
  <si>
    <t>M3N</t>
  </si>
  <si>
    <t>M3S</t>
  </si>
  <si>
    <t>M4E</t>
  </si>
  <si>
    <t>M4N</t>
  </si>
  <si>
    <t>M4W</t>
  </si>
  <si>
    <t>M5E</t>
  </si>
  <si>
    <t>M5N</t>
  </si>
  <si>
    <t>M5SC</t>
  </si>
  <si>
    <t>M5WN</t>
  </si>
  <si>
    <t>M5WS</t>
  </si>
  <si>
    <t>M6E</t>
  </si>
  <si>
    <t>M6SC</t>
  </si>
  <si>
    <t>M6WS</t>
  </si>
  <si>
    <t>M7E</t>
  </si>
  <si>
    <t>M7SC</t>
  </si>
  <si>
    <t>North West Men's Division 5 North</t>
  </si>
  <si>
    <t>North West Men's Division 7 East</t>
  </si>
  <si>
    <t>North West Women's Premier</t>
  </si>
  <si>
    <t>North West Women's Division 1</t>
  </si>
  <si>
    <t>North West Women's Division 2 North</t>
  </si>
  <si>
    <t>North West Women's Division 2 South</t>
  </si>
  <si>
    <t>North West Women's Division 3 North</t>
  </si>
  <si>
    <t>North West Women's Division 3 North (Central)</t>
  </si>
  <si>
    <t>North West Women's Division 4 East</t>
  </si>
  <si>
    <t>North West Women's Division 4 North (Central)</t>
  </si>
  <si>
    <t>North West Women's Division 4 West</t>
  </si>
  <si>
    <t>North West Women's Division 5 East</t>
  </si>
  <si>
    <t>North West Women's Division 5 North (Central)</t>
  </si>
  <si>
    <t>North West Women's Division 5 South (Central)</t>
  </si>
  <si>
    <t>North West Women's Division 5 West (South)</t>
  </si>
  <si>
    <t>North West Women's Division 6 East</t>
  </si>
  <si>
    <t>North West Women's Division 6 South (Central)</t>
  </si>
  <si>
    <t>WPrem</t>
  </si>
  <si>
    <t>W2N</t>
  </si>
  <si>
    <t>W2S</t>
  </si>
  <si>
    <t>W3N</t>
  </si>
  <si>
    <t>W3NC</t>
  </si>
  <si>
    <t>W4E</t>
  </si>
  <si>
    <t>W4NC</t>
  </si>
  <si>
    <t>W4W</t>
  </si>
  <si>
    <t>W5E</t>
  </si>
  <si>
    <t>W5NC</t>
  </si>
  <si>
    <t>W5SC</t>
  </si>
  <si>
    <t>W6SC</t>
  </si>
  <si>
    <t>GMS Code</t>
  </si>
  <si>
    <t>Note: Click tab code for quick access</t>
  </si>
  <si>
    <t>Teams</t>
  </si>
  <si>
    <t>Back to Contents</t>
  </si>
  <si>
    <t>NW Division 2 North</t>
  </si>
  <si>
    <t>NW Division 2 South</t>
  </si>
  <si>
    <t xml:space="preserve">NW Division 3 North </t>
  </si>
  <si>
    <t>NW Division 3 North (Central)</t>
  </si>
  <si>
    <t>NW Division 4 North (Central)</t>
  </si>
  <si>
    <t>NW Division 5 North (Central)</t>
  </si>
  <si>
    <t>Fixtures</t>
  </si>
  <si>
    <t>M1</t>
  </si>
  <si>
    <t>M2</t>
  </si>
  <si>
    <t>Alderley Edge 2</t>
  </si>
  <si>
    <t>Bebington 1</t>
  </si>
  <si>
    <t>Clitheroe Blackburn Northern 1</t>
  </si>
  <si>
    <t>Crewe Vagrants 1</t>
  </si>
  <si>
    <t>Didsbury Northern 2</t>
  </si>
  <si>
    <t>Keswick 1</t>
  </si>
  <si>
    <t>Liverpool Sefton 1</t>
  </si>
  <si>
    <t>Neston 2</t>
  </si>
  <si>
    <t>Preston 2</t>
  </si>
  <si>
    <t>Urmston 1</t>
  </si>
  <si>
    <t>West Derby 1</t>
  </si>
  <si>
    <t>Buxton 1</t>
  </si>
  <si>
    <t>Chester 2</t>
  </si>
  <si>
    <t>City of Manchester 1</t>
  </si>
  <si>
    <t>Clwb Hoci Eirias 1</t>
  </si>
  <si>
    <t>Lancaster University 1</t>
  </si>
  <si>
    <t>Macclesfield 1</t>
  </si>
  <si>
    <t>Oxton 2</t>
  </si>
  <si>
    <t>Preston 3</t>
  </si>
  <si>
    <t>Triton 1</t>
  </si>
  <si>
    <t>Winnington Park 1</t>
  </si>
  <si>
    <t>Clitheroe Blackburn Northern 2</t>
  </si>
  <si>
    <t>Garstang 1</t>
  </si>
  <si>
    <t>Kendal 1</t>
  </si>
  <si>
    <t>Kirkby Lonsdale 1</t>
  </si>
  <si>
    <t>Leyland &amp; Chorley 1</t>
  </si>
  <si>
    <t>Lytham St Annes 1</t>
  </si>
  <si>
    <t>Preston 4</t>
  </si>
  <si>
    <t>Wigton 1</t>
  </si>
  <si>
    <t>Alderley Edge 3</t>
  </si>
  <si>
    <t>Bolton 1</t>
  </si>
  <si>
    <t>Bowdon 3</t>
  </si>
  <si>
    <t>Didsbury Northern 3</t>
  </si>
  <si>
    <t>Lymm 1</t>
  </si>
  <si>
    <t>Neston 3</t>
  </si>
  <si>
    <t>Rochdale 1</t>
  </si>
  <si>
    <t>Southport 1</t>
  </si>
  <si>
    <t>Timperley 3</t>
  </si>
  <si>
    <t>West Derby 2</t>
  </si>
  <si>
    <t>Wigan 1</t>
  </si>
  <si>
    <t>Bowdon 4</t>
  </si>
  <si>
    <t>Bury 1</t>
  </si>
  <si>
    <t>City of Manchester 2</t>
  </si>
  <si>
    <t>Crewe Vagrants 2</t>
  </si>
  <si>
    <t>Deeside Ramblers 3</t>
  </si>
  <si>
    <t>Knutsford 1</t>
  </si>
  <si>
    <t>Sale 1</t>
  </si>
  <si>
    <t>South Manchester 1</t>
  </si>
  <si>
    <t>Triton 2</t>
  </si>
  <si>
    <t>Warrington 1</t>
  </si>
  <si>
    <t>Wilmslow 2</t>
  </si>
  <si>
    <t>Keswick 2</t>
  </si>
  <si>
    <t>Keswick 3</t>
  </si>
  <si>
    <t>Leyland &amp; Chorley 2</t>
  </si>
  <si>
    <t>Lytham St Annes 2</t>
  </si>
  <si>
    <t>Preston 5</t>
  </si>
  <si>
    <t>Preston 6</t>
  </si>
  <si>
    <t>Windermere 2</t>
  </si>
  <si>
    <t>Bangor University 1</t>
  </si>
  <si>
    <t>Birkenhead 1</t>
  </si>
  <si>
    <t>Chester 3</t>
  </si>
  <si>
    <t>Clwb Hoci Eirias 2</t>
  </si>
  <si>
    <t>Formby 2</t>
  </si>
  <si>
    <t>Liverpool Sefton 2</t>
  </si>
  <si>
    <t>Mossley Hill 1</t>
  </si>
  <si>
    <t>Neston 4</t>
  </si>
  <si>
    <t>Northern 1</t>
  </si>
  <si>
    <t>Northop Hall 1</t>
  </si>
  <si>
    <t>Southport 2</t>
  </si>
  <si>
    <t>St Helens 1</t>
  </si>
  <si>
    <t>Bowdon 5</t>
  </si>
  <si>
    <t>Buxton 2</t>
  </si>
  <si>
    <t>Didsbury Northern 4</t>
  </si>
  <si>
    <t>Didsbury Northern 5</t>
  </si>
  <si>
    <t>Didsbury Northern 6</t>
  </si>
  <si>
    <t>Horwich 1</t>
  </si>
  <si>
    <t>Rochdale 2</t>
  </si>
  <si>
    <t>Stockport Bramhall 2</t>
  </si>
  <si>
    <t>Timperley 4</t>
  </si>
  <si>
    <t>Urmston 2</t>
  </si>
  <si>
    <t>Brookfield Development</t>
  </si>
  <si>
    <t>Clitheroe Blackburn Northern Development</t>
  </si>
  <si>
    <t>Fylde Development</t>
  </si>
  <si>
    <t>Garstang Development</t>
  </si>
  <si>
    <t>Kendal 2</t>
  </si>
  <si>
    <t>Kirkby Lonsdale 2</t>
  </si>
  <si>
    <t>Leyland &amp; Chorley Development</t>
  </si>
  <si>
    <t>Alderley Edge 4</t>
  </si>
  <si>
    <t>Alderley Edge 5</t>
  </si>
  <si>
    <t>Deeside Ramblers 4</t>
  </si>
  <si>
    <t>Deeside Ramblers 5</t>
  </si>
  <si>
    <t>Lymm 2</t>
  </si>
  <si>
    <t>Macclesfield 2</t>
  </si>
  <si>
    <t>Sandbach 1</t>
  </si>
  <si>
    <t>Timperley 5</t>
  </si>
  <si>
    <t>Winnington Park 2</t>
  </si>
  <si>
    <t>Formby 3</t>
  </si>
  <si>
    <t>Formby 4</t>
  </si>
  <si>
    <t>Liverpool Sefton 3</t>
  </si>
  <si>
    <t>Liverpool Sefton Development</t>
  </si>
  <si>
    <t>Mossley Hill 2</t>
  </si>
  <si>
    <t>Mossley Hill 3</t>
  </si>
  <si>
    <t>Runcorn 1</t>
  </si>
  <si>
    <t>St Helens 2</t>
  </si>
  <si>
    <t>West Derby 3</t>
  </si>
  <si>
    <t>Bangor City 1</t>
  </si>
  <si>
    <t>Bebington 2</t>
  </si>
  <si>
    <t>Chester 4</t>
  </si>
  <si>
    <t>Denbigh 1</t>
  </si>
  <si>
    <t>Northop Hall 2</t>
  </si>
  <si>
    <t>Oxton 3</t>
  </si>
  <si>
    <t>Wrexham Glyndwr 1</t>
  </si>
  <si>
    <t>Bolton 2</t>
  </si>
  <si>
    <t>Bolton 3</t>
  </si>
  <si>
    <t>Bowdon 6</t>
  </si>
  <si>
    <t>Bowdon 7</t>
  </si>
  <si>
    <t>Bury 2</t>
  </si>
  <si>
    <t>Buxton 3</t>
  </si>
  <si>
    <t>City of Manchester 3</t>
  </si>
  <si>
    <t>Sale 2</t>
  </si>
  <si>
    <t>South Manchester 2</t>
  </si>
  <si>
    <t>Timperley 6</t>
  </si>
  <si>
    <t>Crewe Vagrants 3</t>
  </si>
  <si>
    <t>Deeside Ramblers 6</t>
  </si>
  <si>
    <t>Knutsford 2</t>
  </si>
  <si>
    <t>Macclesfield 3</t>
  </si>
  <si>
    <t>Northern 2</t>
  </si>
  <si>
    <t>Triton 3</t>
  </si>
  <si>
    <t>Warrington 2</t>
  </si>
  <si>
    <t>Winnington Park 3</t>
  </si>
  <si>
    <t>Bebington 3</t>
  </si>
  <si>
    <t>Chester 5</t>
  </si>
  <si>
    <t>Chester 6</t>
  </si>
  <si>
    <t>Clwb Hoci Eirias 3</t>
  </si>
  <si>
    <t>Oxton Development</t>
  </si>
  <si>
    <t>Wrexham Glyndwr Development</t>
  </si>
  <si>
    <t>Bowdon 8</t>
  </si>
  <si>
    <t>Buxton 4</t>
  </si>
  <si>
    <t>Didsbury Northern 7</t>
  </si>
  <si>
    <t>Didsbury Northern Development</t>
  </si>
  <si>
    <t>Horwich 2</t>
  </si>
  <si>
    <t>Leigh 1</t>
  </si>
  <si>
    <t>Sale 3</t>
  </si>
  <si>
    <t>Stockport Bramhall 3</t>
  </si>
  <si>
    <t>Timperley 7</t>
  </si>
  <si>
    <t>Alderley Edge Development</t>
  </si>
  <si>
    <t>Crewe Vagrants 4</t>
  </si>
  <si>
    <t>Crewe Vagrants Development</t>
  </si>
  <si>
    <t>Deeside Ramblers 7</t>
  </si>
  <si>
    <t>Macclesfield 4</t>
  </si>
  <si>
    <t>North West Women's Premier Division</t>
  </si>
  <si>
    <t>Chester 1 (W)</t>
  </si>
  <si>
    <t>Deeside Ramblers 1 (W)</t>
  </si>
  <si>
    <t>Didsbury Northern 2 (W)</t>
  </si>
  <si>
    <t>Garstang 1 (W)</t>
  </si>
  <si>
    <t>Liverpool Sefton 1 (W)</t>
  </si>
  <si>
    <t>Lymm 1 (W)</t>
  </si>
  <si>
    <t>Neston 1 (W)</t>
  </si>
  <si>
    <t>Timperley 2 (W)</t>
  </si>
  <si>
    <t>W6E</t>
  </si>
  <si>
    <t>Alderley Edge 2 (W)</t>
  </si>
  <si>
    <t>Carlisle 1 (W)</t>
  </si>
  <si>
    <t>Didsbury Greys 1 (W)</t>
  </si>
  <si>
    <t>Formby 1 (W)</t>
  </si>
  <si>
    <t>Fylde 2 (W)</t>
  </si>
  <si>
    <t>Longridge 1 (W)</t>
  </si>
  <si>
    <t>Lytham St Annes 1 (W)</t>
  </si>
  <si>
    <t>Preston 1 (W)</t>
  </si>
  <si>
    <t>Wilmslow 1 (W)</t>
  </si>
  <si>
    <t>Chorley Phoenix 1 (W)</t>
  </si>
  <si>
    <t>Clitheroe Blackburn Northern 1 (W)</t>
  </si>
  <si>
    <t>Fylde 3 (W)</t>
  </si>
  <si>
    <t>Lancaster University 1 (W)</t>
  </si>
  <si>
    <t>Penrith 1 (W)</t>
  </si>
  <si>
    <t>Southport 1 (W)</t>
  </si>
  <si>
    <t>Wigton 1 (W)</t>
  </si>
  <si>
    <t>Bolton 1 (W)</t>
  </si>
  <si>
    <t>Bowdon 3 (W)</t>
  </si>
  <si>
    <t>Didsbury Northern 3 (W)</t>
  </si>
  <si>
    <t>Liverpool Sefton 2 (W)</t>
  </si>
  <si>
    <t>Macclesfield 1 (W)</t>
  </si>
  <si>
    <t>Northop Hall 1 (W)</t>
  </si>
  <si>
    <t>Oldham 1 (W)</t>
  </si>
  <si>
    <t>Oxton 1 (W)</t>
  </si>
  <si>
    <t>Stockport Bramhall 1 (W)</t>
  </si>
  <si>
    <t>Urmston 1 (W)</t>
  </si>
  <si>
    <t>Winnington Park 1 (W)</t>
  </si>
  <si>
    <t>Wrexham Glyndwr 1 (W)</t>
  </si>
  <si>
    <t>Bowdon 4 (W)</t>
  </si>
  <si>
    <t>City of Manchester 1 (W)</t>
  </si>
  <si>
    <t>City of Manchester 2 (W)</t>
  </si>
  <si>
    <t>Didsbury Northern 4 (W)</t>
  </si>
  <si>
    <t>Manchester Moss Park 1 (W)</t>
  </si>
  <si>
    <t>Sale 1 (W)</t>
  </si>
  <si>
    <t>Stockport Bramhall 2 (W)</t>
  </si>
  <si>
    <t>Timperley 3 (W)</t>
  </si>
  <si>
    <t>Wigan 1 (W)</t>
  </si>
  <si>
    <t>Ambleside 1 (W)</t>
  </si>
  <si>
    <t>Carlisle 3 (W)</t>
  </si>
  <si>
    <t>Dalston 1 (W)</t>
  </si>
  <si>
    <t>Keswick 1 (W)</t>
  </si>
  <si>
    <t>Kirkby Lonsdale 1 (W)</t>
  </si>
  <si>
    <t>Kirkby Stephen 3 (W)</t>
  </si>
  <si>
    <t>Penrith 2 (W)</t>
  </si>
  <si>
    <t>Wigton 2 (W)</t>
  </si>
  <si>
    <t>Brookfield 1 (W)</t>
  </si>
  <si>
    <t>Clitheroe Blackburn Northern 2 (W)</t>
  </si>
  <si>
    <t>Garstang 2 (W)</t>
  </si>
  <si>
    <t>Garstang 3 (W)</t>
  </si>
  <si>
    <t>Lancaster Nomads 1 (W)</t>
  </si>
  <si>
    <t>Leyland &amp; Chorley 1 (W)</t>
  </si>
  <si>
    <t>Longridge 2 (W)</t>
  </si>
  <si>
    <t>Pendle Forest 2 (W)</t>
  </si>
  <si>
    <t>Preston 2 (W)</t>
  </si>
  <si>
    <t>Alderley Edge 3 (W)</t>
  </si>
  <si>
    <t>Chester 2 (W)</t>
  </si>
  <si>
    <t>Chester 3 (W)</t>
  </si>
  <si>
    <t>Clwb Hoci Eirias 1 (W)</t>
  </si>
  <si>
    <t>Crewe Vagrants 1 (W)</t>
  </si>
  <si>
    <t>Deeside Ramblers 2 (W)</t>
  </si>
  <si>
    <t>Lymm 2 (W)</t>
  </si>
  <si>
    <t>Neston 2 (W)</t>
  </si>
  <si>
    <t>Wilmslow 2 (W)</t>
  </si>
  <si>
    <t>Bowdon 5 (W)</t>
  </si>
  <si>
    <t>Bowdon 6 (W)</t>
  </si>
  <si>
    <t>Buxton 1 (W)</t>
  </si>
  <si>
    <t>Didsbury Greys 2 (W)</t>
  </si>
  <si>
    <t>Didsbury Northern 5 (W)</t>
  </si>
  <si>
    <t>Manchester Manto 1 (W)</t>
  </si>
  <si>
    <t>Manchester Moss Park 2 (W)</t>
  </si>
  <si>
    <t>Oldham 2 (W)</t>
  </si>
  <si>
    <t>Sale 2 (W)</t>
  </si>
  <si>
    <t>Timperley 4 (W)</t>
  </si>
  <si>
    <t>Clitheroe Blackburn Northern 3 (W)</t>
  </si>
  <si>
    <t>Fylde 4 (W)</t>
  </si>
  <si>
    <t>Fylde 5 (W)</t>
  </si>
  <si>
    <t>Pendle Forest 3 (W)</t>
  </si>
  <si>
    <t>Preston 3 (W)</t>
  </si>
  <si>
    <t>Southport 2 (W)</t>
  </si>
  <si>
    <t>Windermere 1 (W)</t>
  </si>
  <si>
    <t>Alderley Edge 4 (W)</t>
  </si>
  <si>
    <t>Cheshire Blues 1 (W)</t>
  </si>
  <si>
    <t>Deeside Ramblers 3 (W)</t>
  </si>
  <si>
    <t>Knutsford 1 (W)</t>
  </si>
  <si>
    <t>Macclesfield 2 (W)</t>
  </si>
  <si>
    <t>Sandbach 1 (W)</t>
  </si>
  <si>
    <t>Triton 1 (W)</t>
  </si>
  <si>
    <t>Warrington 1 (W)</t>
  </si>
  <si>
    <t>Wilmslow 3 (W)</t>
  </si>
  <si>
    <t>Winnington Park 2 (W)</t>
  </si>
  <si>
    <t>City of Liverpool 1 (W)</t>
  </si>
  <si>
    <t>Clwb Hoci Eirias 2 (W)</t>
  </si>
  <si>
    <t>Formby 2 (W)</t>
  </si>
  <si>
    <t>Liverpool Sefton 3 (W)</t>
  </si>
  <si>
    <t>Liverpool Sefton 4 (W)</t>
  </si>
  <si>
    <t>Mossley Hill 1 (W)</t>
  </si>
  <si>
    <t>Northern 1 (W)</t>
  </si>
  <si>
    <t>Northop Hall 2 (W)</t>
  </si>
  <si>
    <t>Oxton 2 (W)</t>
  </si>
  <si>
    <t>West Derby 1 (W)</t>
  </si>
  <si>
    <t>City of Manchester 3 (W)</t>
  </si>
  <si>
    <t>Didsbury Greys 3 (W)</t>
  </si>
  <si>
    <t>Didsbury Northern 6 (W)</t>
  </si>
  <si>
    <t>Glossop 1 (W)</t>
  </si>
  <si>
    <t>Horwich 1 (W)</t>
  </si>
  <si>
    <t>Oldham 3 (W)</t>
  </si>
  <si>
    <t>Stockport Bramhall 3 (W)</t>
  </si>
  <si>
    <t>Timperley 5 (W)</t>
  </si>
  <si>
    <t>Timperley 6 (W)</t>
  </si>
  <si>
    <t>Urmston 2 (W)</t>
  </si>
  <si>
    <t>Brookfield 2 (W)</t>
  </si>
  <si>
    <t>Chorley Phoenix 2 (W)</t>
  </si>
  <si>
    <t>Lancaster Nomads 2 (W)</t>
  </si>
  <si>
    <t>Leyland &amp; Chorley 2 (W)</t>
  </si>
  <si>
    <t>Alderley Edge 5 (W)</t>
  </si>
  <si>
    <t>Alderley Edge 6 (W)</t>
  </si>
  <si>
    <t>Crewe Vagrants 2 (W)</t>
  </si>
  <si>
    <t>Crewe Vagrants 3 (W)</t>
  </si>
  <si>
    <t>Deeside Ramblers 4 (W)</t>
  </si>
  <si>
    <t>Lymm 3 (W)</t>
  </si>
  <si>
    <t>Macclesfield 3 (W)</t>
  </si>
  <si>
    <t>Oswestry 1 (W)</t>
  </si>
  <si>
    <t>Triton 2 (W)</t>
  </si>
  <si>
    <t>Wilmslow 4 (W)</t>
  </si>
  <si>
    <t>Liverpool Sefton 5 (W)</t>
  </si>
  <si>
    <t>Merseyside Police 1 (W)</t>
  </si>
  <si>
    <t>Mossley Hill 2 (W)</t>
  </si>
  <si>
    <t>Neston Development (W)</t>
  </si>
  <si>
    <t>Oxton 3 (W)</t>
  </si>
  <si>
    <t>Oxton Development (W)</t>
  </si>
  <si>
    <t>St Helens 1 (W)</t>
  </si>
  <si>
    <t>Bebington 1 (W)</t>
  </si>
  <si>
    <t>Buckley 1 (W)</t>
  </si>
  <si>
    <t>Chester 4 (W)</t>
  </si>
  <si>
    <t>Northop Hall Development (W)</t>
  </si>
  <si>
    <t>Wrexham Glyndwr 2 (W)</t>
  </si>
  <si>
    <t>Bowdon 7 (W)</t>
  </si>
  <si>
    <t>Buxton 2 (W)</t>
  </si>
  <si>
    <t>Manchester Moss Park 3 (W)</t>
  </si>
  <si>
    <t>Sale 3 (W)</t>
  </si>
  <si>
    <t>Stockport Bramhall Development (W)</t>
  </si>
  <si>
    <t>Urmston Development (W)</t>
  </si>
  <si>
    <t>Alderley Edge Development (W)</t>
  </si>
  <si>
    <t>Crewe Vagrants 4 (W)</t>
  </si>
  <si>
    <t>Deeside Ramblers 5 (W)</t>
  </si>
  <si>
    <t>Lymm 4 (W)</t>
  </si>
  <si>
    <t>Macclesfield 4 (W)</t>
  </si>
  <si>
    <t>Runcorn Development (W)</t>
  </si>
  <si>
    <t>Sandbach 2 (W)</t>
  </si>
  <si>
    <t>Winnington Park Development (W)</t>
  </si>
  <si>
    <t>Brooklands Manchester University 3</t>
  </si>
  <si>
    <t>North West Club Fixtures</t>
  </si>
  <si>
    <t>Date</t>
  </si>
  <si>
    <t>Area Name</t>
  </si>
  <si>
    <t>Competition Name</t>
  </si>
  <si>
    <t>Competition ID</t>
  </si>
  <si>
    <t>Home Team Name</t>
  </si>
  <si>
    <t>Home ID</t>
  </si>
  <si>
    <t>Away Team Name</t>
  </si>
  <si>
    <t>Away ID</t>
  </si>
  <si>
    <t>England Hockey - North West</t>
  </si>
  <si>
    <t>See all NW Fixtures</t>
  </si>
  <si>
    <t/>
  </si>
  <si>
    <t>Stockport Bramhall 1</t>
  </si>
  <si>
    <t>Brooklands Manchester University 4</t>
  </si>
  <si>
    <t>All Fixtures</t>
  </si>
  <si>
    <t>All NW Team Fixtures - EHL &amp; NW</t>
  </si>
  <si>
    <t>Brooklands Manchester University 5</t>
  </si>
  <si>
    <t>Bye - Friendly</t>
  </si>
  <si>
    <t>Whitchurch (Shropshire) 1</t>
  </si>
  <si>
    <t>Neston 5</t>
  </si>
  <si>
    <t>Rhyl &amp; District 1</t>
  </si>
  <si>
    <t>Brooklands Manchester University 6</t>
  </si>
  <si>
    <t>Whitchurch (Shropshire) 2</t>
  </si>
  <si>
    <t xml:space="preserve">Option: Play each other 3 times - NOT IN USE </t>
  </si>
  <si>
    <t>Sedbergh 1 (W)</t>
  </si>
  <si>
    <t>Whitchurch (Shropshire) 1 (W)</t>
  </si>
  <si>
    <t>Rhyl &amp; District 1 (W)</t>
  </si>
  <si>
    <t>Whitchurch (Shropshire) 3 (W)</t>
  </si>
  <si>
    <t>Whitchurch (Shropshire) 2 (W)</t>
  </si>
  <si>
    <t xml:space="preserve">Home </t>
  </si>
  <si>
    <t>Away</t>
  </si>
  <si>
    <t>South Manchester 3</t>
  </si>
  <si>
    <t>Brooklands-Poynton 1 (W)</t>
  </si>
  <si>
    <t>Please be aware that team names are WhosTheUmpire reference names. That is the only reason for (W) appearing on women's fixtures.</t>
  </si>
  <si>
    <t>Timperley 1 (W)</t>
  </si>
  <si>
    <t>Heaton 1 (W)</t>
  </si>
  <si>
    <t>Bury 1 (W)</t>
  </si>
  <si>
    <t>Carlisle 2 (W)</t>
  </si>
  <si>
    <t>Kirkby Stephen 2 (W)</t>
  </si>
  <si>
    <t>Kirkby Stephen Development (W)</t>
  </si>
  <si>
    <t>Kendal 1 (W)</t>
  </si>
  <si>
    <t>Lytham St Annes 2 (W)</t>
  </si>
  <si>
    <t>Bangor City 1 (W)</t>
  </si>
  <si>
    <t>Runcorn 1 (W)</t>
  </si>
  <si>
    <t>Bolton 2 (W)</t>
  </si>
  <si>
    <t>Rochdale 1 (W)</t>
  </si>
  <si>
    <t>Formby Development (W)</t>
  </si>
  <si>
    <t>Northern 2 (W)</t>
  </si>
  <si>
    <t>West Derby 2 (W)</t>
  </si>
  <si>
    <t>Bangor University 1 (W)</t>
  </si>
  <si>
    <t>Denbigh 1 (W)</t>
  </si>
  <si>
    <t>Neston 3 (W)</t>
  </si>
  <si>
    <t>Bolton Development (W)</t>
  </si>
  <si>
    <t>Wilmslow 5 (W)</t>
  </si>
  <si>
    <t>Denbigh 2</t>
  </si>
  <si>
    <t>Oxton 4</t>
  </si>
  <si>
    <t>Fylde 1</t>
  </si>
  <si>
    <t>Preston 7</t>
  </si>
  <si>
    <t>Bowdon 9</t>
  </si>
  <si>
    <t>Wigan 2</t>
  </si>
  <si>
    <t>Timperley Development</t>
  </si>
  <si>
    <t>Sandbach 2</t>
  </si>
  <si>
    <t>Home Club Name</t>
  </si>
  <si>
    <t>Away Club Name</t>
  </si>
  <si>
    <t>Timperley</t>
  </si>
  <si>
    <t>Deeside Ramblers</t>
  </si>
  <si>
    <t>Kirkby Stephen</t>
  </si>
  <si>
    <t>Neston</t>
  </si>
  <si>
    <t>Alderley Edge</t>
  </si>
  <si>
    <t>Didsbury Northern</t>
  </si>
  <si>
    <t>Pendle Forest</t>
  </si>
  <si>
    <t>Fylde</t>
  </si>
  <si>
    <t>Bowdon</t>
  </si>
  <si>
    <t>Brooklands Manchester University</t>
  </si>
  <si>
    <t xml:space="preserve">2025-2026 Adult League Fixtures </t>
  </si>
  <si>
    <t>Open/Men's Structure</t>
  </si>
  <si>
    <t>Women's Structure</t>
  </si>
  <si>
    <t xml:space="preserve">N/A </t>
  </si>
  <si>
    <t>North West Open/Men's Premier</t>
  </si>
  <si>
    <t>North West Open/Men's Division 1</t>
  </si>
  <si>
    <t>North West Open/Men's Division 2</t>
  </si>
  <si>
    <t>North West Open/Men's Division 3 North</t>
  </si>
  <si>
    <t>North West Open/Men's Division 3 South</t>
  </si>
  <si>
    <t>North West Open/Men's Division 4 East</t>
  </si>
  <si>
    <t>North West Open/Men's Division 4 North</t>
  </si>
  <si>
    <t>North West Open/Men's Division 4 West</t>
  </si>
  <si>
    <t>North West Open/Men's Division 5 East</t>
  </si>
  <si>
    <t>North West Open/Men's Division 5 South (Central)</t>
  </si>
  <si>
    <t>North West Open/Men's Division 5 West (North)</t>
  </si>
  <si>
    <t>North West Open/Men's Division 5 West (South)</t>
  </si>
  <si>
    <t>North West Open/Men's Division 6 East</t>
  </si>
  <si>
    <t>North West Open/Men's Division 6 South (Central)</t>
  </si>
  <si>
    <t>North West Open/Men's Division 6 West (South)</t>
  </si>
  <si>
    <t>North West Open/Men's Division 7 East</t>
  </si>
  <si>
    <t>North West Open/Men's Division 7 South (Central)</t>
  </si>
  <si>
    <t>2025-2026 Open/Men's Adult League Structure</t>
  </si>
  <si>
    <t>2025-2026 Women's Adult League Structure</t>
  </si>
  <si>
    <t>North West Open/Men's Premier Division</t>
  </si>
  <si>
    <t>Brooklands Manchester University 2</t>
  </si>
  <si>
    <t>EHL Open/Men's Premier Division</t>
  </si>
  <si>
    <t>Southgate</t>
  </si>
  <si>
    <t>EHL Women's Conference North</t>
  </si>
  <si>
    <t>Wakefield</t>
  </si>
  <si>
    <t>Sheffield</t>
  </si>
  <si>
    <t>Whitley Bay &amp; Tynemouth</t>
  </si>
  <si>
    <t>EHL Women's Division 1 North</t>
  </si>
  <si>
    <t xml:space="preserve">Repton </t>
  </si>
  <si>
    <t>EHL Women's Premier Division</t>
  </si>
  <si>
    <t>Birmingham University</t>
  </si>
  <si>
    <t>EHL Open/Men's Conference North</t>
  </si>
  <si>
    <t>Doncaster</t>
  </si>
  <si>
    <t xml:space="preserve">Oxton </t>
  </si>
  <si>
    <t>Lindum</t>
  </si>
  <si>
    <t xml:space="preserve">Sheffield </t>
  </si>
  <si>
    <t>EHL Open/Men's Division 1 North</t>
  </si>
  <si>
    <t xml:space="preserve">Birmingham University </t>
  </si>
  <si>
    <t>Holcombe</t>
  </si>
  <si>
    <t>Durham University 2</t>
  </si>
  <si>
    <t>Gloucester City</t>
  </si>
  <si>
    <t>Hampstead &amp; Westminster</t>
  </si>
  <si>
    <t xml:space="preserve">Leeds </t>
  </si>
  <si>
    <t>Olton &amp; West Warwickshire</t>
  </si>
  <si>
    <t>Repton</t>
  </si>
  <si>
    <t xml:space="preserve">Harborne </t>
  </si>
  <si>
    <t>East Grinstead</t>
  </si>
  <si>
    <t xml:space="preserve">Newcastle University </t>
  </si>
  <si>
    <t>Ben Rhydding</t>
  </si>
  <si>
    <t xml:space="preserve">Durham University </t>
  </si>
  <si>
    <t>Durham University</t>
  </si>
  <si>
    <t>Loughborough Students</t>
  </si>
  <si>
    <t>Oxted</t>
  </si>
  <si>
    <t>Sutton Coldfield</t>
  </si>
  <si>
    <t>Clifton Robinsons</t>
  </si>
  <si>
    <t>Newcastle University</t>
  </si>
  <si>
    <t>Nottingham University</t>
  </si>
  <si>
    <t>Reading</t>
  </si>
  <si>
    <t xml:space="preserve">Beeston </t>
  </si>
  <si>
    <t>Surbiton</t>
  </si>
  <si>
    <t>Wimbledon</t>
  </si>
  <si>
    <t>Old Georgians</t>
  </si>
  <si>
    <t xml:space="preserve">Nottingham University </t>
  </si>
  <si>
    <t>Cardiff &amp; Met</t>
  </si>
  <si>
    <t>Buckingham</t>
  </si>
  <si>
    <t>Barnes</t>
  </si>
  <si>
    <t>Beeston</t>
  </si>
  <si>
    <t>Loughborough Students 2s</t>
  </si>
  <si>
    <t>EHL</t>
  </si>
  <si>
    <t xml:space="preserve">Bowdon </t>
  </si>
  <si>
    <t>Loughborough Students s</t>
  </si>
  <si>
    <t>Code</t>
  </si>
  <si>
    <t>Home Balancing</t>
  </si>
  <si>
    <t>Away Balancing</t>
  </si>
  <si>
    <t>Golborne &amp; Prescot 1</t>
  </si>
  <si>
    <t>Lancaster &amp; District 1</t>
  </si>
  <si>
    <t>Ulverston South Lakes 1</t>
  </si>
  <si>
    <t>Code LDHC</t>
  </si>
  <si>
    <t>Code USL</t>
  </si>
  <si>
    <t>Golborne &amp; Prescot 2</t>
  </si>
  <si>
    <t xml:space="preserve">Garstang Development </t>
  </si>
  <si>
    <t>Lancaster University 2</t>
  </si>
  <si>
    <t>Ulverston South Lakes Development</t>
  </si>
  <si>
    <t>Golborne &amp; Prescot 3</t>
  </si>
  <si>
    <t>University of Liverpool 1</t>
  </si>
  <si>
    <t>Bye</t>
  </si>
  <si>
    <t>Northop Hall 3</t>
  </si>
  <si>
    <t>Runcorn 2</t>
  </si>
  <si>
    <t>Clwb Hoci Eirias Development</t>
  </si>
  <si>
    <t>Buxton Development</t>
  </si>
  <si>
    <t>Didsbury Northern 8</t>
  </si>
  <si>
    <t>South Manchester 4</t>
  </si>
  <si>
    <t>City of Manchester Development</t>
  </si>
  <si>
    <t>Deeside Ramblers Development</t>
  </si>
  <si>
    <t>Golborne &amp; Prescot Development</t>
  </si>
  <si>
    <t>Sandbach 3</t>
  </si>
  <si>
    <t>Sandbach Development</t>
  </si>
  <si>
    <t>Triton Development</t>
  </si>
  <si>
    <t>Whitchurch (Shropshire) Development</t>
  </si>
  <si>
    <t>Golborne &amp; Prescot 1 (W)</t>
  </si>
  <si>
    <t>Lancaster &amp; District 1 (W)</t>
  </si>
  <si>
    <t>Lancaster &amp; District 2 (W)</t>
  </si>
  <si>
    <t>Ulverston South Lakes 1 (W)</t>
  </si>
  <si>
    <t>Code LD</t>
  </si>
  <si>
    <t>W3S</t>
  </si>
  <si>
    <t>North West Women's Division 3 South</t>
  </si>
  <si>
    <t>W1</t>
  </si>
  <si>
    <t>North West Women's Division 7 South (Central)</t>
  </si>
  <si>
    <t>North West Women's Division 7 East</t>
  </si>
  <si>
    <t>University of Liverpool 1 (W)</t>
  </si>
  <si>
    <t>Ulverston South Lakes Development (W)</t>
  </si>
  <si>
    <t>Lancaster &amp; District 3 (W)</t>
  </si>
  <si>
    <t>Neston 6</t>
  </si>
  <si>
    <t>Knutsford Development</t>
  </si>
  <si>
    <t>Bye - See Available Team in 7 South (Central)</t>
  </si>
  <si>
    <t>Bye - See Available Team in 6 West (South)</t>
  </si>
  <si>
    <t>Potential Friendly</t>
  </si>
  <si>
    <t>Chorley Phoenix Development (W)</t>
  </si>
  <si>
    <t>Clitheroe Blackburn Northern Development (W)</t>
  </si>
  <si>
    <t>Fylde Development (W)</t>
  </si>
  <si>
    <t>Garstang Development (W)</t>
  </si>
  <si>
    <t>Lancaster &amp; District 4 (W)</t>
  </si>
  <si>
    <t>Lancaster University 2 (W)</t>
  </si>
  <si>
    <t>Leyland &amp; Chorley 3 (W)</t>
  </si>
  <si>
    <t>Longridge Development (W)</t>
  </si>
  <si>
    <t>North West Women's Division 5 West</t>
  </si>
  <si>
    <t>Golborne &amp; Prescot 2 (W)</t>
  </si>
  <si>
    <t>W5W</t>
  </si>
  <si>
    <t xml:space="preserve">North West Women's Division 5 West </t>
  </si>
  <si>
    <t>North West Women's Division 6 West (North)</t>
  </si>
  <si>
    <t>North West Women's Division 6 West (South)</t>
  </si>
  <si>
    <t>W6WN</t>
  </si>
  <si>
    <t>W6WS</t>
  </si>
  <si>
    <t>W7E</t>
  </si>
  <si>
    <t>W7SC</t>
  </si>
  <si>
    <t>NW Division 5 West</t>
  </si>
  <si>
    <t>NW Division 6 West (North)</t>
  </si>
  <si>
    <t>Golborne &amp; Prescot 3 (W)</t>
  </si>
  <si>
    <t>St Helens 2 (W)</t>
  </si>
  <si>
    <t>University of Liverpool 2 (W)</t>
  </si>
  <si>
    <t>Clwb Hoci Eirias 3 (W)</t>
  </si>
  <si>
    <t>Clwb Hoci Rhuthun 1 (W)</t>
  </si>
  <si>
    <t>Denbigh Development (W)</t>
  </si>
  <si>
    <t>Bowdon Development (W)</t>
  </si>
  <si>
    <t>Didsbury Greys 4 (W)</t>
  </si>
  <si>
    <t>Didsbury Northern 7 (W)</t>
  </si>
  <si>
    <t>Horwich 2 (W)</t>
  </si>
  <si>
    <t>Macclesfield Development (W)</t>
  </si>
  <si>
    <t>Wigan Development (W)</t>
  </si>
  <si>
    <t>Crewe Vagrants Development (W)</t>
  </si>
  <si>
    <t>Golborne &amp; Prescot Development (W)</t>
  </si>
  <si>
    <t>Warrington Development (W)</t>
  </si>
  <si>
    <t>Code R</t>
  </si>
  <si>
    <t>Code DD</t>
  </si>
  <si>
    <t>City of Manchester Development (W)</t>
  </si>
  <si>
    <t>Brooklands-Poynton Development (W)</t>
  </si>
  <si>
    <t>Brooklands-Poynton 2 (W)</t>
  </si>
  <si>
    <t>Code BN</t>
  </si>
  <si>
    <t>Potential Friendly (Home Team)</t>
  </si>
  <si>
    <t>Potential Friendly (Away Team)</t>
  </si>
  <si>
    <t>Preston</t>
  </si>
  <si>
    <t>Liverpool Sefton</t>
  </si>
  <si>
    <t>Winnington Park</t>
  </si>
  <si>
    <t>Bangor City</t>
  </si>
  <si>
    <t>Bangor University</t>
  </si>
  <si>
    <t>Northop Hall</t>
  </si>
  <si>
    <t>Bebington</t>
  </si>
  <si>
    <t>Clwb Hoci Eirias</t>
  </si>
  <si>
    <t>Bolton</t>
  </si>
  <si>
    <t>South Manchester</t>
  </si>
  <si>
    <t>Manchester Moss Park</t>
  </si>
  <si>
    <t>Oldham</t>
  </si>
  <si>
    <t>Buxton</t>
  </si>
  <si>
    <t>Brookfield</t>
  </si>
  <si>
    <t>Chorley Phoenix</t>
  </si>
  <si>
    <t>Bury</t>
  </si>
  <si>
    <t>Brooklands-Poynton</t>
  </si>
  <si>
    <t>Crewe Vagrants</t>
  </si>
  <si>
    <t>Stockport Bramhall</t>
  </si>
  <si>
    <t>Buckley</t>
  </si>
  <si>
    <t>Denbigh</t>
  </si>
  <si>
    <t>Formby</t>
  </si>
  <si>
    <t>Carlisle</t>
  </si>
  <si>
    <t>Sedbergh</t>
  </si>
  <si>
    <t>Cheshire Blues</t>
  </si>
  <si>
    <t>Warrington</t>
  </si>
  <si>
    <t>Chester</t>
  </si>
  <si>
    <t>Lymm</t>
  </si>
  <si>
    <t>West Derby</t>
  </si>
  <si>
    <t>City of Liverpool</t>
  </si>
  <si>
    <t>Runcorn</t>
  </si>
  <si>
    <t>City of Manchester</t>
  </si>
  <si>
    <t>Manchester Manto</t>
  </si>
  <si>
    <t>Rochdale</t>
  </si>
  <si>
    <t>Wigan</t>
  </si>
  <si>
    <t>Clitheroe Blackburn Northern</t>
  </si>
  <si>
    <t>Urmston</t>
  </si>
  <si>
    <t>Golborne &amp; Prescot</t>
  </si>
  <si>
    <t>Lancaster Nomads</t>
  </si>
  <si>
    <t>Leyland &amp; Chorley</t>
  </si>
  <si>
    <t>Mossley Hill</t>
  </si>
  <si>
    <t>Clwb Hoci Rhuthun</t>
  </si>
  <si>
    <t>Wrexham Glyndwr</t>
  </si>
  <si>
    <t>Wilmslow</t>
  </si>
  <si>
    <t>Sandbach</t>
  </si>
  <si>
    <t>Garstang</t>
  </si>
  <si>
    <t>Sale</t>
  </si>
  <si>
    <t>Triton</t>
  </si>
  <si>
    <t>Didsbury Greys</t>
  </si>
  <si>
    <t>Macclesfield</t>
  </si>
  <si>
    <t>Keswick</t>
  </si>
  <si>
    <t>Longridge</t>
  </si>
  <si>
    <t>Lytham St Annes</t>
  </si>
  <si>
    <t>Ulverston South Lakes</t>
  </si>
  <si>
    <t>University of Liverpool</t>
  </si>
  <si>
    <t>Heaton</t>
  </si>
  <si>
    <t>Horwich</t>
  </si>
  <si>
    <t>Kendal</t>
  </si>
  <si>
    <t>Lancaster &amp; District</t>
  </si>
  <si>
    <t>Kirkby Lonsdale</t>
  </si>
  <si>
    <t>Ambleside</t>
  </si>
  <si>
    <t>Penrith</t>
  </si>
  <si>
    <t>Dalston</t>
  </si>
  <si>
    <t>Knutsford</t>
  </si>
  <si>
    <t>Lancaster University</t>
  </si>
  <si>
    <t>Oxton</t>
  </si>
  <si>
    <t>Merseyside Police</t>
  </si>
  <si>
    <t>Southport</t>
  </si>
  <si>
    <t>St Helens</t>
  </si>
  <si>
    <t>Northern</t>
  </si>
  <si>
    <t>Oswestry</t>
  </si>
  <si>
    <t>Rhyl &amp; District</t>
  </si>
  <si>
    <t>Whitchurch (Shropshire)</t>
  </si>
  <si>
    <t>Glossop</t>
  </si>
  <si>
    <t>Birkenhead</t>
  </si>
  <si>
    <t>Windermere</t>
  </si>
  <si>
    <t>Wigton</t>
  </si>
  <si>
    <t>Bye - See Available Team in West (South)</t>
  </si>
  <si>
    <t>Bye - See Available Team in South (Central)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</si>
</sst>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d\ dd\ mmm"/>
  </numFmts>
  <fonts count="2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4169E1"/>
      <name val="Calibri"/>
      <family val="2"/>
      <scheme val="minor"/>
    </font>
    <font>
      <b/>
      <sz val="14"/>
      <color rgb="FF4169E1"/>
      <name val="Calibri"/>
      <family val="2"/>
      <scheme val="minor"/>
    </font>
    <font>
      <b/>
      <sz val="28"/>
      <color rgb="FF4169E1"/>
      <name val="Calibri"/>
      <family val="2"/>
      <scheme val="minor"/>
    </font>
    <font>
      <b/>
      <sz val="36"/>
      <color rgb="FF4169E1"/>
      <name val="Calibri"/>
      <family val="2"/>
      <scheme val="minor"/>
    </font>
    <font>
      <b/>
      <sz val="48"/>
      <color rgb="FF4169E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rgb="FF4169E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4169E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8"/>
      <color rgb="FF4169E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theme="4"/>
      <name val="Calibri"/>
      <family val="2"/>
      <scheme val="minor"/>
    </font>
    <font>
      <b/>
      <sz val="16"/>
      <color rgb="FF4169E1"/>
      <name val="Calibri"/>
      <family val="2"/>
      <scheme val="minor"/>
    </font>
    <font>
      <sz val="11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169E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FF0000"/>
      </bottom>
      <diagonal/>
    </border>
    <border>
      <left style="medium">
        <color rgb="FF4169E1"/>
      </left>
      <right style="medium">
        <color rgb="FF4169E1"/>
      </right>
      <top style="medium">
        <color rgb="FF4169E1"/>
      </top>
      <bottom style="medium">
        <color rgb="FF4169E1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4169E1"/>
      </left>
      <right style="medium">
        <color rgb="FF4169E1"/>
      </right>
      <top style="medium">
        <color rgb="FF4169E1"/>
      </top>
      <bottom/>
      <diagonal/>
    </border>
    <border>
      <left style="medium">
        <color rgb="FF4169E1"/>
      </left>
      <right style="medium">
        <color rgb="FF4169E1"/>
      </right>
      <top/>
      <bottom style="medium">
        <color rgb="FF4169E1"/>
      </bottom>
      <diagonal/>
    </border>
    <border>
      <left style="thin">
        <color theme="0"/>
      </left>
      <right/>
      <top style="thin">
        <color rgb="FFFF0000"/>
      </top>
      <bottom/>
      <diagonal/>
    </border>
    <border>
      <left/>
      <right/>
      <top style="thin">
        <color rgb="FFFF000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4169E1"/>
      </left>
      <right/>
      <top style="medium">
        <color rgb="FF4169E1"/>
      </top>
      <bottom/>
      <diagonal/>
    </border>
    <border>
      <left/>
      <right style="medium">
        <color rgb="FF4169E1"/>
      </right>
      <top style="medium">
        <color rgb="FF4169E1"/>
      </top>
      <bottom/>
      <diagonal/>
    </border>
    <border>
      <left style="medium">
        <color rgb="FF4169E1"/>
      </left>
      <right/>
      <top/>
      <bottom/>
      <diagonal/>
    </border>
    <border>
      <left/>
      <right style="medium">
        <color rgb="FF4169E1"/>
      </right>
      <top/>
      <bottom/>
      <diagonal/>
    </border>
    <border>
      <left style="medium">
        <color rgb="FF4169E1"/>
      </left>
      <right/>
      <top/>
      <bottom style="medium">
        <color rgb="FF4169E1"/>
      </bottom>
      <diagonal/>
    </border>
    <border>
      <left/>
      <right style="medium">
        <color rgb="FF4169E1"/>
      </right>
      <top/>
      <bottom style="medium">
        <color rgb="FF4169E1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theme="0"/>
      </left>
      <right style="thin">
        <color rgb="FFFF0000"/>
      </right>
      <top style="thin">
        <color rgb="FFFF000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medium">
        <color rgb="FF4169E1"/>
      </top>
      <bottom/>
      <diagonal/>
    </border>
    <border>
      <left/>
      <right/>
      <top/>
      <bottom style="medium">
        <color rgb="FF4169E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EE0000"/>
      </right>
      <top style="medium">
        <color rgb="FF4169E1"/>
      </top>
      <bottom style="medium">
        <color rgb="FF4169E1"/>
      </bottom>
      <diagonal/>
    </border>
  </borders>
  <cellStyleXfs count="4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19" fillId="0" borderId="0"/>
  </cellStyleXfs>
  <cellXfs count="202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6" borderId="0" xfId="0" applyFill="1"/>
    <xf numFmtId="0" fontId="0" fillId="6" borderId="0" xfId="0" applyFill="1" applyAlignment="1">
      <alignment horizontal="left"/>
    </xf>
    <xf numFmtId="0" fontId="0" fillId="4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8" fillId="6" borderId="0" xfId="0" applyFont="1" applyFill="1"/>
    <xf numFmtId="0" fontId="10" fillId="6" borderId="0" xfId="0" applyFont="1" applyFill="1" applyAlignment="1">
      <alignment vertical="top"/>
    </xf>
    <xf numFmtId="0" fontId="11" fillId="6" borderId="0" xfId="0" applyFont="1" applyFill="1" applyAlignment="1">
      <alignment vertical="top"/>
    </xf>
    <xf numFmtId="0" fontId="4" fillId="6" borderId="0" xfId="0" applyFont="1" applyFill="1"/>
    <xf numFmtId="0" fontId="4" fillId="6" borderId="0" xfId="0" applyFont="1" applyFill="1" applyAlignment="1">
      <alignment horizontal="left"/>
    </xf>
    <xf numFmtId="0" fontId="12" fillId="6" borderId="0" xfId="0" applyFont="1" applyFill="1" applyAlignment="1">
      <alignment horizontal="left"/>
    </xf>
    <xf numFmtId="0" fontId="9" fillId="6" borderId="0" xfId="0" applyFont="1" applyFill="1" applyAlignment="1">
      <alignment horizontal="left"/>
    </xf>
    <xf numFmtId="0" fontId="0" fillId="6" borderId="0" xfId="0" applyFill="1" applyAlignment="1">
      <alignment vertical="top"/>
    </xf>
    <xf numFmtId="0" fontId="1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14" fillId="7" borderId="11" xfId="2" applyFont="1" applyFill="1" applyBorder="1" applyAlignment="1">
      <alignment horizontal="left" vertical="top" wrapText="1"/>
    </xf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7" fillId="7" borderId="11" xfId="2" applyFont="1" applyFill="1" applyBorder="1" applyAlignment="1">
      <alignment vertical="top"/>
    </xf>
    <xf numFmtId="0" fontId="13" fillId="7" borderId="11" xfId="2" applyFont="1" applyFill="1" applyBorder="1" applyAlignment="1">
      <alignment horizontal="left"/>
    </xf>
    <xf numFmtId="0" fontId="13" fillId="7" borderId="16" xfId="2" applyFont="1" applyFill="1" applyBorder="1" applyAlignment="1">
      <alignment horizontal="left"/>
    </xf>
    <xf numFmtId="0" fontId="3" fillId="0" borderId="0" xfId="0" applyFont="1"/>
    <xf numFmtId="0" fontId="3" fillId="0" borderId="10" xfId="0" applyFont="1" applyBorder="1"/>
    <xf numFmtId="0" fontId="3" fillId="0" borderId="26" xfId="0" applyFont="1" applyBorder="1"/>
    <xf numFmtId="0" fontId="3" fillId="0" borderId="27" xfId="0" applyFont="1" applyBorder="1"/>
    <xf numFmtId="0" fontId="3" fillId="0" borderId="28" xfId="0" applyFont="1" applyBorder="1"/>
    <xf numFmtId="0" fontId="0" fillId="6" borderId="0" xfId="0" applyFill="1" applyAlignment="1">
      <alignment horizontal="left" vertical="top"/>
    </xf>
    <xf numFmtId="0" fontId="12" fillId="6" borderId="0" xfId="0" applyFont="1" applyFill="1" applyAlignment="1">
      <alignment horizontal="left" vertical="center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9" xfId="0" applyFont="1" applyBorder="1"/>
    <xf numFmtId="0" fontId="3" fillId="0" borderId="30" xfId="0" applyFont="1" applyBorder="1"/>
    <xf numFmtId="0" fontId="3" fillId="0" borderId="31" xfId="0" applyFont="1" applyBorder="1"/>
    <xf numFmtId="0" fontId="4" fillId="0" borderId="0" xfId="0" applyFont="1" applyAlignment="1">
      <alignment horizontal="left"/>
    </xf>
    <xf numFmtId="14" fontId="4" fillId="6" borderId="0" xfId="0" applyNumberFormat="1" applyFont="1" applyFill="1" applyAlignment="1">
      <alignment horizontal="left"/>
    </xf>
    <xf numFmtId="14" fontId="4" fillId="0" borderId="0" xfId="0" applyNumberFormat="1" applyFont="1" applyAlignment="1">
      <alignment horizontal="left"/>
    </xf>
    <xf numFmtId="0" fontId="6" fillId="6" borderId="0" xfId="0" applyFont="1" applyFill="1" applyAlignment="1">
      <alignment horizontal="left" vertical="top" wrapText="1"/>
    </xf>
    <xf numFmtId="0" fontId="9" fillId="6" borderId="0" xfId="0" applyFont="1" applyFill="1"/>
    <xf numFmtId="14" fontId="0" fillId="6" borderId="0" xfId="0" applyNumberFormat="1" applyFill="1" applyAlignment="1">
      <alignment horizontal="left"/>
    </xf>
    <xf numFmtId="0" fontId="7" fillId="7" borderId="11" xfId="2" applyFont="1" applyFill="1" applyBorder="1" applyAlignment="1">
      <alignment horizontal="left" vertical="top"/>
    </xf>
    <xf numFmtId="0" fontId="15" fillId="6" borderId="0" xfId="0" applyFont="1" applyFill="1"/>
    <xf numFmtId="0" fontId="16" fillId="6" borderId="0" xfId="0" applyFont="1" applyFill="1"/>
    <xf numFmtId="0" fontId="4" fillId="7" borderId="34" xfId="0" applyFont="1" applyFill="1" applyBorder="1"/>
    <xf numFmtId="0" fontId="13" fillId="7" borderId="11" xfId="2" applyFont="1" applyFill="1" applyBorder="1"/>
    <xf numFmtId="0" fontId="16" fillId="6" borderId="0" xfId="0" applyFont="1" applyFill="1" applyAlignment="1">
      <alignment vertical="top"/>
    </xf>
    <xf numFmtId="0" fontId="16" fillId="6" borderId="0" xfId="0" applyFont="1" applyFill="1" applyAlignment="1">
      <alignment horizontal="left" vertical="top"/>
    </xf>
    <xf numFmtId="0" fontId="0" fillId="9" borderId="0" xfId="0" applyFill="1" applyAlignment="1">
      <alignment horizontal="left"/>
    </xf>
    <xf numFmtId="0" fontId="6" fillId="10" borderId="0" xfId="0" applyFont="1" applyFill="1" applyAlignment="1">
      <alignment horizontal="left"/>
    </xf>
    <xf numFmtId="0" fontId="17" fillId="6" borderId="0" xfId="0" applyFont="1" applyFill="1"/>
    <xf numFmtId="0" fontId="16" fillId="0" borderId="0" xfId="0" applyFont="1"/>
    <xf numFmtId="0" fontId="7" fillId="6" borderId="0" xfId="0" applyFont="1" applyFill="1" applyAlignment="1">
      <alignment horizontal="left" vertical="top"/>
    </xf>
    <xf numFmtId="0" fontId="16" fillId="6" borderId="0" xfId="0" applyFont="1" applyFill="1" applyAlignment="1">
      <alignment horizontal="left"/>
    </xf>
    <xf numFmtId="0" fontId="7" fillId="6" borderId="0" xfId="0" applyFont="1" applyFill="1" applyAlignment="1">
      <alignment vertical="top"/>
    </xf>
    <xf numFmtId="0" fontId="12" fillId="6" borderId="0" xfId="0" applyFont="1" applyFill="1"/>
    <xf numFmtId="0" fontId="2" fillId="6" borderId="0" xfId="0" applyFont="1" applyFill="1" applyAlignment="1">
      <alignment horizontal="left"/>
    </xf>
    <xf numFmtId="0" fontId="18" fillId="6" borderId="0" xfId="0" applyFont="1" applyFill="1"/>
    <xf numFmtId="0" fontId="15" fillId="6" borderId="0" xfId="0" applyFont="1" applyFill="1" applyAlignment="1">
      <alignment wrapText="1"/>
    </xf>
    <xf numFmtId="14" fontId="4" fillId="6" borderId="0" xfId="0" applyNumberFormat="1" applyFont="1" applyFill="1" applyAlignment="1">
      <alignment horizontal="left" wrapText="1"/>
    </xf>
    <xf numFmtId="0" fontId="4" fillId="6" borderId="0" xfId="0" applyFont="1" applyFill="1" applyAlignment="1">
      <alignment horizontal="left" wrapText="1"/>
    </xf>
    <xf numFmtId="0" fontId="4" fillId="6" borderId="0" xfId="0" applyFont="1" applyFill="1" applyAlignment="1">
      <alignment wrapText="1"/>
    </xf>
    <xf numFmtId="0" fontId="16" fillId="6" borderId="0" xfId="0" applyFont="1" applyFill="1" applyAlignment="1">
      <alignment horizontal="left" vertical="top" wrapText="1"/>
    </xf>
    <xf numFmtId="0" fontId="0" fillId="6" borderId="0" xfId="0" applyFill="1" applyAlignment="1">
      <alignment wrapText="1"/>
    </xf>
    <xf numFmtId="0" fontId="0" fillId="0" borderId="0" xfId="0" applyAlignment="1">
      <alignment wrapText="1"/>
    </xf>
    <xf numFmtId="0" fontId="3" fillId="0" borderId="32" xfId="0" applyFont="1" applyBorder="1"/>
    <xf numFmtId="0" fontId="13" fillId="6" borderId="0" xfId="0" applyFont="1" applyFill="1" applyAlignment="1">
      <alignment vertical="top"/>
    </xf>
    <xf numFmtId="0" fontId="12" fillId="6" borderId="0" xfId="0" applyFont="1" applyFill="1" applyAlignment="1">
      <alignment vertical="top"/>
    </xf>
    <xf numFmtId="0" fontId="4" fillId="6" borderId="0" xfId="0" applyFont="1" applyFill="1" applyAlignment="1">
      <alignment vertical="top"/>
    </xf>
    <xf numFmtId="0" fontId="0" fillId="6" borderId="0" xfId="0" applyFill="1" applyAlignment="1">
      <alignment horizontal="left" vertical="center"/>
    </xf>
    <xf numFmtId="0" fontId="6" fillId="6" borderId="0" xfId="0" applyFont="1" applyFill="1" applyAlignment="1">
      <alignment horizontal="left"/>
    </xf>
    <xf numFmtId="0" fontId="12" fillId="6" borderId="0" xfId="0" applyFont="1" applyFill="1" applyAlignment="1">
      <alignment horizontal="left" vertical="top"/>
    </xf>
    <xf numFmtId="0" fontId="12" fillId="0" borderId="0" xfId="0" applyFont="1"/>
    <xf numFmtId="0" fontId="13" fillId="6" borderId="0" xfId="0" applyFont="1" applyFill="1"/>
    <xf numFmtId="0" fontId="13" fillId="0" borderId="0" xfId="0" applyFont="1"/>
    <xf numFmtId="0" fontId="20" fillId="6" borderId="0" xfId="0" applyFont="1" applyFill="1"/>
    <xf numFmtId="0" fontId="20" fillId="6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1" fillId="6" borderId="0" xfId="0" applyFont="1" applyFill="1" applyAlignment="1">
      <alignment horizontal="left"/>
    </xf>
    <xf numFmtId="14" fontId="0" fillId="6" borderId="0" xfId="0" applyNumberFormat="1" applyFill="1"/>
    <xf numFmtId="0" fontId="7" fillId="6" borderId="0" xfId="0" applyFont="1" applyFill="1" applyAlignment="1">
      <alignment horizontal="left"/>
    </xf>
    <xf numFmtId="14" fontId="7" fillId="6" borderId="0" xfId="0" applyNumberFormat="1" applyFont="1" applyFill="1" applyAlignment="1">
      <alignment horizontal="left"/>
    </xf>
    <xf numFmtId="14" fontId="2" fillId="6" borderId="0" xfId="0" applyNumberFormat="1" applyFont="1" applyFill="1"/>
    <xf numFmtId="0" fontId="0" fillId="12" borderId="1" xfId="0" applyFill="1" applyBorder="1" applyAlignment="1">
      <alignment horizontal="left"/>
    </xf>
    <xf numFmtId="0" fontId="6" fillId="11" borderId="12" xfId="0" applyFont="1" applyFill="1" applyBorder="1" applyAlignment="1">
      <alignment horizontal="left" vertical="top" wrapText="1"/>
    </xf>
    <xf numFmtId="0" fontId="6" fillId="11" borderId="13" xfId="0" applyFont="1" applyFill="1" applyBorder="1" applyAlignment="1">
      <alignment horizontal="left" vertical="top" wrapText="1"/>
    </xf>
    <xf numFmtId="0" fontId="6" fillId="11" borderId="14" xfId="0" applyFont="1" applyFill="1" applyBorder="1" applyAlignment="1">
      <alignment horizontal="left" vertical="top" wrapText="1"/>
    </xf>
    <xf numFmtId="0" fontId="6" fillId="11" borderId="5" xfId="0" applyFont="1" applyFill="1" applyBorder="1" applyAlignment="1">
      <alignment horizontal="left" vertical="top" wrapText="1"/>
    </xf>
    <xf numFmtId="0" fontId="6" fillId="11" borderId="7" xfId="0" applyFont="1" applyFill="1" applyBorder="1" applyAlignment="1">
      <alignment horizontal="left" vertical="top" wrapText="1"/>
    </xf>
    <xf numFmtId="0" fontId="6" fillId="11" borderId="9" xfId="0" applyFont="1" applyFill="1" applyBorder="1" applyAlignment="1">
      <alignment horizontal="left" vertical="top" wrapText="1"/>
    </xf>
    <xf numFmtId="0" fontId="4" fillId="7" borderId="3" xfId="0" applyFont="1" applyFill="1" applyBorder="1" applyAlignment="1">
      <alignment horizontal="left"/>
    </xf>
    <xf numFmtId="0" fontId="0" fillId="11" borderId="0" xfId="0" applyFill="1" applyAlignment="1">
      <alignment horizontal="left"/>
    </xf>
    <xf numFmtId="0" fontId="6" fillId="11" borderId="0" xfId="0" applyFont="1" applyFill="1" applyAlignment="1">
      <alignment horizontal="left"/>
    </xf>
    <xf numFmtId="164" fontId="12" fillId="6" borderId="0" xfId="0" applyNumberFormat="1" applyFont="1" applyFill="1" applyAlignment="1" applyProtection="1">
      <alignment horizontal="left" vertical="center"/>
      <protection locked="0"/>
    </xf>
    <xf numFmtId="14" fontId="12" fillId="6" borderId="0" xfId="0" applyNumberFormat="1" applyFont="1" applyFill="1" applyAlignment="1" applyProtection="1">
      <alignment horizontal="left" vertical="center"/>
      <protection locked="0"/>
    </xf>
    <xf numFmtId="14" fontId="12" fillId="6" borderId="0" xfId="0" applyNumberFormat="1" applyFont="1" applyFill="1" applyAlignment="1">
      <alignment horizontal="left" vertical="center"/>
    </xf>
    <xf numFmtId="0" fontId="6" fillId="11" borderId="0" xfId="0" applyFont="1" applyFill="1" applyAlignment="1">
      <alignment horizontal="left" vertical="top" wrapText="1"/>
    </xf>
    <xf numFmtId="0" fontId="0" fillId="6" borderId="0" xfId="0" applyFill="1" applyAlignment="1">
      <alignment vertical="center"/>
    </xf>
    <xf numFmtId="0" fontId="6" fillId="0" borderId="0" xfId="0" applyFont="1"/>
    <xf numFmtId="0" fontId="6" fillId="6" borderId="0" xfId="0" applyFont="1" applyFill="1"/>
    <xf numFmtId="0" fontId="6" fillId="6" borderId="0" xfId="0" applyFont="1" applyFill="1" applyAlignment="1">
      <alignment horizontal="left" vertical="top"/>
    </xf>
    <xf numFmtId="0" fontId="12" fillId="10" borderId="0" xfId="0" applyFont="1" applyFill="1" applyAlignment="1">
      <alignment horizontal="left"/>
    </xf>
    <xf numFmtId="0" fontId="6" fillId="0" borderId="0" xfId="0" applyFont="1" applyAlignment="1">
      <alignment horizontal="left" vertical="top"/>
    </xf>
    <xf numFmtId="0" fontId="22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12" fillId="11" borderId="0" xfId="0" applyFont="1" applyFill="1" applyAlignment="1">
      <alignment horizontal="left"/>
    </xf>
    <xf numFmtId="0" fontId="12" fillId="0" borderId="0" xfId="0" applyFont="1" applyAlignment="1">
      <alignment horizontal="left" vertical="top"/>
    </xf>
    <xf numFmtId="0" fontId="3" fillId="0" borderId="35" xfId="0" applyFont="1" applyBorder="1"/>
    <xf numFmtId="0" fontId="22" fillId="10" borderId="0" xfId="0" applyFont="1" applyFill="1" applyAlignment="1">
      <alignment horizontal="left"/>
    </xf>
    <xf numFmtId="0" fontId="12" fillId="3" borderId="1" xfId="0" applyFont="1" applyFill="1" applyBorder="1" applyAlignment="1">
      <alignment horizontal="left"/>
    </xf>
    <xf numFmtId="0" fontId="12" fillId="5" borderId="1" xfId="0" applyFont="1" applyFill="1" applyBorder="1" applyAlignment="1">
      <alignment horizontal="left"/>
    </xf>
    <xf numFmtId="0" fontId="0" fillId="11" borderId="0" xfId="0" applyFill="1"/>
    <xf numFmtId="0" fontId="13" fillId="6" borderId="0" xfId="0" applyFont="1" applyFill="1" applyAlignment="1">
      <alignment horizontal="left" vertical="top"/>
    </xf>
    <xf numFmtId="0" fontId="0" fillId="7" borderId="0" xfId="0" applyFill="1"/>
    <xf numFmtId="0" fontId="12" fillId="3" borderId="2" xfId="0" applyFont="1" applyFill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4" borderId="20" xfId="2" applyFont="1" applyFill="1" applyBorder="1" applyAlignment="1">
      <alignment horizontal="center" vertical="center" wrapText="1"/>
    </xf>
    <xf numFmtId="0" fontId="3" fillId="4" borderId="21" xfId="2" applyFont="1" applyFill="1" applyBorder="1" applyAlignment="1">
      <alignment horizontal="center" vertical="center" wrapText="1"/>
    </xf>
    <xf numFmtId="0" fontId="3" fillId="4" borderId="22" xfId="2" applyFont="1" applyFill="1" applyBorder="1" applyAlignment="1">
      <alignment horizontal="center" vertical="center" wrapText="1"/>
    </xf>
    <xf numFmtId="0" fontId="3" fillId="4" borderId="23" xfId="2" applyFont="1" applyFill="1" applyBorder="1" applyAlignment="1">
      <alignment horizontal="center" vertical="center" wrapText="1"/>
    </xf>
    <xf numFmtId="0" fontId="3" fillId="4" borderId="24" xfId="2" applyFont="1" applyFill="1" applyBorder="1" applyAlignment="1">
      <alignment horizontal="center" vertical="center" wrapText="1"/>
    </xf>
    <xf numFmtId="0" fontId="3" fillId="4" borderId="25" xfId="2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2" borderId="20" xfId="2" applyFont="1" applyFill="1" applyBorder="1" applyAlignment="1">
      <alignment horizontal="center" vertical="center" wrapText="1"/>
    </xf>
    <xf numFmtId="0" fontId="3" fillId="2" borderId="21" xfId="2" applyFont="1" applyFill="1" applyBorder="1" applyAlignment="1">
      <alignment horizontal="center" vertical="center" wrapText="1"/>
    </xf>
    <xf numFmtId="0" fontId="3" fillId="2" borderId="22" xfId="2" applyFont="1" applyFill="1" applyBorder="1" applyAlignment="1">
      <alignment horizontal="center" vertical="center" wrapText="1"/>
    </xf>
    <xf numFmtId="0" fontId="3" fillId="2" borderId="23" xfId="2" applyFont="1" applyFill="1" applyBorder="1" applyAlignment="1">
      <alignment horizontal="center" vertical="center" wrapText="1"/>
    </xf>
    <xf numFmtId="0" fontId="3" fillId="2" borderId="24" xfId="2" applyFont="1" applyFill="1" applyBorder="1" applyAlignment="1">
      <alignment horizontal="center" vertical="center" wrapText="1"/>
    </xf>
    <xf numFmtId="0" fontId="3" fillId="2" borderId="25" xfId="2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5" borderId="20" xfId="2" applyFont="1" applyFill="1" applyBorder="1" applyAlignment="1">
      <alignment horizontal="center" vertical="center" wrapText="1"/>
    </xf>
    <xf numFmtId="0" fontId="3" fillId="5" borderId="21" xfId="2" applyFont="1" applyFill="1" applyBorder="1" applyAlignment="1">
      <alignment horizontal="center" vertical="center" wrapText="1"/>
    </xf>
    <xf numFmtId="0" fontId="3" fillId="5" borderId="22" xfId="2" applyFont="1" applyFill="1" applyBorder="1" applyAlignment="1">
      <alignment horizontal="center" vertical="center" wrapText="1"/>
    </xf>
    <xf numFmtId="0" fontId="3" fillId="5" borderId="23" xfId="2" applyFont="1" applyFill="1" applyBorder="1" applyAlignment="1">
      <alignment horizontal="center" vertical="center" wrapText="1"/>
    </xf>
    <xf numFmtId="0" fontId="3" fillId="5" borderId="24" xfId="2" applyFont="1" applyFill="1" applyBorder="1" applyAlignment="1">
      <alignment horizontal="center" vertical="center" wrapText="1"/>
    </xf>
    <xf numFmtId="0" fontId="3" fillId="5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3" fillId="3" borderId="21" xfId="2" applyFont="1" applyFill="1" applyBorder="1" applyAlignment="1">
      <alignment horizontal="center" vertical="center" wrapText="1"/>
    </xf>
    <xf numFmtId="0" fontId="3" fillId="3" borderId="22" xfId="2" applyFont="1" applyFill="1" applyBorder="1" applyAlignment="1">
      <alignment horizontal="center" vertical="center" wrapText="1"/>
    </xf>
    <xf numFmtId="0" fontId="3" fillId="3" borderId="23" xfId="2" applyFont="1" applyFill="1" applyBorder="1" applyAlignment="1">
      <alignment horizontal="center" vertical="center" wrapText="1"/>
    </xf>
    <xf numFmtId="0" fontId="3" fillId="3" borderId="24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5" borderId="32" xfId="2" applyFont="1" applyFill="1" applyBorder="1" applyAlignment="1">
      <alignment horizontal="center" vertical="center" wrapText="1"/>
    </xf>
    <xf numFmtId="0" fontId="3" fillId="5" borderId="0" xfId="2" applyFont="1" applyFill="1" applyBorder="1" applyAlignment="1">
      <alignment horizontal="center" vertical="center" wrapText="1"/>
    </xf>
    <xf numFmtId="0" fontId="3" fillId="5" borderId="33" xfId="2" applyFont="1" applyFill="1" applyBorder="1" applyAlignment="1">
      <alignment horizontal="center" vertical="center" wrapText="1"/>
    </xf>
    <xf numFmtId="0" fontId="7" fillId="7" borderId="15" xfId="2" applyFont="1" applyFill="1" applyBorder="1" applyAlignment="1">
      <alignment horizontal="left" vertical="top"/>
    </xf>
    <xf numFmtId="0" fontId="7" fillId="7" borderId="16" xfId="2" applyFont="1" applyFill="1" applyBorder="1" applyAlignment="1">
      <alignment horizontal="left" vertical="top"/>
    </xf>
    <xf numFmtId="0" fontId="7" fillId="7" borderId="15" xfId="2" applyFont="1" applyFill="1" applyBorder="1" applyAlignment="1">
      <alignment vertical="top"/>
    </xf>
    <xf numFmtId="0" fontId="7" fillId="7" borderId="16" xfId="2" applyFont="1" applyFill="1" applyBorder="1" applyAlignment="1">
      <alignment vertical="top"/>
    </xf>
    <xf numFmtId="0" fontId="7" fillId="7" borderId="15" xfId="2" applyFont="1" applyFill="1" applyBorder="1" applyAlignment="1">
      <alignment horizontal="center" vertical="top"/>
    </xf>
    <xf numFmtId="0" fontId="7" fillId="7" borderId="16" xfId="2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left"/>
    </xf>
    <xf numFmtId="0" fontId="16" fillId="6" borderId="0" xfId="0" applyFont="1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 vertical="top"/>
    </xf>
    <xf numFmtId="0" fontId="16" fillId="6" borderId="0" xfId="0" applyFont="1" applyFill="1" applyBorder="1"/>
    <xf numFmtId="0" fontId="0" fillId="6" borderId="0" xfId="0" applyFill="1" applyBorder="1"/>
    <xf numFmtId="0" fontId="6" fillId="10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 wrapText="1"/>
    </xf>
    <xf numFmtId="0" fontId="12" fillId="10" borderId="0" xfId="0" applyFont="1" applyFill="1" applyBorder="1" applyAlignment="1">
      <alignment horizontal="left"/>
    </xf>
    <xf numFmtId="0" fontId="12" fillId="6" borderId="0" xfId="0" applyFont="1" applyFill="1" applyBorder="1"/>
  </cellXfs>
  <cellStyles count="4">
    <cellStyle name="Hyperlink" xfId="2" builtinId="8"/>
    <cellStyle name="Normal" xfId="0" builtinId="0"/>
    <cellStyle name="Normal 2" xfId="1" xr:uid="{1E0C42E3-C96A-4F2A-9A14-7F3FDD3BA3B1}"/>
    <cellStyle name="Normal 3" xfId="3" xr:uid="{6F4F1C40-DB4F-4D3E-B182-CB9856BF1CDC}"/>
  </cellStyles>
  <dxfs count="60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169E1"/>
      <color rgb="FF3BCCFF"/>
      <color rgb="FFCCCCFF"/>
      <color rgb="FFCC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</xdr:colOff>
      <xdr:row>1</xdr:row>
      <xdr:rowOff>38100</xdr:rowOff>
    </xdr:from>
    <xdr:to>
      <xdr:col>5</xdr:col>
      <xdr:colOff>339090</xdr:colOff>
      <xdr:row>5</xdr:row>
      <xdr:rowOff>78646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80FFB9-99AD-F4A1-23CF-30BB50D7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4" y="219075"/>
          <a:ext cx="4293871" cy="11930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211456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7904D-E8FA-436C-86D9-A8B6BBAA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1731800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A0D0E-6D78-491D-B2EE-902776CF6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1049656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FC6DB-527A-445E-9B31-0B6CDB45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207646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9C3BC-A3BE-4EBA-A026-2CC0F40E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1310641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EAAFA8-DD49-4A31-988A-83FAA2B5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1087756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A4434B-0D86-4159-B7FE-001CD34F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472441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FDAEC-D158-4EDD-9916-681442FF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931546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3FE22-BF59-40D0-BE9F-6DDE618F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243841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1C960-94F0-409C-BD00-F078657C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1600201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F77C6-8897-4B05-9B54-1728181C2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521970</xdr:colOff>
      <xdr:row>1</xdr:row>
      <xdr:rowOff>59690</xdr:rowOff>
    </xdr:from>
    <xdr:to>
      <xdr:col>12</xdr:col>
      <xdr:colOff>381000</xdr:colOff>
      <xdr:row>9</xdr:row>
      <xdr:rowOff>135413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BD519-8A31-4AA8-942D-2233B971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" y="234315"/>
          <a:ext cx="7447280" cy="207851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933451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FE1BC-B9B3-4F11-9F7D-480405B0B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440056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3D6B7C-E31E-4668-A7FC-F259E4D2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1386841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E675F-FCE6-4D5A-8BA8-604B0BEC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1731434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4FBC2-D019-4173-ABE3-75511C0C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592456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6D31B-5857-4190-B656-CEEEAFC40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243841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1BF268-876F-421D-B4E6-D3C5EBC8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723901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BBD79-0A4D-4347-B9C3-A46FB6142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649606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64266-42AD-41F6-BC42-4116A230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649606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75EE7-1A01-4445-BAD5-C201A4D3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80975"/>
          <a:ext cx="4297681" cy="119688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15241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5E33A-D955-4A7E-BC43-8BA9C66B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521970</xdr:colOff>
      <xdr:row>1</xdr:row>
      <xdr:rowOff>59690</xdr:rowOff>
    </xdr:from>
    <xdr:to>
      <xdr:col>12</xdr:col>
      <xdr:colOff>246380</xdr:colOff>
      <xdr:row>10</xdr:row>
      <xdr:rowOff>21748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FFEB0-D406-4E31-BDE7-70E7A838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" y="236855"/>
          <a:ext cx="7509510" cy="215090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554356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64EEF5-35B0-4FBF-ACF0-3002AA3A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400051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D438E4-8DAD-4883-930C-1076CB7F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85725</xdr:rowOff>
    </xdr:from>
    <xdr:to>
      <xdr:col>3</xdr:col>
      <xdr:colOff>781051</xdr:colOff>
      <xdr:row>5</xdr:row>
      <xdr:rowOff>59596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10F13-80D4-4EF8-939F-C513A0DD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5725"/>
          <a:ext cx="4305301" cy="119878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281941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C1C75-844D-4EF5-B781-EFF215043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476251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A97D6-CFFB-4D2A-A8F5-61B36827B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624841</xdr:colOff>
      <xdr:row>5</xdr:row>
      <xdr:rowOff>152941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76579-A850-4804-A083-0E165B81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1464946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D1374-4782-4EB4-B11D-EEA2F046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512446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6EEFEF-C8CF-4AD4-8BB3-1DC59CB8F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628651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2516F-E5B8-4555-A5B6-21A6F593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401956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A3300-29A8-4452-93DD-EF451FC1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3487579</xdr:colOff>
      <xdr:row>5</xdr:row>
      <xdr:rowOff>131986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4DDC25-D3A4-4DEF-941F-9F77A4CE4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721996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B9F93-0630-4BF9-A6D0-AEED5DF6B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626746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3CDE54-F78F-4346-A6A9-28D2519E1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34291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44921-4ADD-436D-BE50-C54B6A9C8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</xdr:row>
      <xdr:rowOff>0</xdr:rowOff>
    </xdr:from>
    <xdr:ext cx="621030" cy="487680"/>
    <xdr:pic>
      <xdr:nvPicPr>
        <xdr:cNvPr id="4" name="Picture 3">
          <a:extLst>
            <a:ext uri="{FF2B5EF4-FFF2-40B4-BE49-F238E27FC236}">
              <a16:creationId xmlns:a16="http://schemas.microsoft.com/office/drawing/2014/main" id="{45D0F4CC-852C-49BB-B582-137FBB5B6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371475"/>
          <a:ext cx="62103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116206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3B9D8A-AD35-46A6-94AF-7D2FF4677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150496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8CE5B-86D4-4F56-B77A-29F29D803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30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209551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18FF2-5277-4A82-8A3B-2E7A9959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5776" cy="11968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853441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FF0C7-E952-46DC-8188-548446373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552451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47D41-10BA-49E0-BC50-7BBC0F4A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207646</xdr:colOff>
      <xdr:row>5</xdr:row>
      <xdr:rowOff>149131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B3E60-6A44-4AF5-8A9D-856182F17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"/>
          <a:ext cx="4291966" cy="1196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38CC4-C1A3-465F-8CAE-26422679799D}">
  <sheetPr>
    <tabColor rgb="FF4169E1"/>
  </sheetPr>
  <dimension ref="A2:AL32"/>
  <sheetViews>
    <sheetView tabSelected="1" workbookViewId="0"/>
  </sheetViews>
  <sheetFormatPr defaultRowHeight="14.4" x14ac:dyDescent="0.3"/>
  <cols>
    <col min="1" max="1" width="8.88671875" style="3"/>
    <col min="2" max="2" width="10.6640625" style="3" customWidth="1"/>
    <col min="3" max="3" width="2.77734375" style="3" customWidth="1"/>
    <col min="4" max="4" width="44.33203125" style="3" customWidth="1"/>
    <col min="5" max="5" width="13.21875" style="3" hidden="1" customWidth="1"/>
    <col min="6" max="6" width="8.88671875" style="3"/>
    <col min="7" max="7" width="10.88671875" style="3" customWidth="1"/>
    <col min="8" max="8" width="2.77734375" style="3" customWidth="1"/>
    <col min="9" max="9" width="45.88671875" style="3" customWidth="1"/>
    <col min="10" max="10" width="11.21875" style="3" hidden="1" customWidth="1"/>
    <col min="11" max="38" width="8.88671875" style="3"/>
  </cols>
  <sheetData>
    <row r="2" spans="2:10" ht="48" customHeight="1" x14ac:dyDescent="0.3">
      <c r="I2" s="11" t="s">
        <v>481</v>
      </c>
    </row>
    <row r="7" spans="2:10" ht="15" thickBot="1" x14ac:dyDescent="0.35"/>
    <row r="8" spans="2:10" ht="15" thickBot="1" x14ac:dyDescent="0.35">
      <c r="C8" s="14"/>
      <c r="D8" s="24" t="s">
        <v>482</v>
      </c>
      <c r="E8" s="95" t="s">
        <v>83</v>
      </c>
      <c r="F8" s="4"/>
      <c r="I8" s="24" t="s">
        <v>483</v>
      </c>
      <c r="J8" s="95" t="s">
        <v>83</v>
      </c>
    </row>
    <row r="9" spans="2:10" ht="15" thickBot="1" x14ac:dyDescent="0.35">
      <c r="B9" s="24" t="s">
        <v>38</v>
      </c>
      <c r="C9" s="15"/>
      <c r="D9" s="5" t="s">
        <v>485</v>
      </c>
      <c r="E9" s="89"/>
      <c r="F9" s="4"/>
      <c r="G9" s="24" t="s">
        <v>71</v>
      </c>
      <c r="H9" s="18"/>
      <c r="I9" s="5" t="s">
        <v>56</v>
      </c>
      <c r="J9" s="92"/>
    </row>
    <row r="10" spans="2:10" ht="15" thickBot="1" x14ac:dyDescent="0.35">
      <c r="B10" s="25" t="s">
        <v>94</v>
      </c>
      <c r="C10" s="15"/>
      <c r="D10" s="5" t="s">
        <v>486</v>
      </c>
      <c r="E10" s="90"/>
      <c r="F10" s="4"/>
      <c r="G10" s="24" t="s">
        <v>591</v>
      </c>
      <c r="H10" s="18"/>
      <c r="I10" s="5" t="s">
        <v>57</v>
      </c>
      <c r="J10" s="93"/>
    </row>
    <row r="11" spans="2:10" ht="15" thickBot="1" x14ac:dyDescent="0.35">
      <c r="B11" s="24" t="s">
        <v>95</v>
      </c>
      <c r="C11" s="15"/>
      <c r="D11" s="6" t="s">
        <v>487</v>
      </c>
      <c r="E11" s="90"/>
      <c r="F11" s="4"/>
      <c r="G11" s="24" t="s">
        <v>72</v>
      </c>
      <c r="H11" s="18"/>
      <c r="I11" s="6" t="s">
        <v>58</v>
      </c>
      <c r="J11" s="93"/>
    </row>
    <row r="12" spans="2:10" ht="15" thickBot="1" x14ac:dyDescent="0.35">
      <c r="B12" s="24" t="s">
        <v>39</v>
      </c>
      <c r="C12" s="15"/>
      <c r="D12" s="6" t="s">
        <v>488</v>
      </c>
      <c r="E12" s="90"/>
      <c r="F12" s="4"/>
      <c r="G12" s="24" t="s">
        <v>73</v>
      </c>
      <c r="H12" s="18"/>
      <c r="I12" s="6" t="s">
        <v>59</v>
      </c>
      <c r="J12" s="93"/>
    </row>
    <row r="13" spans="2:10" ht="15" thickBot="1" x14ac:dyDescent="0.35">
      <c r="B13" s="24" t="s">
        <v>40</v>
      </c>
      <c r="C13" s="15"/>
      <c r="D13" s="6" t="s">
        <v>489</v>
      </c>
      <c r="E13" s="90"/>
      <c r="F13" s="4"/>
      <c r="G13" s="24" t="s">
        <v>589</v>
      </c>
      <c r="H13" s="18"/>
      <c r="I13" s="6" t="s">
        <v>590</v>
      </c>
      <c r="J13" s="93"/>
    </row>
    <row r="14" spans="2:10" ht="15" thickBot="1" x14ac:dyDescent="0.35">
      <c r="B14" s="24" t="s">
        <v>41</v>
      </c>
      <c r="C14" s="15"/>
      <c r="D14" s="7" t="s">
        <v>490</v>
      </c>
      <c r="E14" s="90"/>
      <c r="F14" s="4"/>
      <c r="G14" s="24" t="s">
        <v>74</v>
      </c>
      <c r="H14" s="18"/>
      <c r="I14" s="114" t="s">
        <v>60</v>
      </c>
      <c r="J14" s="93"/>
    </row>
    <row r="15" spans="2:10" ht="15" thickBot="1" x14ac:dyDescent="0.35">
      <c r="B15" s="24" t="s">
        <v>42</v>
      </c>
      <c r="C15" s="15"/>
      <c r="D15" s="8" t="s">
        <v>491</v>
      </c>
      <c r="E15" s="90"/>
      <c r="F15" s="4"/>
      <c r="G15" s="24" t="s">
        <v>75</v>
      </c>
      <c r="H15" s="18"/>
      <c r="I15" s="115" t="s">
        <v>61</v>
      </c>
      <c r="J15" s="93"/>
    </row>
    <row r="16" spans="2:10" ht="15" thickBot="1" x14ac:dyDescent="0.35">
      <c r="B16" s="24" t="s">
        <v>43</v>
      </c>
      <c r="C16" s="15"/>
      <c r="D16" s="7" t="s">
        <v>492</v>
      </c>
      <c r="E16" s="90"/>
      <c r="F16" s="4"/>
      <c r="G16" s="24" t="s">
        <v>76</v>
      </c>
      <c r="H16" s="18"/>
      <c r="I16" s="115" t="s">
        <v>62</v>
      </c>
      <c r="J16" s="93"/>
    </row>
    <row r="17" spans="2:10" ht="15" thickBot="1" x14ac:dyDescent="0.35">
      <c r="B17" s="24" t="s">
        <v>44</v>
      </c>
      <c r="C17" s="15"/>
      <c r="D17" s="7" t="s">
        <v>493</v>
      </c>
      <c r="E17" s="90"/>
      <c r="F17" s="4"/>
      <c r="G17" s="24" t="s">
        <v>77</v>
      </c>
      <c r="H17" s="18"/>
      <c r="I17" s="115" t="s">
        <v>63</v>
      </c>
      <c r="J17" s="93"/>
    </row>
    <row r="18" spans="2:10" ht="15" thickBot="1" x14ac:dyDescent="0.35">
      <c r="B18" s="24" t="s">
        <v>45</v>
      </c>
      <c r="C18" s="15"/>
      <c r="D18" s="88" t="s">
        <v>484</v>
      </c>
      <c r="E18" s="90"/>
      <c r="F18" s="4"/>
      <c r="G18" s="24" t="s">
        <v>78</v>
      </c>
      <c r="H18" s="18"/>
      <c r="I18" s="115" t="s">
        <v>64</v>
      </c>
      <c r="J18" s="93"/>
    </row>
    <row r="19" spans="2:10" ht="15" thickBot="1" x14ac:dyDescent="0.35">
      <c r="B19" s="24" t="s">
        <v>46</v>
      </c>
      <c r="C19" s="15"/>
      <c r="D19" s="7" t="s">
        <v>494</v>
      </c>
      <c r="E19" s="90"/>
      <c r="F19" s="4"/>
      <c r="G19" s="24" t="s">
        <v>79</v>
      </c>
      <c r="H19" s="18"/>
      <c r="I19" s="115" t="s">
        <v>65</v>
      </c>
      <c r="J19" s="93"/>
    </row>
    <row r="20" spans="2:10" ht="15" thickBot="1" x14ac:dyDescent="0.35">
      <c r="B20" s="24" t="s">
        <v>47</v>
      </c>
      <c r="C20" s="15"/>
      <c r="D20" s="8" t="s">
        <v>495</v>
      </c>
      <c r="E20" s="90"/>
      <c r="F20" s="4"/>
      <c r="G20" s="24" t="s">
        <v>80</v>
      </c>
      <c r="H20" s="18"/>
      <c r="I20" s="114" t="s">
        <v>66</v>
      </c>
      <c r="J20" s="93"/>
    </row>
    <row r="21" spans="2:10" ht="15" thickBot="1" x14ac:dyDescent="0.35">
      <c r="B21" s="24" t="s">
        <v>48</v>
      </c>
      <c r="C21" s="15"/>
      <c r="D21" s="7" t="s">
        <v>496</v>
      </c>
      <c r="E21" s="90"/>
      <c r="F21" s="4"/>
      <c r="G21" s="24" t="s">
        <v>81</v>
      </c>
      <c r="H21" s="18"/>
      <c r="I21" s="115" t="s">
        <v>67</v>
      </c>
      <c r="J21" s="93"/>
    </row>
    <row r="22" spans="2:10" ht="15" thickBot="1" x14ac:dyDescent="0.35">
      <c r="B22" s="24" t="s">
        <v>49</v>
      </c>
      <c r="C22" s="15"/>
      <c r="D22" s="7" t="s">
        <v>497</v>
      </c>
      <c r="E22" s="90"/>
      <c r="F22" s="4"/>
      <c r="G22" s="24" t="s">
        <v>612</v>
      </c>
      <c r="H22" s="18"/>
      <c r="I22" s="115" t="s">
        <v>613</v>
      </c>
      <c r="J22" s="93"/>
    </row>
    <row r="23" spans="2:10" ht="15" thickBot="1" x14ac:dyDescent="0.35">
      <c r="B23" s="24" t="s">
        <v>50</v>
      </c>
      <c r="C23" s="15"/>
      <c r="D23" s="7" t="s">
        <v>498</v>
      </c>
      <c r="E23" s="90"/>
      <c r="F23" s="4"/>
      <c r="G23" s="24" t="s">
        <v>255</v>
      </c>
      <c r="H23" s="18"/>
      <c r="I23" s="114" t="s">
        <v>69</v>
      </c>
      <c r="J23" s="93"/>
    </row>
    <row r="24" spans="2:10" ht="15" thickBot="1" x14ac:dyDescent="0.35">
      <c r="B24" s="24" t="s">
        <v>51</v>
      </c>
      <c r="C24" s="15"/>
      <c r="D24" s="8" t="s">
        <v>499</v>
      </c>
      <c r="E24" s="90"/>
      <c r="F24" s="4"/>
      <c r="G24" s="24" t="s">
        <v>82</v>
      </c>
      <c r="H24" s="18"/>
      <c r="I24" s="115" t="s">
        <v>70</v>
      </c>
      <c r="J24" s="93"/>
    </row>
    <row r="25" spans="2:10" ht="15" thickBot="1" x14ac:dyDescent="0.35">
      <c r="B25" s="24" t="s">
        <v>52</v>
      </c>
      <c r="C25" s="15"/>
      <c r="D25" s="8" t="s">
        <v>500</v>
      </c>
      <c r="E25" s="90"/>
      <c r="F25" s="4"/>
      <c r="G25" s="24" t="s">
        <v>616</v>
      </c>
      <c r="H25" s="18"/>
      <c r="I25" s="114" t="s">
        <v>614</v>
      </c>
      <c r="J25" s="93"/>
    </row>
    <row r="26" spans="2:10" ht="15" thickBot="1" x14ac:dyDescent="0.35">
      <c r="B26" s="24" t="s">
        <v>53</v>
      </c>
      <c r="C26" s="15"/>
      <c r="D26" s="9" t="s">
        <v>501</v>
      </c>
      <c r="E26" s="91"/>
      <c r="F26" s="4"/>
      <c r="G26" s="24" t="s">
        <v>617</v>
      </c>
      <c r="H26" s="18"/>
      <c r="I26" s="114" t="s">
        <v>615</v>
      </c>
      <c r="J26" s="93"/>
    </row>
    <row r="27" spans="2:10" ht="15" thickBot="1" x14ac:dyDescent="0.35">
      <c r="B27" s="4"/>
      <c r="C27" s="4"/>
      <c r="D27" s="4"/>
      <c r="E27" s="4"/>
      <c r="F27" s="4"/>
      <c r="G27" s="24" t="s">
        <v>618</v>
      </c>
      <c r="H27" s="18"/>
      <c r="I27" s="114" t="s">
        <v>593</v>
      </c>
      <c r="J27" s="93"/>
    </row>
    <row r="28" spans="2:10" ht="15" thickBot="1" x14ac:dyDescent="0.35">
      <c r="B28" s="49" t="s">
        <v>421</v>
      </c>
      <c r="D28" s="48" t="s">
        <v>422</v>
      </c>
      <c r="G28" s="24" t="s">
        <v>619</v>
      </c>
      <c r="H28" s="18"/>
      <c r="I28" s="119" t="s">
        <v>592</v>
      </c>
      <c r="J28" s="94"/>
    </row>
    <row r="30" spans="2:10" ht="18" x14ac:dyDescent="0.35">
      <c r="B30" s="10" t="s">
        <v>84</v>
      </c>
      <c r="C30" s="10"/>
    </row>
    <row r="32" spans="2:10" ht="18" x14ac:dyDescent="0.35">
      <c r="B32" s="10" t="s">
        <v>440</v>
      </c>
      <c r="D32" s="13"/>
    </row>
  </sheetData>
  <hyperlinks>
    <hyperlink ref="B9" location="MPrem!B1" display="MPrem" xr:uid="{91E213C5-954A-463A-B26D-AB79591B23C1}"/>
    <hyperlink ref="B10" location="'M1'!A1" display="M1" xr:uid="{4407A388-9CCE-4E45-8045-DC09CF07D1D3}"/>
    <hyperlink ref="B11" location="'M2'!A1" display="M2" xr:uid="{38470B3E-6D1B-4E5D-98B6-154CD50DF9BD}"/>
    <hyperlink ref="B12" location="M3N!B1" display="M3N" xr:uid="{8A404012-F9B9-4279-B9BF-57F32165E19D}"/>
    <hyperlink ref="B13" location="M3S!B1" display="M3S" xr:uid="{ADEB06A7-B2A5-45D1-B65D-D1AC0146CB87}"/>
    <hyperlink ref="B14" location="M4E!B1" display="M4E" xr:uid="{446B6C7A-6197-41F8-9947-1C5D76E88379}"/>
    <hyperlink ref="B15" location="M4N!B1" display="M4N" xr:uid="{82A77F2A-B9CD-44FF-85A2-044ABF576073}"/>
    <hyperlink ref="B16" location="M4W!B1" display="M4W" xr:uid="{40D11B19-D30A-45BD-BC2F-A36E87C60F62}"/>
    <hyperlink ref="B17" location="M5E!B1" display="M5E" xr:uid="{87D844DA-C540-4ED3-B901-0A0F7CF5CD4A}"/>
    <hyperlink ref="B19" location="M5SC!B1" display="M5SC" xr:uid="{5D1390EA-C9C7-422A-B63A-E84370597E70}"/>
    <hyperlink ref="B20" location="M5WN!A1" display="M5WN" xr:uid="{C603BE41-838D-41F7-ABEA-427713FB4446}"/>
    <hyperlink ref="B21" location="M5WS!A1" display="M5WS" xr:uid="{72DA92E1-DF19-450B-99DC-213E5622F8B3}"/>
    <hyperlink ref="B22" location="M6E!A1" display="M6E" xr:uid="{778AD93E-3ED9-4B58-828F-30FEEFDAE91B}"/>
    <hyperlink ref="B23" location="M6SC!A1" display="M6SC" xr:uid="{99090AA4-8E8E-42A5-811B-2E0E90A74BF6}"/>
    <hyperlink ref="B24" location="M6WS!A1" display="M6WS" xr:uid="{052A8E9F-B02D-4F07-A722-A6302C1B7BD1}"/>
    <hyperlink ref="B25" location="M7E!A1" display="M7E" xr:uid="{DC83FAF2-FC32-4D4D-AB3A-11FC36F74FA1}"/>
    <hyperlink ref="B26" location="M7SC!A1" display="M7SC" xr:uid="{055FB252-313F-4E55-9EB7-229F4C65C1F3}"/>
    <hyperlink ref="B18" location="M5N!B1" display="M5N" xr:uid="{E236414D-EE69-4F92-94F4-60E6168A84F1}"/>
    <hyperlink ref="G9" location="WPrem!B1" display="WPrem" xr:uid="{490D8957-ABA1-4F6D-A350-2C98BD9716C0}"/>
    <hyperlink ref="G10" location="'W1'!A1" display="WD1" xr:uid="{53721FD1-9615-40B5-8A5A-985CC52B170F}"/>
    <hyperlink ref="G11" location="W2N!B1" display="W2N" xr:uid="{D747D4D5-8460-42F0-BD01-5E094D2C77C4}"/>
    <hyperlink ref="G12" location="W2S!B1" display="W2S" xr:uid="{D95D19AC-3943-4235-A276-E6CC2A20BB89}"/>
    <hyperlink ref="D8" location="'Men''s Structure'!A1" display="2023-2024 Men's Structure" xr:uid="{166185DB-1A7D-43BE-A0B0-CF8FB73AE677}"/>
    <hyperlink ref="I8" location="'Women''s Structure'!A1" display="2023-2024 Women's Structure" xr:uid="{F9B9D066-F501-4BC9-8010-74FF07C07D37}"/>
    <hyperlink ref="B28" location="'All Fixtures'!A1" display="All Fixtures" xr:uid="{43888B11-F955-4CF7-8832-A0A72187CA35}"/>
    <hyperlink ref="G13" location="W3S!B1" display="W3S" xr:uid="{5E4C7F60-0169-49F5-8F90-C751B6509E68}"/>
    <hyperlink ref="G14" location="W3N!A1" display="W3N" xr:uid="{DB784E3D-6A32-4BCB-AC86-A0C4BE60714F}"/>
    <hyperlink ref="G15" location="W3NC!B1" display="W3NC" xr:uid="{A408B527-87CE-40A0-93D5-0C34A12643DA}"/>
    <hyperlink ref="G16" location="W4E!A1" display="W4E" xr:uid="{87793E61-D558-4B82-B8FB-BA424BD2252C}"/>
    <hyperlink ref="G17" location="W4NC!A1" display="W4NC" xr:uid="{1C3515E5-EAF9-40E9-AF85-9C33CC565853}"/>
    <hyperlink ref="G18" location="W4W!A1" display="W4W" xr:uid="{0613C03A-28A9-433E-8FFD-8EBE1CBE3043}"/>
    <hyperlink ref="G19" location="W5E!A1" display="W5E" xr:uid="{D06AAA79-03F2-44FB-BB56-D5C33F78CFA0}"/>
    <hyperlink ref="G20" location="W5NC!A1" display="W5NC" xr:uid="{E05775FA-4CD9-4D21-AA46-C701CB079A50}"/>
    <hyperlink ref="G21" location="W5SC!A1" display="W5SC" xr:uid="{133A521F-BCB6-4976-B0FA-CC9F66D388DB}"/>
    <hyperlink ref="G22" location="W5W!A1" display="W5W" xr:uid="{52F05DE5-12CF-41F0-BA1D-62FAE32F8C28}"/>
    <hyperlink ref="G23" location="W6E!A1" display="W6E" xr:uid="{9AA82F63-0AE9-400B-8095-A9890F4B88C9}"/>
    <hyperlink ref="G24" location="W6SC!A1" display="W6SC" xr:uid="{C58FF8A1-E465-4DF1-9CE5-F8115FF89FC9}"/>
    <hyperlink ref="G25" location="W6WN!A1" display="W6WN" xr:uid="{64643470-8AAE-449A-BD55-512A1A82260D}"/>
    <hyperlink ref="G26" location="W6WS!A1" display="W6WS" xr:uid="{89B2B8CD-8833-4207-89F5-2131E6DD24F3}"/>
    <hyperlink ref="G27" location="W7E!A1" display="W7E" xr:uid="{3EC6457F-E97A-4DB8-9946-FA0C1335FCC2}"/>
    <hyperlink ref="G28" location="W7SC!A1" display="W7SC" xr:uid="{FF84D0C9-5DAA-4E88-B373-7CDB7141ACD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F80E0-8A2F-40D0-B22A-10344BC4F324}">
  <dimension ref="A2:AQ180"/>
  <sheetViews>
    <sheetView workbookViewId="0"/>
  </sheetViews>
  <sheetFormatPr defaultRowHeight="14.4" x14ac:dyDescent="0.3"/>
  <cols>
    <col min="1" max="1" width="3.88671875" style="47" customWidth="1"/>
    <col min="2" max="2" width="32.109375" style="3" customWidth="1"/>
    <col min="3" max="3" width="27.5546875" style="3" customWidth="1"/>
    <col min="4" max="4" width="35" style="3" customWidth="1"/>
    <col min="5" max="5" width="15.88671875" style="3" customWidth="1"/>
    <col min="6" max="6" width="31.33203125" style="3" customWidth="1"/>
    <col min="7" max="7" width="10.21875" style="3" customWidth="1"/>
    <col min="8" max="8" width="30.21875" style="3" customWidth="1"/>
    <col min="9" max="10" width="8.88671875" style="3"/>
    <col min="11" max="11" width="18" style="51" customWidth="1"/>
    <col min="12" max="12" width="5" style="3" customWidth="1"/>
    <col min="13" max="14" width="19.44140625" style="3" customWidth="1"/>
    <col min="15" max="43" width="8.88671875" style="3"/>
  </cols>
  <sheetData>
    <row r="2" spans="1:12" ht="15" thickBot="1" x14ac:dyDescent="0.35"/>
    <row r="3" spans="1:12" ht="37.200000000000003" thickBot="1" x14ac:dyDescent="0.75">
      <c r="E3" s="16" t="s">
        <v>490</v>
      </c>
      <c r="F3" s="16"/>
      <c r="H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D8" s="59"/>
      <c r="E8" s="59"/>
      <c r="F8" s="59"/>
      <c r="G8" s="59"/>
      <c r="H8" s="59"/>
      <c r="I8" s="59"/>
      <c r="J8" s="59"/>
    </row>
    <row r="9" spans="1:12" ht="15" customHeight="1" x14ac:dyDescent="0.4">
      <c r="B9" s="21" t="s">
        <v>85</v>
      </c>
      <c r="D9" s="47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COUNTIF(F$26:H$178,"Alderley Edge 3")</f>
        <v>22</v>
      </c>
      <c r="B10" s="3" t="s">
        <v>125</v>
      </c>
      <c r="C10" s="53">
        <v>3362807</v>
      </c>
      <c r="D10" s="57">
        <f>COUNTIF(F$26:I$178,"3362807")</f>
        <v>22</v>
      </c>
      <c r="E10" s="59"/>
      <c r="F10" s="57">
        <f>COUNTIF(F$26:F$178,"Alderley Edge 3")</f>
        <v>11</v>
      </c>
      <c r="G10" s="47"/>
      <c r="H10" s="57">
        <f>COUNTIF(H$26:H$178,"Alderley Edge 3")</f>
        <v>11</v>
      </c>
      <c r="I10" s="57">
        <f>COUNTIF(F$26:F$101,"Alderley Edge 3")</f>
        <v>6</v>
      </c>
      <c r="J10" s="57">
        <f>COUNTIF(F$102:F$178,"Alderley Edge 3")</f>
        <v>5</v>
      </c>
      <c r="K10" s="57">
        <f>COUNTIF(H$26:H$101,"Alderley Edge 3")</f>
        <v>5</v>
      </c>
      <c r="L10" s="57">
        <f>COUNTIF(H$102:H$178,"Alderley Edge 3")</f>
        <v>6</v>
      </c>
    </row>
    <row r="11" spans="1:12" ht="15" customHeight="1" x14ac:dyDescent="0.3">
      <c r="A11" s="47">
        <f>COUNTIF(F$26:H$178,"Bolton 1")</f>
        <v>22</v>
      </c>
      <c r="B11" s="31" t="s">
        <v>126</v>
      </c>
      <c r="C11" s="53">
        <v>3361402</v>
      </c>
      <c r="D11" s="57">
        <f>COUNTIF(F$26:I$178,"3361402")</f>
        <v>22</v>
      </c>
      <c r="E11" s="59"/>
      <c r="F11" s="57">
        <f>COUNTIF(F$26:F$178,"Bolton 1")</f>
        <v>11</v>
      </c>
      <c r="G11" s="47"/>
      <c r="H11" s="57">
        <f>COUNTIF(H$26:H$178,"Bolton 1")</f>
        <v>11</v>
      </c>
      <c r="I11" s="57">
        <f>COUNTIF(F$26:F$101,"Bolton 1")</f>
        <v>5</v>
      </c>
      <c r="J11" s="57">
        <f>COUNTIF(F$102:F$178,"Bolton 1")</f>
        <v>6</v>
      </c>
      <c r="K11" s="57">
        <f>COUNTIF(H$26:H$101,"Bolton 1")</f>
        <v>6</v>
      </c>
      <c r="L11" s="57">
        <f>COUNTIF(H$102:H$178,"Bolton 1")</f>
        <v>5</v>
      </c>
    </row>
    <row r="12" spans="1:12" ht="15" customHeight="1" x14ac:dyDescent="0.3">
      <c r="A12" s="47">
        <f>COUNTIF(F$26:H$178,"Bowdon 4")</f>
        <v>22</v>
      </c>
      <c r="B12" s="31" t="s">
        <v>136</v>
      </c>
      <c r="C12" s="74">
        <v>3360903</v>
      </c>
      <c r="D12" s="57">
        <f>COUNTIF(F$26:I$178,"3360903")</f>
        <v>22</v>
      </c>
      <c r="E12" s="59"/>
      <c r="F12" s="57">
        <f>COUNTIF(F$26:F$178,"Bowdon 4")</f>
        <v>11</v>
      </c>
      <c r="G12" s="47"/>
      <c r="H12" s="57">
        <f>COUNTIF(H$26:H$178,"Bowdon 4")</f>
        <v>11</v>
      </c>
      <c r="I12" s="57">
        <f>COUNTIF(F$26:F$101,"Bowdon 4")</f>
        <v>6</v>
      </c>
      <c r="J12" s="57">
        <f>COUNTIF(F$102:F$178,"Bowdon 4")</f>
        <v>5</v>
      </c>
      <c r="K12" s="57">
        <f>COUNTIF(H$26:H$101,"Bowdon 4")</f>
        <v>5</v>
      </c>
      <c r="L12" s="57">
        <f>COUNTIF(H$102:H$178,"Bowdon 4")</f>
        <v>6</v>
      </c>
    </row>
    <row r="13" spans="1:12" ht="15" customHeight="1" x14ac:dyDescent="0.3">
      <c r="A13" s="47">
        <f>COUNTIF(F$26:H$178,"Bowdon 5")</f>
        <v>22</v>
      </c>
      <c r="B13" s="31" t="s">
        <v>166</v>
      </c>
      <c r="C13" s="106">
        <v>3361006</v>
      </c>
      <c r="D13" s="57">
        <f>COUNTIF(F$26:I$178,"3361006")</f>
        <v>22</v>
      </c>
      <c r="E13" s="59"/>
      <c r="F13" s="57">
        <f>COUNTIF(F$26:F$178,"Bowdon 5")</f>
        <v>11</v>
      </c>
      <c r="G13" s="47"/>
      <c r="H13" s="57">
        <f>COUNTIF(H$26:H$178,"Bowdon 5")</f>
        <v>11</v>
      </c>
      <c r="I13" s="57">
        <f>COUNTIF(F$26:F$101,"Bowdon 5")</f>
        <v>6</v>
      </c>
      <c r="J13" s="57">
        <f>COUNTIF(F$102:F$178,"Bowdon 5")</f>
        <v>5</v>
      </c>
      <c r="K13" s="57">
        <f>COUNTIF(H$26:H$101,"Bowdon 5")</f>
        <v>5</v>
      </c>
      <c r="L13" s="57">
        <f>COUNTIF(H$102:H$178,"Bowdon 5")</f>
        <v>6</v>
      </c>
    </row>
    <row r="14" spans="1:12" ht="15" customHeight="1" x14ac:dyDescent="0.3">
      <c r="A14" s="47">
        <f>COUNTIF(F$26:H$178,"Brooklands Manchester University 4")</f>
        <v>22</v>
      </c>
      <c r="B14" s="31" t="s">
        <v>420</v>
      </c>
      <c r="C14" s="53">
        <v>3360101</v>
      </c>
      <c r="D14" s="57">
        <f>COUNTIF(F$26:I$178,"3360101")</f>
        <v>22</v>
      </c>
      <c r="E14" s="59"/>
      <c r="F14" s="57">
        <f>COUNTIF(F$26:F$178,"Brooklands Manchester University 4")</f>
        <v>11</v>
      </c>
      <c r="G14" s="47"/>
      <c r="H14" s="57">
        <f>COUNTIF(H$26:H$178,"Brooklands Manchester University 4")</f>
        <v>11</v>
      </c>
      <c r="I14" s="57">
        <f>COUNTIF(F$26:F$101,"Brooklands Manchester University 4")</f>
        <v>5</v>
      </c>
      <c r="J14" s="57">
        <f>COUNTIF(F$102:F$178,"Brooklands Manchester University 4")</f>
        <v>6</v>
      </c>
      <c r="K14" s="57">
        <f>COUNTIF(H$26:H$101,"Brooklands Manchester University 4")</f>
        <v>6</v>
      </c>
      <c r="L14" s="57">
        <f>COUNTIF(H$102:H$178,"Brooklands Manchester University 4")</f>
        <v>5</v>
      </c>
    </row>
    <row r="15" spans="1:12" x14ac:dyDescent="0.3">
      <c r="A15" s="47">
        <f>COUNTIF(F$26:H$178,"Bury 1")</f>
        <v>22</v>
      </c>
      <c r="B15" s="31" t="s">
        <v>137</v>
      </c>
      <c r="C15" s="74">
        <v>3359908</v>
      </c>
      <c r="D15" s="57">
        <f>COUNTIF(F$26:I$178,"3359908")</f>
        <v>22</v>
      </c>
      <c r="E15" s="59"/>
      <c r="F15" s="57">
        <f>COUNTIF(F$26:F$178,"Bury 1")</f>
        <v>11</v>
      </c>
      <c r="G15" s="47"/>
      <c r="H15" s="57">
        <f>COUNTIF(H$26:H$178,"Bury 1")</f>
        <v>11</v>
      </c>
      <c r="I15" s="57">
        <f>COUNTIF(F$26:F$101,"Bury 1")</f>
        <v>5</v>
      </c>
      <c r="J15" s="57">
        <f>COUNTIF(F$102:F$178,"Bury 1")</f>
        <v>6</v>
      </c>
      <c r="K15" s="57">
        <f>COUNTIF(H$26:H$101,"Bury 1")</f>
        <v>6</v>
      </c>
      <c r="L15" s="57">
        <f>COUNTIF(H$102:H$178,"Bury 1")</f>
        <v>5</v>
      </c>
    </row>
    <row r="16" spans="1:12" x14ac:dyDescent="0.3">
      <c r="A16" s="47">
        <f>COUNTIF(F$26:H$178,"City of Manchester 2")</f>
        <v>22</v>
      </c>
      <c r="B16" s="31" t="s">
        <v>138</v>
      </c>
      <c r="C16" s="74">
        <v>3067805</v>
      </c>
      <c r="D16" s="57">
        <f>COUNTIF(F$26:I$178,"3067805")</f>
        <v>22</v>
      </c>
      <c r="E16" s="59"/>
      <c r="F16" s="57">
        <f>COUNTIF(F$26:F$178,"City of Manchester 2")</f>
        <v>11</v>
      </c>
      <c r="G16" s="47"/>
      <c r="H16" s="57">
        <f>COUNTIF(H$26:H$178,"City of Manchester 2")</f>
        <v>11</v>
      </c>
      <c r="I16" s="57">
        <f>COUNTIF(F$26:F$101,"City of Manchester 2")</f>
        <v>6</v>
      </c>
      <c r="J16" s="57">
        <f>COUNTIF(F$102:F$178,"City of Manchester 2")</f>
        <v>5</v>
      </c>
      <c r="K16" s="57">
        <f>COUNTIF(H$26:H$101,"City of Manchester 2")</f>
        <v>5</v>
      </c>
      <c r="L16" s="57">
        <f>COUNTIF(H$102:H$178,"City of Manchester 2")</f>
        <v>6</v>
      </c>
    </row>
    <row r="17" spans="1:12" x14ac:dyDescent="0.3">
      <c r="A17" s="47">
        <f>COUNTIF(F$26:H$178,"Deeside Ramblers 3")</f>
        <v>22</v>
      </c>
      <c r="B17" s="31" t="s">
        <v>140</v>
      </c>
      <c r="C17" s="74">
        <v>3357900</v>
      </c>
      <c r="D17" s="57">
        <f>COUNTIF(F$26:I$178,"3357900")</f>
        <v>22</v>
      </c>
      <c r="E17" s="59"/>
      <c r="F17" s="57">
        <f>COUNTIF(F$26:F$178,"Deeside Ramblers 3")</f>
        <v>11</v>
      </c>
      <c r="G17" s="47"/>
      <c r="H17" s="57">
        <f>COUNTIF(H$26:H$178,"Deeside Ramblers 3")</f>
        <v>11</v>
      </c>
      <c r="I17" s="57">
        <f>COUNTIF(F$26:F$101,"Deeside Ramblers 3")</f>
        <v>5</v>
      </c>
      <c r="J17" s="57">
        <f>COUNTIF(F$102:F$178,"Deeside Ramblers 3")</f>
        <v>6</v>
      </c>
      <c r="K17" s="57">
        <f>COUNTIF(H$26:H$101,"Deeside Ramblers 3")</f>
        <v>6</v>
      </c>
      <c r="L17" s="57">
        <f>COUNTIF(H$102:H$178,"Deeside Ramblers 3")</f>
        <v>5</v>
      </c>
    </row>
    <row r="18" spans="1:12" x14ac:dyDescent="0.3">
      <c r="A18" s="47">
        <f>COUNTIF(F$26:H$178,"Didsbury Northern 4")</f>
        <v>22</v>
      </c>
      <c r="B18" s="3" t="s">
        <v>168</v>
      </c>
      <c r="C18" s="74">
        <v>3356505</v>
      </c>
      <c r="D18" s="57">
        <f>COUNTIF(F$26:I$178,"3356505")</f>
        <v>22</v>
      </c>
      <c r="E18" s="59"/>
      <c r="F18" s="57">
        <f>COUNTIF(F$26:F$178,"Didsbury Northern 4")</f>
        <v>11</v>
      </c>
      <c r="G18" s="47"/>
      <c r="H18" s="57">
        <f>COUNTIF(H$26:H$178,"Didsbury Northern 4")</f>
        <v>11</v>
      </c>
      <c r="I18" s="57">
        <f>COUNTIF(F$26:F$101,"Didsbury Northern 4")</f>
        <v>5</v>
      </c>
      <c r="J18" s="57">
        <f>COUNTIF(F$102:F$178,"Didsbury Northern 4")</f>
        <v>6</v>
      </c>
      <c r="K18" s="57">
        <f>COUNTIF(H$26:H$101,"Didsbury Northern 4")</f>
        <v>6</v>
      </c>
      <c r="L18" s="57">
        <f>COUNTIF(H$102:H$178,"Didsbury Northern 4")</f>
        <v>5</v>
      </c>
    </row>
    <row r="19" spans="1:12" x14ac:dyDescent="0.3">
      <c r="A19" s="47">
        <f>COUNTIF(F$26:H$178,"Sale 1")</f>
        <v>22</v>
      </c>
      <c r="B19" s="31" t="s">
        <v>142</v>
      </c>
      <c r="C19" s="74">
        <v>3350501</v>
      </c>
      <c r="D19" s="57">
        <f>COUNTIF(F$26:I$178,"3350501")</f>
        <v>22</v>
      </c>
      <c r="E19" s="59"/>
      <c r="F19" s="57">
        <f>COUNTIF(F$26:F$178,"Sale 1")</f>
        <v>11</v>
      </c>
      <c r="G19" s="47"/>
      <c r="H19" s="57">
        <f>COUNTIF(H$26:H$178,"Sale 1")</f>
        <v>11</v>
      </c>
      <c r="I19" s="57">
        <f>COUNTIF(F$26:F$101,"Sale 1")</f>
        <v>6</v>
      </c>
      <c r="J19" s="57">
        <f>COUNTIF(F$102:F$178,"Sale 1")</f>
        <v>5</v>
      </c>
      <c r="K19" s="57">
        <f>COUNTIF(H$26:H$101,"Sale 1")</f>
        <v>5</v>
      </c>
      <c r="L19" s="57">
        <f>COUNTIF(H$102:H$178,"Sale 1")</f>
        <v>6</v>
      </c>
    </row>
    <row r="20" spans="1:12" x14ac:dyDescent="0.3">
      <c r="A20" s="47">
        <f>COUNTIF(F$26:H$178,"South Manchester 1")</f>
        <v>22</v>
      </c>
      <c r="B20" s="31" t="s">
        <v>143</v>
      </c>
      <c r="C20" s="74">
        <v>3349704</v>
      </c>
      <c r="D20" s="57">
        <f>COUNTIF(F$26:I$178,"3349704")</f>
        <v>22</v>
      </c>
      <c r="E20" s="59"/>
      <c r="F20" s="57">
        <f>COUNTIF(F$26:F$178,"South Manchester 1")</f>
        <v>11</v>
      </c>
      <c r="G20" s="47"/>
      <c r="H20" s="57">
        <f>COUNTIF(H$26:H$178,"South Manchester 1")</f>
        <v>11</v>
      </c>
      <c r="I20" s="57">
        <f>COUNTIF(F$26:F$101,"South Manchester 1")</f>
        <v>6</v>
      </c>
      <c r="J20" s="57">
        <f>COUNTIF(F$102:F$178,"South Manchester 1")</f>
        <v>5</v>
      </c>
      <c r="K20" s="57">
        <f>COUNTIF(H$26:H$101,"South Manchester 1")</f>
        <v>5</v>
      </c>
      <c r="L20" s="57">
        <f>COUNTIF(H$102:H$178,"South Manchester 1")</f>
        <v>6</v>
      </c>
    </row>
    <row r="21" spans="1:12" x14ac:dyDescent="0.3">
      <c r="A21" s="47">
        <f>COUNTIF(F$26:H$178,"Whitchurch (Shropshire) 1")</f>
        <v>22</v>
      </c>
      <c r="B21" s="3" t="s">
        <v>425</v>
      </c>
      <c r="C21" s="53">
        <v>3347206</v>
      </c>
      <c r="D21" s="57">
        <f>COUNTIF(F$26:I$178,"3347206")</f>
        <v>22</v>
      </c>
      <c r="E21" s="59"/>
      <c r="F21" s="57">
        <f>COUNTIF(F$26:F$178,"Whitchurch (Shropshire) 1")</f>
        <v>11</v>
      </c>
      <c r="G21" s="47"/>
      <c r="H21" s="57">
        <f>COUNTIF(H$26:H$178,"Whitchurch (Shropshire) 1")</f>
        <v>11</v>
      </c>
      <c r="I21" s="57">
        <f>COUNTIF(F$26:F$101,"Whitchurch (Shropshire) 1")</f>
        <v>5</v>
      </c>
      <c r="J21" s="57">
        <f>COUNTIF(F$102:F$178,"Whitchurch (Shropshire) 1")</f>
        <v>6</v>
      </c>
      <c r="K21" s="57">
        <f>COUNTIF(H$26:H$101,"Whitchurch (Shropshire) 1")</f>
        <v>6</v>
      </c>
      <c r="L21" s="57">
        <f>COUNTIF(H$102:H$178,"Whitchurch (Shropshire) 1")</f>
        <v>5</v>
      </c>
    </row>
    <row r="22" spans="1:12" x14ac:dyDescent="0.3">
      <c r="D22" s="47"/>
      <c r="E22" s="59"/>
      <c r="F22" s="59"/>
      <c r="G22" s="59"/>
      <c r="H22" s="59"/>
      <c r="I22" s="59"/>
      <c r="J22" s="59"/>
    </row>
    <row r="23" spans="1:12" ht="21" x14ac:dyDescent="0.4">
      <c r="B23" s="22" t="s">
        <v>93</v>
      </c>
      <c r="D23" s="59"/>
      <c r="E23" s="59"/>
      <c r="F23" s="59"/>
      <c r="G23" s="59"/>
      <c r="H23" s="59"/>
      <c r="I23" s="59"/>
      <c r="J23" s="59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J24" s="14"/>
    </row>
    <row r="26" spans="1:12" x14ac:dyDescent="0.3">
      <c r="B26" s="44">
        <v>45913</v>
      </c>
      <c r="C26" s="3" t="s">
        <v>416</v>
      </c>
      <c r="D26" s="3" t="s">
        <v>490</v>
      </c>
      <c r="E26" s="96"/>
      <c r="F26" s="3" t="s">
        <v>420</v>
      </c>
      <c r="G26" s="4">
        <v>3360101</v>
      </c>
      <c r="H26" s="4" t="s">
        <v>137</v>
      </c>
      <c r="I26" s="4">
        <v>3359908</v>
      </c>
      <c r="J26" s="4"/>
    </row>
    <row r="27" spans="1:12" x14ac:dyDescent="0.3">
      <c r="B27" s="44">
        <v>45913</v>
      </c>
      <c r="C27" s="3" t="s">
        <v>416</v>
      </c>
      <c r="D27" s="3" t="s">
        <v>490</v>
      </c>
      <c r="E27" s="96"/>
      <c r="F27" s="3" t="s">
        <v>136</v>
      </c>
      <c r="G27" s="4">
        <v>3360903</v>
      </c>
      <c r="H27" s="4" t="s">
        <v>166</v>
      </c>
      <c r="I27" s="4">
        <v>3361006</v>
      </c>
      <c r="J27" s="4"/>
    </row>
    <row r="28" spans="1:12" x14ac:dyDescent="0.3">
      <c r="B28" s="44">
        <v>45913</v>
      </c>
      <c r="C28" s="3" t="s">
        <v>416</v>
      </c>
      <c r="D28" s="3" t="s">
        <v>490</v>
      </c>
      <c r="E28" s="96"/>
      <c r="F28" s="3" t="s">
        <v>138</v>
      </c>
      <c r="G28" s="4">
        <v>3067805</v>
      </c>
      <c r="H28" s="4" t="s">
        <v>140</v>
      </c>
      <c r="I28" s="4">
        <v>3357900</v>
      </c>
      <c r="J28" s="4"/>
    </row>
    <row r="29" spans="1:12" x14ac:dyDescent="0.3">
      <c r="B29" s="44">
        <v>45913</v>
      </c>
      <c r="C29" s="3" t="s">
        <v>416</v>
      </c>
      <c r="D29" s="3" t="s">
        <v>490</v>
      </c>
      <c r="E29" s="96"/>
      <c r="F29" s="3" t="s">
        <v>143</v>
      </c>
      <c r="G29" s="4">
        <v>3349704</v>
      </c>
      <c r="H29" s="4" t="s">
        <v>126</v>
      </c>
      <c r="I29" s="4">
        <v>3361402</v>
      </c>
      <c r="J29" s="4"/>
    </row>
    <row r="30" spans="1:12" x14ac:dyDescent="0.3">
      <c r="B30" s="44">
        <v>45913</v>
      </c>
      <c r="C30" s="3" t="s">
        <v>416</v>
      </c>
      <c r="D30" s="3" t="s">
        <v>490</v>
      </c>
      <c r="E30" s="96"/>
      <c r="F30" s="3" t="s">
        <v>142</v>
      </c>
      <c r="G30" s="4">
        <v>3350501</v>
      </c>
      <c r="H30" s="4" t="s">
        <v>425</v>
      </c>
      <c r="I30" s="4">
        <v>3347206</v>
      </c>
      <c r="J30" s="4"/>
    </row>
    <row r="31" spans="1:12" x14ac:dyDescent="0.3">
      <c r="B31" s="44">
        <v>45913</v>
      </c>
      <c r="C31" s="3" t="s">
        <v>416</v>
      </c>
      <c r="D31" s="3" t="s">
        <v>490</v>
      </c>
      <c r="E31" s="96"/>
      <c r="F31" s="3" t="s">
        <v>125</v>
      </c>
      <c r="G31" s="4">
        <v>3362807</v>
      </c>
      <c r="H31" s="4" t="s">
        <v>168</v>
      </c>
      <c r="I31" s="4">
        <v>3356505</v>
      </c>
      <c r="J31" s="4"/>
    </row>
    <row r="32" spans="1:12" x14ac:dyDescent="0.3">
      <c r="B32" s="4"/>
      <c r="E32" s="96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10" x14ac:dyDescent="0.3">
      <c r="B33" s="44">
        <v>45920</v>
      </c>
      <c r="C33" s="3" t="s">
        <v>416</v>
      </c>
      <c r="D33" s="3" t="s">
        <v>490</v>
      </c>
      <c r="E33" s="96"/>
      <c r="F33" s="3" t="s">
        <v>140</v>
      </c>
      <c r="G33" s="4">
        <v>3357900</v>
      </c>
      <c r="H33" s="4" t="s">
        <v>125</v>
      </c>
      <c r="I33" s="4">
        <v>3362807</v>
      </c>
      <c r="J33" s="4"/>
    </row>
    <row r="34" spans="2:10" x14ac:dyDescent="0.3">
      <c r="B34" s="44">
        <v>45920</v>
      </c>
      <c r="C34" s="3" t="s">
        <v>416</v>
      </c>
      <c r="D34" s="3" t="s">
        <v>490</v>
      </c>
      <c r="E34" s="96"/>
      <c r="F34" s="3" t="s">
        <v>166</v>
      </c>
      <c r="G34" s="4">
        <v>3361006</v>
      </c>
      <c r="H34" s="4" t="s">
        <v>420</v>
      </c>
      <c r="I34" s="4">
        <v>3360101</v>
      </c>
      <c r="J34" s="4"/>
    </row>
    <row r="35" spans="2:10" x14ac:dyDescent="0.3">
      <c r="B35" s="44">
        <v>45920</v>
      </c>
      <c r="C35" s="3" t="s">
        <v>416</v>
      </c>
      <c r="D35" s="3" t="s">
        <v>490</v>
      </c>
      <c r="E35" s="96"/>
      <c r="F35" s="3" t="s">
        <v>425</v>
      </c>
      <c r="G35" s="4">
        <v>3347206</v>
      </c>
      <c r="H35" s="4" t="s">
        <v>136</v>
      </c>
      <c r="I35" s="4">
        <v>3360903</v>
      </c>
      <c r="J35" s="4"/>
    </row>
    <row r="36" spans="2:10" x14ac:dyDescent="0.3">
      <c r="B36" s="44">
        <v>45920</v>
      </c>
      <c r="C36" s="3" t="s">
        <v>416</v>
      </c>
      <c r="D36" s="3" t="s">
        <v>490</v>
      </c>
      <c r="E36" s="96"/>
      <c r="F36" s="3" t="s">
        <v>168</v>
      </c>
      <c r="G36" s="4">
        <v>3356505</v>
      </c>
      <c r="H36" s="4" t="s">
        <v>142</v>
      </c>
      <c r="I36" s="4">
        <v>3350501</v>
      </c>
      <c r="J36" s="4"/>
    </row>
    <row r="37" spans="2:10" x14ac:dyDescent="0.3">
      <c r="B37" s="44">
        <v>45920</v>
      </c>
      <c r="C37" s="3" t="s">
        <v>416</v>
      </c>
      <c r="D37" s="3" t="s">
        <v>490</v>
      </c>
      <c r="E37" s="96"/>
      <c r="F37" s="3" t="s">
        <v>126</v>
      </c>
      <c r="G37" s="4">
        <v>3361402</v>
      </c>
      <c r="H37" s="4" t="s">
        <v>138</v>
      </c>
      <c r="I37" s="4">
        <v>3067805</v>
      </c>
      <c r="J37" s="4"/>
    </row>
    <row r="38" spans="2:10" x14ac:dyDescent="0.3">
      <c r="B38" s="44">
        <v>45920</v>
      </c>
      <c r="C38" s="3" t="s">
        <v>416</v>
      </c>
      <c r="D38" s="3" t="s">
        <v>490</v>
      </c>
      <c r="E38" s="96"/>
      <c r="F38" s="3" t="s">
        <v>137</v>
      </c>
      <c r="G38" s="4">
        <v>3359908</v>
      </c>
      <c r="H38" s="4" t="s">
        <v>143</v>
      </c>
      <c r="I38" s="4">
        <v>3349704</v>
      </c>
      <c r="J38" s="4"/>
    </row>
    <row r="39" spans="2:10" x14ac:dyDescent="0.3">
      <c r="B39" s="4"/>
      <c r="E39" s="96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10" x14ac:dyDescent="0.3">
      <c r="B40" s="44">
        <v>45927</v>
      </c>
      <c r="C40" s="3" t="s">
        <v>416</v>
      </c>
      <c r="D40" s="3" t="s">
        <v>490</v>
      </c>
      <c r="E40" s="96"/>
      <c r="F40" s="3" t="s">
        <v>166</v>
      </c>
      <c r="G40" s="4">
        <v>3361006</v>
      </c>
      <c r="H40" s="4" t="s">
        <v>425</v>
      </c>
      <c r="I40" s="4">
        <v>3347206</v>
      </c>
      <c r="J40" s="4"/>
    </row>
    <row r="41" spans="2:10" x14ac:dyDescent="0.3">
      <c r="B41" s="44">
        <v>45927</v>
      </c>
      <c r="C41" s="3" t="s">
        <v>416</v>
      </c>
      <c r="D41" s="3" t="s">
        <v>490</v>
      </c>
      <c r="E41" s="96"/>
      <c r="F41" s="3" t="s">
        <v>136</v>
      </c>
      <c r="G41" s="4">
        <v>3360903</v>
      </c>
      <c r="H41" s="4" t="s">
        <v>168</v>
      </c>
      <c r="I41" s="4">
        <v>3356505</v>
      </c>
      <c r="J41" s="4"/>
    </row>
    <row r="42" spans="2:10" x14ac:dyDescent="0.3">
      <c r="B42" s="44">
        <v>45927</v>
      </c>
      <c r="C42" s="3" t="s">
        <v>416</v>
      </c>
      <c r="D42" s="3" t="s">
        <v>490</v>
      </c>
      <c r="E42" s="96"/>
      <c r="F42" s="3" t="s">
        <v>138</v>
      </c>
      <c r="G42" s="4">
        <v>3067805</v>
      </c>
      <c r="H42" s="4" t="s">
        <v>137</v>
      </c>
      <c r="I42" s="4">
        <v>3359908</v>
      </c>
      <c r="J42" s="4"/>
    </row>
    <row r="43" spans="2:10" x14ac:dyDescent="0.3">
      <c r="B43" s="44">
        <v>45927</v>
      </c>
      <c r="C43" s="3" t="s">
        <v>416</v>
      </c>
      <c r="D43" s="3" t="s">
        <v>490</v>
      </c>
      <c r="E43" s="96"/>
      <c r="F43" s="3" t="s">
        <v>143</v>
      </c>
      <c r="G43" s="4">
        <v>3349704</v>
      </c>
      <c r="H43" s="4" t="s">
        <v>420</v>
      </c>
      <c r="I43" s="4">
        <v>3360101</v>
      </c>
      <c r="J43" s="4"/>
    </row>
    <row r="44" spans="2:10" x14ac:dyDescent="0.3">
      <c r="B44" s="44">
        <v>45927</v>
      </c>
      <c r="C44" s="3" t="s">
        <v>416</v>
      </c>
      <c r="D44" s="3" t="s">
        <v>490</v>
      </c>
      <c r="E44" s="96"/>
      <c r="F44" s="3" t="s">
        <v>142</v>
      </c>
      <c r="G44" s="4">
        <v>3350501</v>
      </c>
      <c r="H44" s="4" t="s">
        <v>140</v>
      </c>
      <c r="I44" s="4">
        <v>3357900</v>
      </c>
      <c r="J44" s="4"/>
    </row>
    <row r="45" spans="2:10" x14ac:dyDescent="0.3">
      <c r="B45" s="44">
        <v>45927</v>
      </c>
      <c r="C45" s="3" t="s">
        <v>416</v>
      </c>
      <c r="D45" s="3" t="s">
        <v>490</v>
      </c>
      <c r="E45" s="96"/>
      <c r="F45" s="3" t="s">
        <v>125</v>
      </c>
      <c r="G45" s="4">
        <v>3362807</v>
      </c>
      <c r="H45" s="4" t="s">
        <v>126</v>
      </c>
      <c r="I45" s="4">
        <v>3361402</v>
      </c>
      <c r="J45" s="4"/>
    </row>
    <row r="46" spans="2:10" x14ac:dyDescent="0.3">
      <c r="B46" s="4"/>
      <c r="E46" s="96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10" x14ac:dyDescent="0.3">
      <c r="B47" s="44">
        <v>45934</v>
      </c>
      <c r="C47" s="3" t="s">
        <v>416</v>
      </c>
      <c r="D47" s="3" t="s">
        <v>490</v>
      </c>
      <c r="E47" s="96"/>
      <c r="F47" s="3" t="s">
        <v>140</v>
      </c>
      <c r="G47" s="4">
        <v>3357900</v>
      </c>
      <c r="H47" s="4" t="s">
        <v>136</v>
      </c>
      <c r="I47" s="4">
        <v>3360903</v>
      </c>
      <c r="J47" s="4"/>
    </row>
    <row r="48" spans="2:10" x14ac:dyDescent="0.3">
      <c r="B48" s="44">
        <v>45934</v>
      </c>
      <c r="C48" s="3" t="s">
        <v>416</v>
      </c>
      <c r="D48" s="3" t="s">
        <v>490</v>
      </c>
      <c r="E48" s="96"/>
      <c r="F48" s="3" t="s">
        <v>420</v>
      </c>
      <c r="G48" s="4">
        <v>3360101</v>
      </c>
      <c r="H48" s="4" t="s">
        <v>138</v>
      </c>
      <c r="I48" s="4">
        <v>3067805</v>
      </c>
      <c r="J48" s="4"/>
    </row>
    <row r="49" spans="2:10" x14ac:dyDescent="0.3">
      <c r="B49" s="44">
        <v>45934</v>
      </c>
      <c r="C49" s="3" t="s">
        <v>416</v>
      </c>
      <c r="D49" s="3" t="s">
        <v>490</v>
      </c>
      <c r="E49" s="96"/>
      <c r="F49" s="3" t="s">
        <v>168</v>
      </c>
      <c r="G49" s="4">
        <v>3356505</v>
      </c>
      <c r="H49" s="4" t="s">
        <v>425</v>
      </c>
      <c r="I49" s="4">
        <v>3347206</v>
      </c>
      <c r="J49" s="4"/>
    </row>
    <row r="50" spans="2:10" x14ac:dyDescent="0.3">
      <c r="B50" s="44">
        <v>45934</v>
      </c>
      <c r="C50" s="3" t="s">
        <v>416</v>
      </c>
      <c r="D50" s="3" t="s">
        <v>490</v>
      </c>
      <c r="E50" s="96"/>
      <c r="F50" s="3" t="s">
        <v>126</v>
      </c>
      <c r="G50" s="4">
        <v>3361402</v>
      </c>
      <c r="H50" s="4" t="s">
        <v>142</v>
      </c>
      <c r="I50" s="4">
        <v>3350501</v>
      </c>
      <c r="J50" s="4"/>
    </row>
    <row r="51" spans="2:10" x14ac:dyDescent="0.3">
      <c r="B51" s="44">
        <v>45934</v>
      </c>
      <c r="C51" s="3" t="s">
        <v>416</v>
      </c>
      <c r="D51" s="3" t="s">
        <v>490</v>
      </c>
      <c r="E51" s="96"/>
      <c r="F51" s="3" t="s">
        <v>143</v>
      </c>
      <c r="G51" s="4">
        <v>3349704</v>
      </c>
      <c r="H51" s="4" t="s">
        <v>166</v>
      </c>
      <c r="I51" s="4">
        <v>3361006</v>
      </c>
      <c r="J51" s="4"/>
    </row>
    <row r="52" spans="2:10" x14ac:dyDescent="0.3">
      <c r="B52" s="44">
        <v>45934</v>
      </c>
      <c r="C52" s="3" t="s">
        <v>416</v>
      </c>
      <c r="D52" s="3" t="s">
        <v>490</v>
      </c>
      <c r="E52" s="96"/>
      <c r="F52" s="3" t="s">
        <v>137</v>
      </c>
      <c r="G52" s="4">
        <v>3359908</v>
      </c>
      <c r="H52" s="4" t="s">
        <v>125</v>
      </c>
      <c r="I52" s="4">
        <v>3362807</v>
      </c>
      <c r="J52" s="4"/>
    </row>
    <row r="53" spans="2:10" x14ac:dyDescent="0.3">
      <c r="B53" s="4"/>
      <c r="E53" s="96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10" x14ac:dyDescent="0.3">
      <c r="B54" s="44">
        <v>45941</v>
      </c>
      <c r="C54" s="3" t="s">
        <v>416</v>
      </c>
      <c r="D54" s="3" t="s">
        <v>490</v>
      </c>
      <c r="E54" s="96"/>
      <c r="F54" s="3" t="s">
        <v>166</v>
      </c>
      <c r="G54" s="4">
        <v>3361006</v>
      </c>
      <c r="H54" s="4" t="s">
        <v>168</v>
      </c>
      <c r="I54" s="4">
        <v>3356505</v>
      </c>
      <c r="J54" s="4"/>
    </row>
    <row r="55" spans="2:10" x14ac:dyDescent="0.3">
      <c r="B55" s="44">
        <v>45941</v>
      </c>
      <c r="C55" s="3" t="s">
        <v>416</v>
      </c>
      <c r="D55" s="3" t="s">
        <v>490</v>
      </c>
      <c r="E55" s="96"/>
      <c r="F55" s="3" t="s">
        <v>425</v>
      </c>
      <c r="G55" s="4">
        <v>3347206</v>
      </c>
      <c r="H55" s="4" t="s">
        <v>140</v>
      </c>
      <c r="I55" s="4">
        <v>3357900</v>
      </c>
      <c r="J55" s="4"/>
    </row>
    <row r="56" spans="2:10" x14ac:dyDescent="0.3">
      <c r="B56" s="44">
        <v>45941</v>
      </c>
      <c r="C56" s="3" t="s">
        <v>416</v>
      </c>
      <c r="D56" s="3" t="s">
        <v>490</v>
      </c>
      <c r="E56" s="96"/>
      <c r="F56" s="3" t="s">
        <v>136</v>
      </c>
      <c r="G56" s="4">
        <v>3360903</v>
      </c>
      <c r="H56" s="4" t="s">
        <v>126</v>
      </c>
      <c r="I56" s="4">
        <v>3361402</v>
      </c>
      <c r="J56" s="4"/>
    </row>
    <row r="57" spans="2:10" x14ac:dyDescent="0.3">
      <c r="B57" s="44">
        <v>45941</v>
      </c>
      <c r="C57" s="3" t="s">
        <v>416</v>
      </c>
      <c r="D57" s="3" t="s">
        <v>490</v>
      </c>
      <c r="E57" s="96"/>
      <c r="F57" s="3" t="s">
        <v>138</v>
      </c>
      <c r="G57" s="4">
        <v>3067805</v>
      </c>
      <c r="H57" s="4" t="s">
        <v>143</v>
      </c>
      <c r="I57" s="4">
        <v>3349704</v>
      </c>
      <c r="J57" s="4"/>
    </row>
    <row r="58" spans="2:10" x14ac:dyDescent="0.3">
      <c r="B58" s="44">
        <v>45941</v>
      </c>
      <c r="C58" s="3" t="s">
        <v>416</v>
      </c>
      <c r="D58" s="3" t="s">
        <v>490</v>
      </c>
      <c r="E58" s="96"/>
      <c r="F58" s="3" t="s">
        <v>142</v>
      </c>
      <c r="G58" s="4">
        <v>3350501</v>
      </c>
      <c r="H58" s="4" t="s">
        <v>137</v>
      </c>
      <c r="I58" s="4">
        <v>3359908</v>
      </c>
      <c r="J58" s="4"/>
    </row>
    <row r="59" spans="2:10" x14ac:dyDescent="0.3">
      <c r="B59" s="44">
        <v>45941</v>
      </c>
      <c r="C59" s="3" t="s">
        <v>416</v>
      </c>
      <c r="D59" s="3" t="s">
        <v>490</v>
      </c>
      <c r="E59" s="96"/>
      <c r="F59" s="3" t="s">
        <v>125</v>
      </c>
      <c r="G59" s="4">
        <v>3362807</v>
      </c>
      <c r="H59" s="4" t="s">
        <v>420</v>
      </c>
      <c r="I59" s="4">
        <v>3360101</v>
      </c>
      <c r="J59" s="4"/>
    </row>
    <row r="60" spans="2:10" x14ac:dyDescent="0.3">
      <c r="B60" s="4"/>
      <c r="E60" s="96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10" x14ac:dyDescent="0.3">
      <c r="B61" s="44">
        <v>45948</v>
      </c>
      <c r="C61" s="3" t="s">
        <v>416</v>
      </c>
      <c r="D61" s="3" t="s">
        <v>490</v>
      </c>
      <c r="E61" s="96"/>
      <c r="F61" s="3" t="s">
        <v>140</v>
      </c>
      <c r="G61" s="4">
        <v>3357900</v>
      </c>
      <c r="H61" s="4" t="s">
        <v>168</v>
      </c>
      <c r="I61" s="4">
        <v>3356505</v>
      </c>
      <c r="J61" s="4"/>
    </row>
    <row r="62" spans="2:10" x14ac:dyDescent="0.3">
      <c r="B62" s="44">
        <v>45948</v>
      </c>
      <c r="C62" s="3" t="s">
        <v>416</v>
      </c>
      <c r="D62" s="3" t="s">
        <v>490</v>
      </c>
      <c r="E62" s="96"/>
      <c r="F62" s="3" t="s">
        <v>420</v>
      </c>
      <c r="G62" s="4">
        <v>3360101</v>
      </c>
      <c r="H62" s="4" t="s">
        <v>142</v>
      </c>
      <c r="I62" s="4">
        <v>3350501</v>
      </c>
      <c r="J62" s="4"/>
    </row>
    <row r="63" spans="2:10" x14ac:dyDescent="0.3">
      <c r="B63" s="44">
        <v>45948</v>
      </c>
      <c r="C63" s="3" t="s">
        <v>416</v>
      </c>
      <c r="D63" s="3" t="s">
        <v>490</v>
      </c>
      <c r="E63" s="96"/>
      <c r="F63" s="3" t="s">
        <v>138</v>
      </c>
      <c r="G63" s="4">
        <v>3067805</v>
      </c>
      <c r="H63" s="4" t="s">
        <v>166</v>
      </c>
      <c r="I63" s="4">
        <v>3361006</v>
      </c>
      <c r="J63" s="4"/>
    </row>
    <row r="64" spans="2:10" x14ac:dyDescent="0.3">
      <c r="B64" s="44">
        <v>45948</v>
      </c>
      <c r="C64" s="3" t="s">
        <v>416</v>
      </c>
      <c r="D64" s="3" t="s">
        <v>490</v>
      </c>
      <c r="E64" s="96"/>
      <c r="F64" s="3" t="s">
        <v>126</v>
      </c>
      <c r="G64" s="4">
        <v>3361402</v>
      </c>
      <c r="H64" s="4" t="s">
        <v>425</v>
      </c>
      <c r="I64" s="4">
        <v>3347206</v>
      </c>
      <c r="J64" s="4"/>
    </row>
    <row r="65" spans="2:10" x14ac:dyDescent="0.3">
      <c r="B65" s="44">
        <v>45948</v>
      </c>
      <c r="C65" s="3" t="s">
        <v>416</v>
      </c>
      <c r="D65" s="3" t="s">
        <v>490</v>
      </c>
      <c r="E65" s="96"/>
      <c r="F65" s="3" t="s">
        <v>143</v>
      </c>
      <c r="G65" s="4">
        <v>3349704</v>
      </c>
      <c r="H65" s="4" t="s">
        <v>125</v>
      </c>
      <c r="I65" s="4">
        <v>3362807</v>
      </c>
      <c r="J65" s="4"/>
    </row>
    <row r="66" spans="2:10" x14ac:dyDescent="0.3">
      <c r="B66" s="44">
        <v>45948</v>
      </c>
      <c r="C66" s="3" t="s">
        <v>416</v>
      </c>
      <c r="D66" s="3" t="s">
        <v>490</v>
      </c>
      <c r="E66" s="96"/>
      <c r="F66" s="3" t="s">
        <v>137</v>
      </c>
      <c r="G66" s="4">
        <v>3359908</v>
      </c>
      <c r="H66" s="4" t="s">
        <v>136</v>
      </c>
      <c r="I66" s="4">
        <v>3360903</v>
      </c>
      <c r="J66" s="4"/>
    </row>
    <row r="67" spans="2:10" x14ac:dyDescent="0.3">
      <c r="B67" s="4"/>
      <c r="E67" s="96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10" x14ac:dyDescent="0.3">
      <c r="B68" s="44">
        <v>45962</v>
      </c>
      <c r="C68" s="3" t="s">
        <v>416</v>
      </c>
      <c r="D68" s="3" t="s">
        <v>490</v>
      </c>
      <c r="E68" s="96"/>
      <c r="F68" s="3" t="s">
        <v>166</v>
      </c>
      <c r="G68" s="4">
        <v>3361006</v>
      </c>
      <c r="H68" s="4" t="s">
        <v>140</v>
      </c>
      <c r="I68" s="4">
        <v>3357900</v>
      </c>
      <c r="J68" s="4"/>
    </row>
    <row r="69" spans="2:10" x14ac:dyDescent="0.3">
      <c r="B69" s="44">
        <v>45962</v>
      </c>
      <c r="C69" s="3" t="s">
        <v>416</v>
      </c>
      <c r="D69" s="3" t="s">
        <v>490</v>
      </c>
      <c r="E69" s="96"/>
      <c r="F69" s="3" t="s">
        <v>425</v>
      </c>
      <c r="G69" s="4">
        <v>3347206</v>
      </c>
      <c r="H69" s="4" t="s">
        <v>137</v>
      </c>
      <c r="I69" s="4">
        <v>3359908</v>
      </c>
      <c r="J69" s="4"/>
    </row>
    <row r="70" spans="2:10" x14ac:dyDescent="0.3">
      <c r="B70" s="44">
        <v>45962</v>
      </c>
      <c r="C70" s="3" t="s">
        <v>416</v>
      </c>
      <c r="D70" s="3" t="s">
        <v>490</v>
      </c>
      <c r="E70" s="96"/>
      <c r="F70" s="3" t="s">
        <v>168</v>
      </c>
      <c r="G70" s="4">
        <v>3356505</v>
      </c>
      <c r="H70" s="4" t="s">
        <v>126</v>
      </c>
      <c r="I70" s="4">
        <v>3361402</v>
      </c>
      <c r="J70" s="4"/>
    </row>
    <row r="71" spans="2:10" x14ac:dyDescent="0.3">
      <c r="B71" s="44">
        <v>45962</v>
      </c>
      <c r="C71" s="3" t="s">
        <v>416</v>
      </c>
      <c r="D71" s="3" t="s">
        <v>490</v>
      </c>
      <c r="E71" s="96"/>
      <c r="F71" s="3" t="s">
        <v>136</v>
      </c>
      <c r="G71" s="4">
        <v>3360903</v>
      </c>
      <c r="H71" s="4" t="s">
        <v>420</v>
      </c>
      <c r="I71" s="4">
        <v>3360101</v>
      </c>
      <c r="J71" s="4"/>
    </row>
    <row r="72" spans="2:10" x14ac:dyDescent="0.3">
      <c r="B72" s="44">
        <v>45962</v>
      </c>
      <c r="C72" s="3" t="s">
        <v>416</v>
      </c>
      <c r="D72" s="3" t="s">
        <v>490</v>
      </c>
      <c r="E72" s="96"/>
      <c r="F72" s="3" t="s">
        <v>142</v>
      </c>
      <c r="G72" s="4">
        <v>3350501</v>
      </c>
      <c r="H72" s="4" t="s">
        <v>143</v>
      </c>
      <c r="I72" s="4">
        <v>3349704</v>
      </c>
      <c r="J72" s="4"/>
    </row>
    <row r="73" spans="2:10" x14ac:dyDescent="0.3">
      <c r="B73" s="44">
        <v>45962</v>
      </c>
      <c r="C73" s="3" t="s">
        <v>416</v>
      </c>
      <c r="D73" s="3" t="s">
        <v>490</v>
      </c>
      <c r="E73" s="96"/>
      <c r="F73" s="3" t="s">
        <v>125</v>
      </c>
      <c r="G73" s="4">
        <v>3362807</v>
      </c>
      <c r="H73" s="4" t="s">
        <v>138</v>
      </c>
      <c r="I73" s="4">
        <v>3067805</v>
      </c>
      <c r="J73" s="4"/>
    </row>
    <row r="74" spans="2:10" x14ac:dyDescent="0.3">
      <c r="B74" s="4"/>
      <c r="E74" s="96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10" x14ac:dyDescent="0.3">
      <c r="B75" s="44">
        <v>45969</v>
      </c>
      <c r="C75" s="3" t="s">
        <v>416</v>
      </c>
      <c r="D75" s="3" t="s">
        <v>490</v>
      </c>
      <c r="E75" s="96"/>
      <c r="F75" s="3" t="s">
        <v>420</v>
      </c>
      <c r="G75" s="4">
        <v>3360101</v>
      </c>
      <c r="H75" s="4" t="s">
        <v>425</v>
      </c>
      <c r="I75" s="4">
        <v>3347206</v>
      </c>
      <c r="J75" s="4"/>
    </row>
    <row r="76" spans="2:10" x14ac:dyDescent="0.3">
      <c r="B76" s="44">
        <v>45969</v>
      </c>
      <c r="C76" s="3" t="s">
        <v>416</v>
      </c>
      <c r="D76" s="3" t="s">
        <v>490</v>
      </c>
      <c r="E76" s="96"/>
      <c r="F76" s="3" t="s">
        <v>138</v>
      </c>
      <c r="G76" s="4">
        <v>3067805</v>
      </c>
      <c r="H76" s="4" t="s">
        <v>142</v>
      </c>
      <c r="I76" s="4">
        <v>3350501</v>
      </c>
      <c r="J76" s="4"/>
    </row>
    <row r="77" spans="2:10" x14ac:dyDescent="0.3">
      <c r="B77" s="44">
        <v>45969</v>
      </c>
      <c r="C77" s="3" t="s">
        <v>416</v>
      </c>
      <c r="D77" s="3" t="s">
        <v>490</v>
      </c>
      <c r="E77" s="96"/>
      <c r="F77" s="3" t="s">
        <v>126</v>
      </c>
      <c r="G77" s="4">
        <v>3361402</v>
      </c>
      <c r="H77" s="4" t="s">
        <v>140</v>
      </c>
      <c r="I77" s="4">
        <v>3357900</v>
      </c>
      <c r="J77" s="4"/>
    </row>
    <row r="78" spans="2:10" x14ac:dyDescent="0.3">
      <c r="B78" s="44">
        <v>45969</v>
      </c>
      <c r="C78" s="3" t="s">
        <v>416</v>
      </c>
      <c r="D78" s="3" t="s">
        <v>490</v>
      </c>
      <c r="E78" s="96"/>
      <c r="F78" s="3" t="s">
        <v>143</v>
      </c>
      <c r="G78" s="4">
        <v>3349704</v>
      </c>
      <c r="H78" s="4" t="s">
        <v>136</v>
      </c>
      <c r="I78" s="4">
        <v>3360903</v>
      </c>
      <c r="J78" s="4"/>
    </row>
    <row r="79" spans="2:10" x14ac:dyDescent="0.3">
      <c r="B79" s="44">
        <v>45969</v>
      </c>
      <c r="C79" s="3" t="s">
        <v>416</v>
      </c>
      <c r="D79" s="3" t="s">
        <v>490</v>
      </c>
      <c r="E79" s="96"/>
      <c r="F79" s="3" t="s">
        <v>137</v>
      </c>
      <c r="G79" s="4">
        <v>3359908</v>
      </c>
      <c r="H79" s="4" t="s">
        <v>168</v>
      </c>
      <c r="I79" s="4">
        <v>3356505</v>
      </c>
      <c r="J79" s="4"/>
    </row>
    <row r="80" spans="2:10" x14ac:dyDescent="0.3">
      <c r="B80" s="44">
        <v>45969</v>
      </c>
      <c r="C80" s="3" t="s">
        <v>416</v>
      </c>
      <c r="D80" s="3" t="s">
        <v>490</v>
      </c>
      <c r="E80" s="96"/>
      <c r="F80" s="3" t="s">
        <v>125</v>
      </c>
      <c r="G80" s="4">
        <v>3362807</v>
      </c>
      <c r="H80" s="4" t="s">
        <v>166</v>
      </c>
      <c r="I80" s="4">
        <v>3361006</v>
      </c>
      <c r="J80" s="4"/>
    </row>
    <row r="81" spans="2:10" x14ac:dyDescent="0.3">
      <c r="B81" s="4"/>
      <c r="E81" s="96"/>
      <c r="G81" s="4"/>
      <c r="H81" s="4"/>
      <c r="I81" s="4"/>
    </row>
    <row r="82" spans="2:10" x14ac:dyDescent="0.3">
      <c r="B82" s="44">
        <v>45976</v>
      </c>
      <c r="C82" s="3" t="s">
        <v>416</v>
      </c>
      <c r="D82" s="3" t="s">
        <v>490</v>
      </c>
      <c r="E82" s="96"/>
      <c r="F82" s="3" t="s">
        <v>140</v>
      </c>
      <c r="G82" s="4">
        <v>3357900</v>
      </c>
      <c r="H82" s="4" t="s">
        <v>137</v>
      </c>
      <c r="I82" s="4">
        <v>3359908</v>
      </c>
      <c r="J82" s="4"/>
    </row>
    <row r="83" spans="2:10" x14ac:dyDescent="0.3">
      <c r="B83" s="44">
        <v>45976</v>
      </c>
      <c r="C83" s="3" t="s">
        <v>416</v>
      </c>
      <c r="D83" s="3" t="s">
        <v>490</v>
      </c>
      <c r="E83" s="96"/>
      <c r="F83" s="3" t="s">
        <v>166</v>
      </c>
      <c r="G83" s="4">
        <v>3361006</v>
      </c>
      <c r="H83" s="4" t="s">
        <v>126</v>
      </c>
      <c r="I83" s="4">
        <v>3361402</v>
      </c>
      <c r="J83" s="4"/>
    </row>
    <row r="84" spans="2:10" x14ac:dyDescent="0.3">
      <c r="B84" s="44">
        <v>45976</v>
      </c>
      <c r="C84" s="3" t="s">
        <v>416</v>
      </c>
      <c r="D84" s="3" t="s">
        <v>490</v>
      </c>
      <c r="E84" s="96"/>
      <c r="F84" s="3" t="s">
        <v>425</v>
      </c>
      <c r="G84" s="4">
        <v>3347206</v>
      </c>
      <c r="H84" s="4" t="s">
        <v>143</v>
      </c>
      <c r="I84" s="4">
        <v>3349704</v>
      </c>
      <c r="J84" s="4"/>
    </row>
    <row r="85" spans="2:10" x14ac:dyDescent="0.3">
      <c r="B85" s="44">
        <v>45976</v>
      </c>
      <c r="C85" s="3" t="s">
        <v>416</v>
      </c>
      <c r="D85" s="3" t="s">
        <v>490</v>
      </c>
      <c r="E85" s="96"/>
      <c r="F85" s="3" t="s">
        <v>168</v>
      </c>
      <c r="G85" s="4">
        <v>3356505</v>
      </c>
      <c r="H85" s="4" t="s">
        <v>420</v>
      </c>
      <c r="I85" s="4">
        <v>3360101</v>
      </c>
      <c r="J85" s="4"/>
    </row>
    <row r="86" spans="2:10" x14ac:dyDescent="0.3">
      <c r="B86" s="44">
        <v>45976</v>
      </c>
      <c r="C86" s="3" t="s">
        <v>416</v>
      </c>
      <c r="D86" s="3" t="s">
        <v>490</v>
      </c>
      <c r="E86" s="96"/>
      <c r="F86" s="3" t="s">
        <v>136</v>
      </c>
      <c r="G86" s="4">
        <v>3360903</v>
      </c>
      <c r="H86" s="4" t="s">
        <v>138</v>
      </c>
      <c r="I86" s="4">
        <v>3067805</v>
      </c>
      <c r="J86" s="4"/>
    </row>
    <row r="87" spans="2:10" x14ac:dyDescent="0.3">
      <c r="B87" s="44">
        <v>45976</v>
      </c>
      <c r="C87" s="3" t="s">
        <v>416</v>
      </c>
      <c r="D87" s="3" t="s">
        <v>490</v>
      </c>
      <c r="E87" s="96"/>
      <c r="F87" s="3" t="s">
        <v>142</v>
      </c>
      <c r="G87" s="4">
        <v>3350501</v>
      </c>
      <c r="H87" s="4" t="s">
        <v>125</v>
      </c>
      <c r="I87" s="4">
        <v>3362807</v>
      </c>
      <c r="J87" s="4"/>
    </row>
    <row r="88" spans="2:10" x14ac:dyDescent="0.3">
      <c r="B88" s="4"/>
      <c r="E88" s="96"/>
      <c r="G88" s="4"/>
      <c r="H88" s="4"/>
      <c r="I88" s="4"/>
    </row>
    <row r="89" spans="2:10" x14ac:dyDescent="0.3">
      <c r="B89" s="44">
        <v>45983</v>
      </c>
      <c r="C89" s="3" t="s">
        <v>416</v>
      </c>
      <c r="D89" s="3" t="s">
        <v>490</v>
      </c>
      <c r="E89" s="96"/>
      <c r="F89" s="3" t="s">
        <v>125</v>
      </c>
      <c r="G89" s="4">
        <v>3362807</v>
      </c>
      <c r="H89" s="4" t="s">
        <v>136</v>
      </c>
      <c r="I89" s="4">
        <v>3360903</v>
      </c>
      <c r="J89" s="4"/>
    </row>
    <row r="90" spans="2:10" x14ac:dyDescent="0.3">
      <c r="B90" s="44">
        <v>45983</v>
      </c>
      <c r="C90" s="3" t="s">
        <v>416</v>
      </c>
      <c r="D90" s="3" t="s">
        <v>490</v>
      </c>
      <c r="E90" s="96"/>
      <c r="F90" s="3" t="s">
        <v>420</v>
      </c>
      <c r="G90" s="4">
        <v>3360101</v>
      </c>
      <c r="H90" s="4" t="s">
        <v>140</v>
      </c>
      <c r="I90" s="4">
        <v>3357900</v>
      </c>
      <c r="J90" s="4"/>
    </row>
    <row r="91" spans="2:10" x14ac:dyDescent="0.3">
      <c r="B91" s="44">
        <v>45983</v>
      </c>
      <c r="C91" s="3" t="s">
        <v>416</v>
      </c>
      <c r="D91" s="3" t="s">
        <v>490</v>
      </c>
      <c r="E91" s="96"/>
      <c r="F91" s="3" t="s">
        <v>138</v>
      </c>
      <c r="G91" s="4">
        <v>3067805</v>
      </c>
      <c r="H91" s="4" t="s">
        <v>425</v>
      </c>
      <c r="I91" s="4">
        <v>3347206</v>
      </c>
      <c r="J91" s="4"/>
    </row>
    <row r="92" spans="2:10" x14ac:dyDescent="0.3">
      <c r="B92" s="44">
        <v>45983</v>
      </c>
      <c r="C92" s="3" t="s">
        <v>416</v>
      </c>
      <c r="D92" s="3" t="s">
        <v>490</v>
      </c>
      <c r="E92" s="96"/>
      <c r="F92" s="3" t="s">
        <v>143</v>
      </c>
      <c r="G92" s="4">
        <v>3349704</v>
      </c>
      <c r="H92" s="4" t="s">
        <v>168</v>
      </c>
      <c r="I92" s="4">
        <v>3356505</v>
      </c>
      <c r="J92" s="4"/>
    </row>
    <row r="93" spans="2:10" x14ac:dyDescent="0.3">
      <c r="B93" s="44">
        <v>45983</v>
      </c>
      <c r="C93" s="3" t="s">
        <v>416</v>
      </c>
      <c r="D93" s="3" t="s">
        <v>490</v>
      </c>
      <c r="E93" s="96"/>
      <c r="F93" s="3" t="s">
        <v>137</v>
      </c>
      <c r="G93" s="4">
        <v>3359908</v>
      </c>
      <c r="H93" s="4" t="s">
        <v>126</v>
      </c>
      <c r="I93" s="4">
        <v>3361402</v>
      </c>
      <c r="J93" s="4"/>
    </row>
    <row r="94" spans="2:10" x14ac:dyDescent="0.3">
      <c r="B94" s="44">
        <v>45983</v>
      </c>
      <c r="C94" s="3" t="s">
        <v>416</v>
      </c>
      <c r="D94" s="3" t="s">
        <v>490</v>
      </c>
      <c r="E94" s="96"/>
      <c r="F94" s="3" t="s">
        <v>142</v>
      </c>
      <c r="G94" s="4">
        <v>3350501</v>
      </c>
      <c r="H94" s="4" t="s">
        <v>166</v>
      </c>
      <c r="I94" s="4">
        <v>3361006</v>
      </c>
      <c r="J94" s="4"/>
    </row>
    <row r="95" spans="2:10" x14ac:dyDescent="0.3">
      <c r="B95" s="4"/>
      <c r="E95" s="96"/>
      <c r="G95" s="4"/>
      <c r="H95" s="4"/>
      <c r="I95" s="4"/>
    </row>
    <row r="96" spans="2:10" x14ac:dyDescent="0.3">
      <c r="B96" s="44">
        <v>45990</v>
      </c>
      <c r="C96" s="3" t="s">
        <v>416</v>
      </c>
      <c r="D96" s="3" t="s">
        <v>490</v>
      </c>
      <c r="E96" s="96"/>
      <c r="F96" s="3" t="s">
        <v>126</v>
      </c>
      <c r="G96" s="4">
        <v>3361402</v>
      </c>
      <c r="H96" s="4" t="s">
        <v>420</v>
      </c>
      <c r="I96" s="4">
        <v>3360101</v>
      </c>
      <c r="J96" s="4"/>
    </row>
    <row r="97" spans="2:10" x14ac:dyDescent="0.3">
      <c r="B97" s="44">
        <v>45990</v>
      </c>
      <c r="C97" s="3" t="s">
        <v>416</v>
      </c>
      <c r="D97" s="3" t="s">
        <v>490</v>
      </c>
      <c r="E97" s="96"/>
      <c r="F97" s="3" t="s">
        <v>140</v>
      </c>
      <c r="G97" s="4">
        <v>3357900</v>
      </c>
      <c r="H97" s="4" t="s">
        <v>143</v>
      </c>
      <c r="I97" s="4">
        <v>3349704</v>
      </c>
      <c r="J97" s="4"/>
    </row>
    <row r="98" spans="2:10" x14ac:dyDescent="0.3">
      <c r="B98" s="44">
        <v>45990</v>
      </c>
      <c r="C98" s="3" t="s">
        <v>416</v>
      </c>
      <c r="D98" s="3" t="s">
        <v>490</v>
      </c>
      <c r="E98" s="96"/>
      <c r="F98" s="3" t="s">
        <v>166</v>
      </c>
      <c r="G98" s="4">
        <v>3361006</v>
      </c>
      <c r="H98" s="4" t="s">
        <v>137</v>
      </c>
      <c r="I98" s="4">
        <v>3359908</v>
      </c>
      <c r="J98" s="4"/>
    </row>
    <row r="99" spans="2:10" x14ac:dyDescent="0.3">
      <c r="B99" s="44">
        <v>45990</v>
      </c>
      <c r="C99" s="3" t="s">
        <v>416</v>
      </c>
      <c r="D99" s="3" t="s">
        <v>490</v>
      </c>
      <c r="E99" s="96"/>
      <c r="F99" s="3" t="s">
        <v>425</v>
      </c>
      <c r="G99" s="4">
        <v>3347206</v>
      </c>
      <c r="H99" s="4" t="s">
        <v>125</v>
      </c>
      <c r="I99" s="4">
        <v>3362807</v>
      </c>
      <c r="J99" s="4"/>
    </row>
    <row r="100" spans="2:10" x14ac:dyDescent="0.3">
      <c r="B100" s="44">
        <v>45990</v>
      </c>
      <c r="C100" s="3" t="s">
        <v>416</v>
      </c>
      <c r="D100" s="3" t="s">
        <v>490</v>
      </c>
      <c r="E100" s="96"/>
      <c r="F100" s="3" t="s">
        <v>168</v>
      </c>
      <c r="G100" s="4">
        <v>3356505</v>
      </c>
      <c r="H100" s="4" t="s">
        <v>138</v>
      </c>
      <c r="I100" s="4">
        <v>3067805</v>
      </c>
      <c r="J100" s="4"/>
    </row>
    <row r="101" spans="2:10" x14ac:dyDescent="0.3">
      <c r="B101" s="44">
        <v>45990</v>
      </c>
      <c r="C101" s="3" t="s">
        <v>416</v>
      </c>
      <c r="D101" s="3" t="s">
        <v>490</v>
      </c>
      <c r="E101" s="96"/>
      <c r="F101" s="3" t="s">
        <v>136</v>
      </c>
      <c r="G101" s="4">
        <v>3360903</v>
      </c>
      <c r="H101" s="4" t="s">
        <v>142</v>
      </c>
      <c r="I101" s="4">
        <v>3350501</v>
      </c>
      <c r="J101" s="4"/>
    </row>
    <row r="102" spans="2:10" x14ac:dyDescent="0.3">
      <c r="B102" s="4"/>
      <c r="E102" s="96"/>
      <c r="G102" s="4"/>
      <c r="H102" s="4"/>
      <c r="I102" s="4"/>
    </row>
    <row r="103" spans="2:10" x14ac:dyDescent="0.3">
      <c r="B103" s="44">
        <v>46032</v>
      </c>
      <c r="C103" s="3" t="s">
        <v>416</v>
      </c>
      <c r="D103" s="3" t="s">
        <v>490</v>
      </c>
      <c r="E103" s="96"/>
      <c r="F103" s="3" t="s">
        <v>137</v>
      </c>
      <c r="G103" s="4">
        <v>3359908</v>
      </c>
      <c r="H103" s="4" t="s">
        <v>420</v>
      </c>
      <c r="I103" s="4">
        <v>3360101</v>
      </c>
      <c r="J103" s="4"/>
    </row>
    <row r="104" spans="2:10" x14ac:dyDescent="0.3">
      <c r="B104" s="44">
        <v>46032</v>
      </c>
      <c r="C104" s="3" t="s">
        <v>416</v>
      </c>
      <c r="D104" s="3" t="s">
        <v>490</v>
      </c>
      <c r="E104" s="96"/>
      <c r="F104" s="3" t="s">
        <v>140</v>
      </c>
      <c r="G104" s="4">
        <v>3357900</v>
      </c>
      <c r="H104" s="4" t="s">
        <v>138</v>
      </c>
      <c r="I104" s="4">
        <v>3067805</v>
      </c>
      <c r="J104" s="4"/>
    </row>
    <row r="105" spans="2:10" x14ac:dyDescent="0.3">
      <c r="B105" s="44">
        <v>46032</v>
      </c>
      <c r="C105" s="3" t="s">
        <v>416</v>
      </c>
      <c r="D105" s="3" t="s">
        <v>490</v>
      </c>
      <c r="E105" s="96"/>
      <c r="F105" s="3" t="s">
        <v>166</v>
      </c>
      <c r="G105" s="4">
        <v>3361006</v>
      </c>
      <c r="H105" s="4" t="s">
        <v>136</v>
      </c>
      <c r="I105" s="4">
        <v>3360903</v>
      </c>
      <c r="J105" s="4"/>
    </row>
    <row r="106" spans="2:10" x14ac:dyDescent="0.3">
      <c r="B106" s="44">
        <v>46032</v>
      </c>
      <c r="C106" s="3" t="s">
        <v>416</v>
      </c>
      <c r="D106" s="3" t="s">
        <v>490</v>
      </c>
      <c r="E106" s="96"/>
      <c r="F106" s="3" t="s">
        <v>425</v>
      </c>
      <c r="G106" s="4">
        <v>3347206</v>
      </c>
      <c r="H106" s="4" t="s">
        <v>142</v>
      </c>
      <c r="I106" s="4">
        <v>3350501</v>
      </c>
      <c r="J106" s="4"/>
    </row>
    <row r="107" spans="2:10" x14ac:dyDescent="0.3">
      <c r="B107" s="44">
        <v>46032</v>
      </c>
      <c r="C107" s="3" t="s">
        <v>416</v>
      </c>
      <c r="D107" s="3" t="s">
        <v>490</v>
      </c>
      <c r="E107" s="96"/>
      <c r="F107" s="3" t="s">
        <v>168</v>
      </c>
      <c r="G107" s="4">
        <v>3356505</v>
      </c>
      <c r="H107" s="4" t="s">
        <v>125</v>
      </c>
      <c r="I107" s="4">
        <v>3362807</v>
      </c>
      <c r="J107" s="4"/>
    </row>
    <row r="108" spans="2:10" x14ac:dyDescent="0.3">
      <c r="B108" s="44">
        <v>46032</v>
      </c>
      <c r="C108" s="3" t="s">
        <v>416</v>
      </c>
      <c r="D108" s="3" t="s">
        <v>490</v>
      </c>
      <c r="E108" s="96"/>
      <c r="F108" s="3" t="s">
        <v>126</v>
      </c>
      <c r="G108" s="4">
        <v>3361402</v>
      </c>
      <c r="H108" s="4" t="s">
        <v>143</v>
      </c>
      <c r="I108" s="4">
        <v>3349704</v>
      </c>
      <c r="J108" s="4"/>
    </row>
    <row r="109" spans="2:10" x14ac:dyDescent="0.3">
      <c r="B109" s="4"/>
      <c r="E109" s="96"/>
      <c r="G109" s="4"/>
      <c r="H109" s="4"/>
      <c r="I109" s="4"/>
    </row>
    <row r="110" spans="2:10" x14ac:dyDescent="0.3">
      <c r="B110" s="44">
        <v>46039</v>
      </c>
      <c r="C110" s="3" t="s">
        <v>416</v>
      </c>
      <c r="D110" s="3" t="s">
        <v>490</v>
      </c>
      <c r="E110" s="96"/>
      <c r="F110" s="3" t="s">
        <v>125</v>
      </c>
      <c r="G110" s="4">
        <v>3362807</v>
      </c>
      <c r="H110" s="4" t="s">
        <v>140</v>
      </c>
      <c r="I110" s="4">
        <v>3357900</v>
      </c>
      <c r="J110" s="4"/>
    </row>
    <row r="111" spans="2:10" x14ac:dyDescent="0.3">
      <c r="B111" s="44">
        <v>46039</v>
      </c>
      <c r="C111" s="3" t="s">
        <v>416</v>
      </c>
      <c r="D111" s="3" t="s">
        <v>490</v>
      </c>
      <c r="E111" s="96"/>
      <c r="F111" s="3" t="s">
        <v>420</v>
      </c>
      <c r="G111" s="4">
        <v>3360101</v>
      </c>
      <c r="H111" s="4" t="s">
        <v>166</v>
      </c>
      <c r="I111" s="4">
        <v>3361006</v>
      </c>
      <c r="J111" s="4"/>
    </row>
    <row r="112" spans="2:10" x14ac:dyDescent="0.3">
      <c r="B112" s="44">
        <v>46039</v>
      </c>
      <c r="C112" s="3" t="s">
        <v>416</v>
      </c>
      <c r="D112" s="3" t="s">
        <v>490</v>
      </c>
      <c r="E112" s="96"/>
      <c r="F112" s="3" t="s">
        <v>136</v>
      </c>
      <c r="G112" s="4">
        <v>3360903</v>
      </c>
      <c r="H112" s="4" t="s">
        <v>425</v>
      </c>
      <c r="I112" s="4">
        <v>3347206</v>
      </c>
      <c r="J112" s="4"/>
    </row>
    <row r="113" spans="2:10" x14ac:dyDescent="0.3">
      <c r="B113" s="44">
        <v>46039</v>
      </c>
      <c r="C113" s="3" t="s">
        <v>416</v>
      </c>
      <c r="D113" s="3" t="s">
        <v>490</v>
      </c>
      <c r="E113" s="96"/>
      <c r="F113" s="3" t="s">
        <v>138</v>
      </c>
      <c r="G113" s="4">
        <v>3067805</v>
      </c>
      <c r="H113" s="4" t="s">
        <v>126</v>
      </c>
      <c r="I113" s="4">
        <v>3361402</v>
      </c>
      <c r="J113" s="4"/>
    </row>
    <row r="114" spans="2:10" x14ac:dyDescent="0.3">
      <c r="B114" s="44">
        <v>46039</v>
      </c>
      <c r="C114" s="3" t="s">
        <v>416</v>
      </c>
      <c r="D114" s="3" t="s">
        <v>490</v>
      </c>
      <c r="E114" s="96"/>
      <c r="F114" s="3" t="s">
        <v>143</v>
      </c>
      <c r="G114" s="4">
        <v>3349704</v>
      </c>
      <c r="H114" s="4" t="s">
        <v>137</v>
      </c>
      <c r="I114" s="4">
        <v>3359908</v>
      </c>
      <c r="J114" s="4"/>
    </row>
    <row r="115" spans="2:10" x14ac:dyDescent="0.3">
      <c r="B115" s="44">
        <v>46039</v>
      </c>
      <c r="C115" s="3" t="s">
        <v>416</v>
      </c>
      <c r="D115" s="3" t="s">
        <v>490</v>
      </c>
      <c r="E115" s="96"/>
      <c r="F115" s="3" t="s">
        <v>142</v>
      </c>
      <c r="G115" s="4">
        <v>3350501</v>
      </c>
      <c r="H115" s="4" t="s">
        <v>168</v>
      </c>
      <c r="I115" s="4">
        <v>3356505</v>
      </c>
      <c r="J115" s="4"/>
    </row>
    <row r="116" spans="2:10" x14ac:dyDescent="0.3">
      <c r="B116" s="4"/>
      <c r="E116" s="96"/>
      <c r="G116" s="4"/>
      <c r="H116" s="4"/>
      <c r="I116" s="4"/>
    </row>
    <row r="117" spans="2:10" x14ac:dyDescent="0.3">
      <c r="B117" s="44">
        <v>46046</v>
      </c>
      <c r="C117" s="3" t="s">
        <v>416</v>
      </c>
      <c r="D117" s="3" t="s">
        <v>490</v>
      </c>
      <c r="E117" s="96"/>
      <c r="F117" s="3" t="s">
        <v>137</v>
      </c>
      <c r="G117" s="4">
        <v>3359908</v>
      </c>
      <c r="H117" s="4" t="s">
        <v>138</v>
      </c>
      <c r="I117" s="4">
        <v>3067805</v>
      </c>
      <c r="J117" s="4"/>
    </row>
    <row r="118" spans="2:10" x14ac:dyDescent="0.3">
      <c r="B118" s="44">
        <v>46046</v>
      </c>
      <c r="C118" s="3" t="s">
        <v>416</v>
      </c>
      <c r="D118" s="3" t="s">
        <v>490</v>
      </c>
      <c r="E118" s="96"/>
      <c r="F118" s="3" t="s">
        <v>140</v>
      </c>
      <c r="G118" s="4">
        <v>3357900</v>
      </c>
      <c r="H118" s="4" t="s">
        <v>142</v>
      </c>
      <c r="I118" s="4">
        <v>3350501</v>
      </c>
      <c r="J118" s="4"/>
    </row>
    <row r="119" spans="2:10" x14ac:dyDescent="0.3">
      <c r="B119" s="44">
        <v>46046</v>
      </c>
      <c r="C119" s="3" t="s">
        <v>416</v>
      </c>
      <c r="D119" s="3" t="s">
        <v>490</v>
      </c>
      <c r="E119" s="96"/>
      <c r="F119" s="3" t="s">
        <v>420</v>
      </c>
      <c r="G119" s="4">
        <v>3360101</v>
      </c>
      <c r="H119" s="4" t="s">
        <v>143</v>
      </c>
      <c r="I119" s="4">
        <v>3349704</v>
      </c>
      <c r="J119" s="4"/>
    </row>
    <row r="120" spans="2:10" x14ac:dyDescent="0.3">
      <c r="B120" s="44">
        <v>46046</v>
      </c>
      <c r="C120" s="3" t="s">
        <v>416</v>
      </c>
      <c r="D120" s="3" t="s">
        <v>490</v>
      </c>
      <c r="E120" s="96"/>
      <c r="F120" s="3" t="s">
        <v>425</v>
      </c>
      <c r="G120" s="4">
        <v>3347206</v>
      </c>
      <c r="H120" s="4" t="s">
        <v>166</v>
      </c>
      <c r="I120" s="4">
        <v>3361006</v>
      </c>
      <c r="J120" s="4"/>
    </row>
    <row r="121" spans="2:10" x14ac:dyDescent="0.3">
      <c r="B121" s="44">
        <v>46046</v>
      </c>
      <c r="C121" s="3" t="s">
        <v>416</v>
      </c>
      <c r="D121" s="3" t="s">
        <v>490</v>
      </c>
      <c r="E121" s="96"/>
      <c r="F121" s="3" t="s">
        <v>168</v>
      </c>
      <c r="G121" s="4">
        <v>3356505</v>
      </c>
      <c r="H121" s="4" t="s">
        <v>136</v>
      </c>
      <c r="I121" s="4">
        <v>3360903</v>
      </c>
      <c r="J121" s="4"/>
    </row>
    <row r="122" spans="2:10" x14ac:dyDescent="0.3">
      <c r="B122" s="44">
        <v>46046</v>
      </c>
      <c r="C122" s="3" t="s">
        <v>416</v>
      </c>
      <c r="D122" s="3" t="s">
        <v>490</v>
      </c>
      <c r="E122" s="96"/>
      <c r="F122" s="3" t="s">
        <v>126</v>
      </c>
      <c r="G122" s="4">
        <v>3361402</v>
      </c>
      <c r="H122" s="4" t="s">
        <v>125</v>
      </c>
      <c r="I122" s="4">
        <v>3362807</v>
      </c>
      <c r="J122" s="4"/>
    </row>
    <row r="123" spans="2:10" x14ac:dyDescent="0.3">
      <c r="B123" s="4"/>
      <c r="E123" s="96"/>
      <c r="G123" s="4"/>
      <c r="H123" s="4"/>
      <c r="I123" s="4"/>
    </row>
    <row r="124" spans="2:10" x14ac:dyDescent="0.3">
      <c r="B124" s="44">
        <v>46053</v>
      </c>
      <c r="C124" s="3" t="s">
        <v>416</v>
      </c>
      <c r="D124" s="3" t="s">
        <v>490</v>
      </c>
      <c r="E124" s="96"/>
      <c r="F124" s="3" t="s">
        <v>125</v>
      </c>
      <c r="G124" s="4">
        <v>3362807</v>
      </c>
      <c r="H124" s="4" t="s">
        <v>137</v>
      </c>
      <c r="I124" s="4">
        <v>3359908</v>
      </c>
      <c r="J124" s="4"/>
    </row>
    <row r="125" spans="2:10" x14ac:dyDescent="0.3">
      <c r="B125" s="44">
        <v>46053</v>
      </c>
      <c r="C125" s="3" t="s">
        <v>416</v>
      </c>
      <c r="D125" s="3" t="s">
        <v>490</v>
      </c>
      <c r="E125" s="96"/>
      <c r="F125" s="3" t="s">
        <v>166</v>
      </c>
      <c r="G125" s="4">
        <v>3361006</v>
      </c>
      <c r="H125" s="4" t="s">
        <v>143</v>
      </c>
      <c r="I125" s="4">
        <v>3349704</v>
      </c>
      <c r="J125" s="4"/>
    </row>
    <row r="126" spans="2:10" x14ac:dyDescent="0.3">
      <c r="B126" s="44">
        <v>46053</v>
      </c>
      <c r="C126" s="3" t="s">
        <v>416</v>
      </c>
      <c r="D126" s="3" t="s">
        <v>490</v>
      </c>
      <c r="E126" s="96"/>
      <c r="F126" s="3" t="s">
        <v>425</v>
      </c>
      <c r="G126" s="4">
        <v>3347206</v>
      </c>
      <c r="H126" s="4" t="s">
        <v>168</v>
      </c>
      <c r="I126" s="4">
        <v>3356505</v>
      </c>
      <c r="J126" s="4"/>
    </row>
    <row r="127" spans="2:10" x14ac:dyDescent="0.3">
      <c r="B127" s="44">
        <v>46053</v>
      </c>
      <c r="C127" s="3" t="s">
        <v>416</v>
      </c>
      <c r="D127" s="3" t="s">
        <v>490</v>
      </c>
      <c r="E127" s="96"/>
      <c r="F127" s="3" t="s">
        <v>136</v>
      </c>
      <c r="G127" s="4">
        <v>3360903</v>
      </c>
      <c r="H127" s="4" t="s">
        <v>140</v>
      </c>
      <c r="I127" s="4">
        <v>3357900</v>
      </c>
      <c r="J127" s="4"/>
    </row>
    <row r="128" spans="2:10" x14ac:dyDescent="0.3">
      <c r="B128" s="44">
        <v>46053</v>
      </c>
      <c r="C128" s="3" t="s">
        <v>416</v>
      </c>
      <c r="D128" s="3" t="s">
        <v>490</v>
      </c>
      <c r="E128" s="96"/>
      <c r="F128" s="3" t="s">
        <v>138</v>
      </c>
      <c r="G128" s="4">
        <v>3067805</v>
      </c>
      <c r="H128" s="4" t="s">
        <v>420</v>
      </c>
      <c r="I128" s="4">
        <v>3360101</v>
      </c>
      <c r="J128" s="4"/>
    </row>
    <row r="129" spans="2:10" x14ac:dyDescent="0.3">
      <c r="B129" s="44">
        <v>46053</v>
      </c>
      <c r="C129" s="3" t="s">
        <v>416</v>
      </c>
      <c r="D129" s="3" t="s">
        <v>490</v>
      </c>
      <c r="E129" s="96"/>
      <c r="F129" s="3" t="s">
        <v>142</v>
      </c>
      <c r="G129" s="4">
        <v>3350501</v>
      </c>
      <c r="H129" s="4" t="s">
        <v>126</v>
      </c>
      <c r="I129" s="4">
        <v>3361402</v>
      </c>
      <c r="J129" s="4"/>
    </row>
    <row r="130" spans="2:10" x14ac:dyDescent="0.3">
      <c r="B130" s="4"/>
      <c r="E130" s="96"/>
      <c r="G130" s="4"/>
      <c r="H130" s="4"/>
      <c r="I130" s="4"/>
    </row>
    <row r="131" spans="2:10" x14ac:dyDescent="0.3">
      <c r="B131" s="44">
        <v>46060</v>
      </c>
      <c r="C131" s="3" t="s">
        <v>416</v>
      </c>
      <c r="D131" s="3" t="s">
        <v>490</v>
      </c>
      <c r="E131" s="96"/>
      <c r="F131" s="3" t="s">
        <v>137</v>
      </c>
      <c r="G131" s="4">
        <v>3359908</v>
      </c>
      <c r="H131" s="4" t="s">
        <v>142</v>
      </c>
      <c r="I131" s="4">
        <v>3350501</v>
      </c>
      <c r="J131" s="4"/>
    </row>
    <row r="132" spans="2:10" x14ac:dyDescent="0.3">
      <c r="B132" s="44">
        <v>46060</v>
      </c>
      <c r="C132" s="3" t="s">
        <v>416</v>
      </c>
      <c r="D132" s="3" t="s">
        <v>490</v>
      </c>
      <c r="E132" s="96"/>
      <c r="F132" s="3" t="s">
        <v>140</v>
      </c>
      <c r="G132" s="4">
        <v>3357900</v>
      </c>
      <c r="H132" s="4" t="s">
        <v>425</v>
      </c>
      <c r="I132" s="4">
        <v>3347206</v>
      </c>
      <c r="J132" s="4"/>
    </row>
    <row r="133" spans="2:10" x14ac:dyDescent="0.3">
      <c r="B133" s="44">
        <v>46060</v>
      </c>
      <c r="C133" s="3" t="s">
        <v>416</v>
      </c>
      <c r="D133" s="3" t="s">
        <v>490</v>
      </c>
      <c r="E133" s="96"/>
      <c r="F133" s="3" t="s">
        <v>420</v>
      </c>
      <c r="G133" s="4">
        <v>3360101</v>
      </c>
      <c r="H133" s="4" t="s">
        <v>125</v>
      </c>
      <c r="I133" s="4">
        <v>3362807</v>
      </c>
      <c r="J133" s="4"/>
    </row>
    <row r="134" spans="2:10" x14ac:dyDescent="0.3">
      <c r="B134" s="44">
        <v>46060</v>
      </c>
      <c r="C134" s="3" t="s">
        <v>416</v>
      </c>
      <c r="D134" s="3" t="s">
        <v>490</v>
      </c>
      <c r="E134" s="96"/>
      <c r="F134" s="3" t="s">
        <v>168</v>
      </c>
      <c r="G134" s="4">
        <v>3356505</v>
      </c>
      <c r="H134" s="4" t="s">
        <v>166</v>
      </c>
      <c r="I134" s="4">
        <v>3361006</v>
      </c>
      <c r="J134" s="4"/>
    </row>
    <row r="135" spans="2:10" x14ac:dyDescent="0.3">
      <c r="B135" s="44">
        <v>46060</v>
      </c>
      <c r="C135" s="3" t="s">
        <v>416</v>
      </c>
      <c r="D135" s="3" t="s">
        <v>490</v>
      </c>
      <c r="E135" s="96"/>
      <c r="F135" s="3" t="s">
        <v>126</v>
      </c>
      <c r="G135" s="4">
        <v>3361402</v>
      </c>
      <c r="H135" s="4" t="s">
        <v>136</v>
      </c>
      <c r="I135" s="4">
        <v>3360903</v>
      </c>
      <c r="J135" s="4"/>
    </row>
    <row r="136" spans="2:10" x14ac:dyDescent="0.3">
      <c r="B136" s="44">
        <v>46060</v>
      </c>
      <c r="C136" s="3" t="s">
        <v>416</v>
      </c>
      <c r="D136" s="3" t="s">
        <v>490</v>
      </c>
      <c r="E136" s="96"/>
      <c r="F136" s="3" t="s">
        <v>143</v>
      </c>
      <c r="G136" s="4">
        <v>3349704</v>
      </c>
      <c r="H136" s="4" t="s">
        <v>138</v>
      </c>
      <c r="I136" s="4">
        <v>3067805</v>
      </c>
      <c r="J136" s="4"/>
    </row>
    <row r="137" spans="2:10" x14ac:dyDescent="0.3">
      <c r="B137" s="4"/>
      <c r="E137" s="96"/>
      <c r="G137" s="4"/>
      <c r="H137" s="4"/>
      <c r="I137" s="4"/>
    </row>
    <row r="138" spans="2:10" x14ac:dyDescent="0.3">
      <c r="B138" s="44">
        <v>46074</v>
      </c>
      <c r="C138" s="3" t="s">
        <v>416</v>
      </c>
      <c r="D138" s="3" t="s">
        <v>490</v>
      </c>
      <c r="E138" s="96"/>
      <c r="F138" s="3" t="s">
        <v>125</v>
      </c>
      <c r="G138" s="4">
        <v>3362807</v>
      </c>
      <c r="H138" s="4" t="s">
        <v>143</v>
      </c>
      <c r="I138" s="4">
        <v>3349704</v>
      </c>
      <c r="J138" s="4"/>
    </row>
    <row r="139" spans="2:10" x14ac:dyDescent="0.3">
      <c r="B139" s="44">
        <v>46074</v>
      </c>
      <c r="C139" s="3" t="s">
        <v>416</v>
      </c>
      <c r="D139" s="3" t="s">
        <v>490</v>
      </c>
      <c r="E139" s="96"/>
      <c r="F139" s="3" t="s">
        <v>166</v>
      </c>
      <c r="G139" s="4">
        <v>3361006</v>
      </c>
      <c r="H139" s="4" t="s">
        <v>138</v>
      </c>
      <c r="I139" s="4">
        <v>3067805</v>
      </c>
      <c r="J139" s="4"/>
    </row>
    <row r="140" spans="2:10" x14ac:dyDescent="0.3">
      <c r="B140" s="44">
        <v>46074</v>
      </c>
      <c r="C140" s="3" t="s">
        <v>416</v>
      </c>
      <c r="D140" s="3" t="s">
        <v>490</v>
      </c>
      <c r="E140" s="96"/>
      <c r="F140" s="3" t="s">
        <v>425</v>
      </c>
      <c r="G140" s="4">
        <v>3347206</v>
      </c>
      <c r="H140" s="4" t="s">
        <v>126</v>
      </c>
      <c r="I140" s="4">
        <v>3361402</v>
      </c>
      <c r="J140" s="4"/>
    </row>
    <row r="141" spans="2:10" x14ac:dyDescent="0.3">
      <c r="B141" s="44">
        <v>46074</v>
      </c>
      <c r="C141" s="3" t="s">
        <v>416</v>
      </c>
      <c r="D141" s="3" t="s">
        <v>490</v>
      </c>
      <c r="E141" s="96"/>
      <c r="F141" s="3" t="s">
        <v>168</v>
      </c>
      <c r="G141" s="4">
        <v>3356505</v>
      </c>
      <c r="H141" s="4" t="s">
        <v>140</v>
      </c>
      <c r="I141" s="4">
        <v>3357900</v>
      </c>
      <c r="J141" s="4"/>
    </row>
    <row r="142" spans="2:10" x14ac:dyDescent="0.3">
      <c r="B142" s="44">
        <v>46074</v>
      </c>
      <c r="C142" s="3" t="s">
        <v>416</v>
      </c>
      <c r="D142" s="3" t="s">
        <v>490</v>
      </c>
      <c r="E142" s="96"/>
      <c r="F142" s="3" t="s">
        <v>136</v>
      </c>
      <c r="G142" s="4">
        <v>3360903</v>
      </c>
      <c r="H142" s="4" t="s">
        <v>137</v>
      </c>
      <c r="I142" s="4">
        <v>3359908</v>
      </c>
      <c r="J142" s="4"/>
    </row>
    <row r="143" spans="2:10" x14ac:dyDescent="0.3">
      <c r="B143" s="44">
        <v>46074</v>
      </c>
      <c r="C143" s="3" t="s">
        <v>416</v>
      </c>
      <c r="D143" s="3" t="s">
        <v>490</v>
      </c>
      <c r="E143" s="96"/>
      <c r="F143" s="3" t="s">
        <v>142</v>
      </c>
      <c r="G143" s="4">
        <v>3350501</v>
      </c>
      <c r="H143" s="4" t="s">
        <v>420</v>
      </c>
      <c r="I143" s="4">
        <v>3360101</v>
      </c>
      <c r="J143" s="4"/>
    </row>
    <row r="144" spans="2:10" x14ac:dyDescent="0.3">
      <c r="B144" s="4"/>
      <c r="E144" s="96"/>
      <c r="G144" s="4"/>
      <c r="H144" s="4"/>
      <c r="I144" s="4"/>
    </row>
    <row r="145" spans="2:10" x14ac:dyDescent="0.3">
      <c r="B145" s="44">
        <v>46081</v>
      </c>
      <c r="C145" s="3" t="s">
        <v>416</v>
      </c>
      <c r="D145" s="3" t="s">
        <v>490</v>
      </c>
      <c r="E145" s="96"/>
      <c r="F145" s="3" t="s">
        <v>137</v>
      </c>
      <c r="G145" s="4">
        <v>3359908</v>
      </c>
      <c r="H145" s="4" t="s">
        <v>425</v>
      </c>
      <c r="I145" s="4">
        <v>3347206</v>
      </c>
      <c r="J145" s="4"/>
    </row>
    <row r="146" spans="2:10" x14ac:dyDescent="0.3">
      <c r="B146" s="44">
        <v>46081</v>
      </c>
      <c r="C146" s="3" t="s">
        <v>416</v>
      </c>
      <c r="D146" s="3" t="s">
        <v>490</v>
      </c>
      <c r="E146" s="96"/>
      <c r="F146" s="3" t="s">
        <v>140</v>
      </c>
      <c r="G146" s="4">
        <v>3357900</v>
      </c>
      <c r="H146" s="4" t="s">
        <v>166</v>
      </c>
      <c r="I146" s="4">
        <v>3361006</v>
      </c>
      <c r="J146" s="4"/>
    </row>
    <row r="147" spans="2:10" x14ac:dyDescent="0.3">
      <c r="B147" s="44">
        <v>46081</v>
      </c>
      <c r="C147" s="3" t="s">
        <v>416</v>
      </c>
      <c r="D147" s="3" t="s">
        <v>490</v>
      </c>
      <c r="E147" s="96"/>
      <c r="F147" s="3" t="s">
        <v>420</v>
      </c>
      <c r="G147" s="4">
        <v>3360101</v>
      </c>
      <c r="H147" s="4" t="s">
        <v>136</v>
      </c>
      <c r="I147" s="4">
        <v>3360903</v>
      </c>
      <c r="J147" s="4"/>
    </row>
    <row r="148" spans="2:10" x14ac:dyDescent="0.3">
      <c r="B148" s="44">
        <v>46081</v>
      </c>
      <c r="C148" s="3" t="s">
        <v>416</v>
      </c>
      <c r="D148" s="3" t="s">
        <v>490</v>
      </c>
      <c r="E148" s="96"/>
      <c r="F148" s="3" t="s">
        <v>138</v>
      </c>
      <c r="G148" s="4">
        <v>3067805</v>
      </c>
      <c r="H148" s="4" t="s">
        <v>125</v>
      </c>
      <c r="I148" s="4">
        <v>3362807</v>
      </c>
      <c r="J148" s="4"/>
    </row>
    <row r="149" spans="2:10" x14ac:dyDescent="0.3">
      <c r="B149" s="44">
        <v>46081</v>
      </c>
      <c r="C149" s="3" t="s">
        <v>416</v>
      </c>
      <c r="D149" s="3" t="s">
        <v>490</v>
      </c>
      <c r="E149" s="96"/>
      <c r="F149" s="3" t="s">
        <v>126</v>
      </c>
      <c r="G149" s="4">
        <v>3361402</v>
      </c>
      <c r="H149" s="4" t="s">
        <v>168</v>
      </c>
      <c r="I149" s="4">
        <v>3356505</v>
      </c>
      <c r="J149" s="4"/>
    </row>
    <row r="150" spans="2:10" x14ac:dyDescent="0.3">
      <c r="B150" s="44">
        <v>46081</v>
      </c>
      <c r="C150" s="3" t="s">
        <v>416</v>
      </c>
      <c r="D150" s="3" t="s">
        <v>490</v>
      </c>
      <c r="E150" s="96"/>
      <c r="F150" s="3" t="s">
        <v>143</v>
      </c>
      <c r="G150" s="4">
        <v>3349704</v>
      </c>
      <c r="H150" s="4" t="s">
        <v>142</v>
      </c>
      <c r="I150" s="4">
        <v>3350501</v>
      </c>
      <c r="J150" s="4"/>
    </row>
    <row r="151" spans="2:10" x14ac:dyDescent="0.3">
      <c r="B151" s="4"/>
      <c r="E151" s="96"/>
      <c r="G151" s="4"/>
      <c r="H151" s="4"/>
      <c r="I151" s="4"/>
    </row>
    <row r="152" spans="2:10" x14ac:dyDescent="0.3">
      <c r="B152" s="44">
        <v>46088</v>
      </c>
      <c r="C152" s="3" t="s">
        <v>416</v>
      </c>
      <c r="D152" s="3" t="s">
        <v>490</v>
      </c>
      <c r="E152" s="96"/>
      <c r="F152" s="3" t="s">
        <v>166</v>
      </c>
      <c r="G152" s="4">
        <v>3361006</v>
      </c>
      <c r="H152" s="4" t="s">
        <v>125</v>
      </c>
      <c r="I152" s="4">
        <v>3362807</v>
      </c>
      <c r="J152" s="4"/>
    </row>
    <row r="153" spans="2:10" x14ac:dyDescent="0.3">
      <c r="B153" s="44">
        <v>46088</v>
      </c>
      <c r="C153" s="3" t="s">
        <v>416</v>
      </c>
      <c r="D153" s="3" t="s">
        <v>490</v>
      </c>
      <c r="E153" s="96"/>
      <c r="F153" s="3" t="s">
        <v>140</v>
      </c>
      <c r="G153" s="4">
        <v>3357900</v>
      </c>
      <c r="H153" s="4" t="s">
        <v>126</v>
      </c>
      <c r="I153" s="4">
        <v>3361402</v>
      </c>
      <c r="J153" s="4"/>
    </row>
    <row r="154" spans="2:10" x14ac:dyDescent="0.3">
      <c r="B154" s="44">
        <v>46088</v>
      </c>
      <c r="C154" s="3" t="s">
        <v>416</v>
      </c>
      <c r="D154" s="3" t="s">
        <v>490</v>
      </c>
      <c r="E154" s="96"/>
      <c r="F154" s="3" t="s">
        <v>425</v>
      </c>
      <c r="G154" s="4">
        <v>3347206</v>
      </c>
      <c r="H154" s="4" t="s">
        <v>420</v>
      </c>
      <c r="I154" s="4">
        <v>3360101</v>
      </c>
      <c r="J154" s="4"/>
    </row>
    <row r="155" spans="2:10" x14ac:dyDescent="0.3">
      <c r="B155" s="44">
        <v>46088</v>
      </c>
      <c r="C155" s="3" t="s">
        <v>416</v>
      </c>
      <c r="D155" s="3" t="s">
        <v>490</v>
      </c>
      <c r="E155" s="96"/>
      <c r="F155" s="3" t="s">
        <v>168</v>
      </c>
      <c r="G155" s="4">
        <v>3356505</v>
      </c>
      <c r="H155" s="4" t="s">
        <v>137</v>
      </c>
      <c r="I155" s="4">
        <v>3359908</v>
      </c>
      <c r="J155" s="4"/>
    </row>
    <row r="156" spans="2:10" x14ac:dyDescent="0.3">
      <c r="B156" s="44">
        <v>46088</v>
      </c>
      <c r="C156" s="3" t="s">
        <v>416</v>
      </c>
      <c r="D156" s="3" t="s">
        <v>490</v>
      </c>
      <c r="E156" s="96"/>
      <c r="F156" s="3" t="s">
        <v>136</v>
      </c>
      <c r="G156" s="4">
        <v>3360903</v>
      </c>
      <c r="H156" s="4" t="s">
        <v>143</v>
      </c>
      <c r="I156" s="4">
        <v>3349704</v>
      </c>
      <c r="J156" s="4"/>
    </row>
    <row r="157" spans="2:10" x14ac:dyDescent="0.3">
      <c r="B157" s="44">
        <v>46088</v>
      </c>
      <c r="C157" s="3" t="s">
        <v>416</v>
      </c>
      <c r="D157" s="3" t="s">
        <v>490</v>
      </c>
      <c r="E157" s="96"/>
      <c r="F157" s="3" t="s">
        <v>142</v>
      </c>
      <c r="G157" s="4">
        <v>3350501</v>
      </c>
      <c r="H157" s="4" t="s">
        <v>138</v>
      </c>
      <c r="I157" s="4">
        <v>3067805</v>
      </c>
      <c r="J157" s="4"/>
    </row>
    <row r="158" spans="2:10" x14ac:dyDescent="0.3">
      <c r="B158" s="4"/>
      <c r="E158" s="96"/>
      <c r="G158" s="4"/>
      <c r="H158" s="4"/>
      <c r="I158" s="4"/>
    </row>
    <row r="159" spans="2:10" x14ac:dyDescent="0.3">
      <c r="B159" s="44">
        <v>46095</v>
      </c>
      <c r="C159" s="3" t="s">
        <v>416</v>
      </c>
      <c r="D159" s="3" t="s">
        <v>490</v>
      </c>
      <c r="E159" s="96"/>
      <c r="F159" s="3" t="s">
        <v>137</v>
      </c>
      <c r="G159" s="4">
        <v>3359908</v>
      </c>
      <c r="H159" s="4" t="s">
        <v>140</v>
      </c>
      <c r="I159" s="4">
        <v>3357900</v>
      </c>
      <c r="J159" s="4"/>
    </row>
    <row r="160" spans="2:10" x14ac:dyDescent="0.3">
      <c r="B160" s="44">
        <v>46095</v>
      </c>
      <c r="C160" s="3" t="s">
        <v>416</v>
      </c>
      <c r="D160" s="3" t="s">
        <v>490</v>
      </c>
      <c r="E160" s="96"/>
      <c r="F160" s="3" t="s">
        <v>125</v>
      </c>
      <c r="G160" s="4">
        <v>3362807</v>
      </c>
      <c r="H160" s="4" t="s">
        <v>142</v>
      </c>
      <c r="I160" s="4">
        <v>3350501</v>
      </c>
      <c r="J160" s="4"/>
    </row>
    <row r="161" spans="2:10" x14ac:dyDescent="0.3">
      <c r="B161" s="44">
        <v>46095</v>
      </c>
      <c r="C161" s="3" t="s">
        <v>416</v>
      </c>
      <c r="D161" s="3" t="s">
        <v>490</v>
      </c>
      <c r="E161" s="96"/>
      <c r="F161" s="3" t="s">
        <v>420</v>
      </c>
      <c r="G161" s="4">
        <v>3360101</v>
      </c>
      <c r="H161" s="4" t="s">
        <v>168</v>
      </c>
      <c r="I161" s="4">
        <v>3356505</v>
      </c>
      <c r="J161" s="4"/>
    </row>
    <row r="162" spans="2:10" x14ac:dyDescent="0.3">
      <c r="B162" s="44">
        <v>46095</v>
      </c>
      <c r="C162" s="3" t="s">
        <v>416</v>
      </c>
      <c r="D162" s="3" t="s">
        <v>490</v>
      </c>
      <c r="E162" s="96"/>
      <c r="F162" s="3" t="s">
        <v>138</v>
      </c>
      <c r="G162" s="4">
        <v>3067805</v>
      </c>
      <c r="H162" s="4" t="s">
        <v>136</v>
      </c>
      <c r="I162" s="4">
        <v>3360903</v>
      </c>
      <c r="J162" s="4"/>
    </row>
    <row r="163" spans="2:10" x14ac:dyDescent="0.3">
      <c r="B163" s="44">
        <v>46095</v>
      </c>
      <c r="C163" s="3" t="s">
        <v>416</v>
      </c>
      <c r="D163" s="3" t="s">
        <v>490</v>
      </c>
      <c r="E163" s="96"/>
      <c r="F163" s="3" t="s">
        <v>126</v>
      </c>
      <c r="G163" s="4">
        <v>3361402</v>
      </c>
      <c r="H163" s="4" t="s">
        <v>166</v>
      </c>
      <c r="I163" s="4">
        <v>3361006</v>
      </c>
      <c r="J163" s="4"/>
    </row>
    <row r="164" spans="2:10" x14ac:dyDescent="0.3">
      <c r="B164" s="44">
        <v>46095</v>
      </c>
      <c r="C164" s="3" t="s">
        <v>416</v>
      </c>
      <c r="D164" s="3" t="s">
        <v>490</v>
      </c>
      <c r="E164" s="96"/>
      <c r="F164" s="3" t="s">
        <v>143</v>
      </c>
      <c r="G164" s="4">
        <v>3349704</v>
      </c>
      <c r="H164" s="4" t="s">
        <v>425</v>
      </c>
      <c r="I164" s="4">
        <v>3347206</v>
      </c>
      <c r="J164" s="4"/>
    </row>
    <row r="165" spans="2:10" x14ac:dyDescent="0.3">
      <c r="B165" s="4"/>
      <c r="E165" s="96"/>
      <c r="G165" s="4"/>
      <c r="H165" s="4"/>
      <c r="I165" s="4"/>
    </row>
    <row r="166" spans="2:10" x14ac:dyDescent="0.3">
      <c r="B166" s="44">
        <v>46102</v>
      </c>
      <c r="C166" s="3" t="s">
        <v>416</v>
      </c>
      <c r="D166" s="3" t="s">
        <v>490</v>
      </c>
      <c r="E166" s="96"/>
      <c r="F166" s="3" t="s">
        <v>136</v>
      </c>
      <c r="G166" s="4">
        <v>3360903</v>
      </c>
      <c r="H166" s="4" t="s">
        <v>125</v>
      </c>
      <c r="I166" s="4">
        <v>3362807</v>
      </c>
      <c r="J166" s="4"/>
    </row>
    <row r="167" spans="2:10" x14ac:dyDescent="0.3">
      <c r="B167" s="44">
        <v>46102</v>
      </c>
      <c r="C167" s="3" t="s">
        <v>416</v>
      </c>
      <c r="D167" s="3" t="s">
        <v>490</v>
      </c>
      <c r="E167" s="96"/>
      <c r="F167" s="3" t="s">
        <v>126</v>
      </c>
      <c r="G167" s="4">
        <v>3361402</v>
      </c>
      <c r="H167" s="4" t="s">
        <v>137</v>
      </c>
      <c r="I167" s="4">
        <v>3359908</v>
      </c>
      <c r="J167" s="4"/>
    </row>
    <row r="168" spans="2:10" x14ac:dyDescent="0.3">
      <c r="B168" s="44">
        <v>46102</v>
      </c>
      <c r="C168" s="3" t="s">
        <v>416</v>
      </c>
      <c r="D168" s="3" t="s">
        <v>490</v>
      </c>
      <c r="E168" s="96"/>
      <c r="F168" s="3" t="s">
        <v>140</v>
      </c>
      <c r="G168" s="4">
        <v>3357900</v>
      </c>
      <c r="H168" s="4" t="s">
        <v>420</v>
      </c>
      <c r="I168" s="4">
        <v>3360101</v>
      </c>
      <c r="J168" s="4"/>
    </row>
    <row r="169" spans="2:10" x14ac:dyDescent="0.3">
      <c r="B169" s="44">
        <v>46102</v>
      </c>
      <c r="C169" s="3" t="s">
        <v>416</v>
      </c>
      <c r="D169" s="3" t="s">
        <v>490</v>
      </c>
      <c r="E169" s="96"/>
      <c r="F169" s="3" t="s">
        <v>166</v>
      </c>
      <c r="G169" s="4">
        <v>3361006</v>
      </c>
      <c r="H169" s="4" t="s">
        <v>142</v>
      </c>
      <c r="I169" s="4">
        <v>3350501</v>
      </c>
      <c r="J169" s="4"/>
    </row>
    <row r="170" spans="2:10" x14ac:dyDescent="0.3">
      <c r="B170" s="44">
        <v>46102</v>
      </c>
      <c r="C170" s="3" t="s">
        <v>416</v>
      </c>
      <c r="D170" s="3" t="s">
        <v>490</v>
      </c>
      <c r="E170" s="96"/>
      <c r="F170" s="3" t="s">
        <v>425</v>
      </c>
      <c r="G170" s="4">
        <v>3347206</v>
      </c>
      <c r="H170" s="4" t="s">
        <v>138</v>
      </c>
      <c r="I170" s="4">
        <v>3067805</v>
      </c>
      <c r="J170" s="4"/>
    </row>
    <row r="171" spans="2:10" x14ac:dyDescent="0.3">
      <c r="B171" s="44">
        <v>46102</v>
      </c>
      <c r="C171" s="3" t="s">
        <v>416</v>
      </c>
      <c r="D171" s="3" t="s">
        <v>490</v>
      </c>
      <c r="E171" s="96"/>
      <c r="F171" s="3" t="s">
        <v>168</v>
      </c>
      <c r="G171" s="4">
        <v>3356505</v>
      </c>
      <c r="H171" s="4" t="s">
        <v>143</v>
      </c>
      <c r="I171" s="4">
        <v>3349704</v>
      </c>
      <c r="J171" s="4"/>
    </row>
    <row r="172" spans="2:10" x14ac:dyDescent="0.3">
      <c r="B172" s="4"/>
      <c r="E172" s="96"/>
      <c r="G172" s="4"/>
      <c r="H172" s="4"/>
      <c r="I172" s="4"/>
    </row>
    <row r="173" spans="2:10" x14ac:dyDescent="0.3">
      <c r="B173" s="44">
        <v>46109</v>
      </c>
      <c r="C173" s="3" t="s">
        <v>416</v>
      </c>
      <c r="D173" s="3" t="s">
        <v>490</v>
      </c>
      <c r="E173" s="96"/>
      <c r="F173" s="3" t="s">
        <v>142</v>
      </c>
      <c r="G173" s="4">
        <v>3350501</v>
      </c>
      <c r="H173" s="4" t="s">
        <v>136</v>
      </c>
      <c r="I173" s="4">
        <v>3360903</v>
      </c>
      <c r="J173" s="4"/>
    </row>
    <row r="174" spans="2:10" x14ac:dyDescent="0.3">
      <c r="B174" s="44">
        <v>46109</v>
      </c>
      <c r="C174" s="3" t="s">
        <v>416</v>
      </c>
      <c r="D174" s="3" t="s">
        <v>490</v>
      </c>
      <c r="E174" s="96"/>
      <c r="F174" s="3" t="s">
        <v>125</v>
      </c>
      <c r="G174" s="4">
        <v>3362807</v>
      </c>
      <c r="H174" s="4" t="s">
        <v>425</v>
      </c>
      <c r="I174" s="4">
        <v>3347206</v>
      </c>
      <c r="J174" s="4"/>
    </row>
    <row r="175" spans="2:10" x14ac:dyDescent="0.3">
      <c r="B175" s="44">
        <v>46109</v>
      </c>
      <c r="C175" s="3" t="s">
        <v>416</v>
      </c>
      <c r="D175" s="3" t="s">
        <v>490</v>
      </c>
      <c r="E175" s="96"/>
      <c r="F175" s="3" t="s">
        <v>420</v>
      </c>
      <c r="G175" s="4">
        <v>3360101</v>
      </c>
      <c r="H175" s="4" t="s">
        <v>126</v>
      </c>
      <c r="I175" s="4">
        <v>3361402</v>
      </c>
      <c r="J175" s="4"/>
    </row>
    <row r="176" spans="2:10" x14ac:dyDescent="0.3">
      <c r="B176" s="44">
        <v>46109</v>
      </c>
      <c r="C176" s="3" t="s">
        <v>416</v>
      </c>
      <c r="D176" s="3" t="s">
        <v>490</v>
      </c>
      <c r="E176" s="96"/>
      <c r="F176" s="3" t="s">
        <v>138</v>
      </c>
      <c r="G176" s="4">
        <v>3067805</v>
      </c>
      <c r="H176" s="4" t="s">
        <v>168</v>
      </c>
      <c r="I176" s="4">
        <v>3356505</v>
      </c>
      <c r="J176" s="4"/>
    </row>
    <row r="177" spans="2:10" x14ac:dyDescent="0.3">
      <c r="B177" s="44">
        <v>46109</v>
      </c>
      <c r="C177" s="3" t="s">
        <v>416</v>
      </c>
      <c r="D177" s="3" t="s">
        <v>490</v>
      </c>
      <c r="E177" s="96"/>
      <c r="F177" s="3" t="s">
        <v>143</v>
      </c>
      <c r="G177" s="4">
        <v>3349704</v>
      </c>
      <c r="H177" s="4" t="s">
        <v>140</v>
      </c>
      <c r="I177" s="4">
        <v>3357900</v>
      </c>
      <c r="J177" s="4"/>
    </row>
    <row r="178" spans="2:10" x14ac:dyDescent="0.3">
      <c r="B178" s="44">
        <v>46109</v>
      </c>
      <c r="C178" s="3" t="s">
        <v>416</v>
      </c>
      <c r="D178" s="3" t="s">
        <v>490</v>
      </c>
      <c r="E178" s="96"/>
      <c r="F178" s="3" t="s">
        <v>137</v>
      </c>
      <c r="G178" s="4">
        <v>3359908</v>
      </c>
      <c r="H178" s="4" t="s">
        <v>166</v>
      </c>
      <c r="I178" s="4">
        <v>3361006</v>
      </c>
      <c r="J178" s="4"/>
    </row>
    <row r="179" spans="2:10" x14ac:dyDescent="0.3">
      <c r="G179" s="4"/>
      <c r="H179" s="4"/>
      <c r="I179" s="4"/>
    </row>
    <row r="180" spans="2:10" x14ac:dyDescent="0.3">
      <c r="G180" s="4"/>
      <c r="H180" s="4"/>
      <c r="I180" s="4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868" priority="326"/>
  </conditionalFormatting>
  <conditionalFormatting sqref="B10:B14 B17:B18 B20:B21">
    <cfRule type="duplicateValues" dxfId="5867" priority="2857"/>
  </conditionalFormatting>
  <conditionalFormatting sqref="F26:F31">
    <cfRule type="duplicateValues" dxfId="5866" priority="64"/>
  </conditionalFormatting>
  <conditionalFormatting sqref="F33:G33">
    <cfRule type="duplicateValues" dxfId="5865" priority="295"/>
  </conditionalFormatting>
  <conditionalFormatting sqref="F34:G34">
    <cfRule type="duplicateValues" dxfId="5864" priority="173"/>
  </conditionalFormatting>
  <conditionalFormatting sqref="F35:G35">
    <cfRule type="duplicateValues" dxfId="5863" priority="152"/>
  </conditionalFormatting>
  <conditionalFormatting sqref="F36:G36">
    <cfRule type="duplicateValues" dxfId="5862" priority="131"/>
  </conditionalFormatting>
  <conditionalFormatting sqref="F37:G37">
    <cfRule type="duplicateValues" dxfId="5861" priority="89"/>
  </conditionalFormatting>
  <conditionalFormatting sqref="F38:G38">
    <cfRule type="duplicateValues" dxfId="5860" priority="110"/>
  </conditionalFormatting>
  <conditionalFormatting sqref="F40:G40">
    <cfRule type="duplicateValues" dxfId="5859" priority="294"/>
  </conditionalFormatting>
  <conditionalFormatting sqref="F41:G41">
    <cfRule type="duplicateValues" dxfId="5858" priority="276"/>
  </conditionalFormatting>
  <conditionalFormatting sqref="F42:G42">
    <cfRule type="duplicateValues" dxfId="5857" priority="255"/>
  </conditionalFormatting>
  <conditionalFormatting sqref="F43:G43">
    <cfRule type="duplicateValues" dxfId="5856" priority="235"/>
  </conditionalFormatting>
  <conditionalFormatting sqref="F44:G44">
    <cfRule type="duplicateValues" dxfId="5855" priority="214"/>
  </conditionalFormatting>
  <conditionalFormatting sqref="F45:G45">
    <cfRule type="duplicateValues" dxfId="5854" priority="193"/>
  </conditionalFormatting>
  <conditionalFormatting sqref="F47:G47">
    <cfRule type="duplicateValues" dxfId="5853" priority="312"/>
  </conditionalFormatting>
  <conditionalFormatting sqref="F48:G48">
    <cfRule type="duplicateValues" dxfId="5852" priority="275"/>
  </conditionalFormatting>
  <conditionalFormatting sqref="F49:G49">
    <cfRule type="duplicateValues" dxfId="5851" priority="150"/>
  </conditionalFormatting>
  <conditionalFormatting sqref="F50:G50">
    <cfRule type="duplicateValues" dxfId="5850" priority="129"/>
  </conditionalFormatting>
  <conditionalFormatting sqref="F51:G51">
    <cfRule type="duplicateValues" dxfId="5849" priority="87"/>
  </conditionalFormatting>
  <conditionalFormatting sqref="F52:G52">
    <cfRule type="duplicateValues" dxfId="5848" priority="108"/>
  </conditionalFormatting>
  <conditionalFormatting sqref="F54:G54">
    <cfRule type="duplicateValues" dxfId="5847" priority="293"/>
  </conditionalFormatting>
  <conditionalFormatting sqref="F55:G55">
    <cfRule type="duplicateValues" dxfId="5846" priority="169"/>
  </conditionalFormatting>
  <conditionalFormatting sqref="F56:G56">
    <cfRule type="duplicateValues" dxfId="5845" priority="253"/>
  </conditionalFormatting>
  <conditionalFormatting sqref="F57:G57">
    <cfRule type="duplicateValues" dxfId="5844" priority="233"/>
  </conditionalFormatting>
  <conditionalFormatting sqref="F58:G58">
    <cfRule type="duplicateValues" dxfId="5843" priority="212"/>
  </conditionalFormatting>
  <conditionalFormatting sqref="F59:G59">
    <cfRule type="duplicateValues" dxfId="5842" priority="191"/>
  </conditionalFormatting>
  <conditionalFormatting sqref="F61:G61">
    <cfRule type="duplicateValues" dxfId="5841" priority="310"/>
  </conditionalFormatting>
  <conditionalFormatting sqref="F62:G62">
    <cfRule type="duplicateValues" dxfId="5840" priority="273"/>
  </conditionalFormatting>
  <conditionalFormatting sqref="F63:G63">
    <cfRule type="duplicateValues" dxfId="5839" priority="252"/>
  </conditionalFormatting>
  <conditionalFormatting sqref="F64:G64">
    <cfRule type="duplicateValues" dxfId="5838" priority="127"/>
  </conditionalFormatting>
  <conditionalFormatting sqref="F65:G65">
    <cfRule type="duplicateValues" dxfId="5837" priority="85"/>
  </conditionalFormatting>
  <conditionalFormatting sqref="F66:G66">
    <cfRule type="duplicateValues" dxfId="5836" priority="106"/>
  </conditionalFormatting>
  <conditionalFormatting sqref="F68:G68">
    <cfRule type="duplicateValues" dxfId="5835" priority="291"/>
  </conditionalFormatting>
  <conditionalFormatting sqref="F69:G69">
    <cfRule type="duplicateValues" dxfId="5834" priority="167"/>
  </conditionalFormatting>
  <conditionalFormatting sqref="F70:G70">
    <cfRule type="duplicateValues" dxfId="5833" priority="147"/>
  </conditionalFormatting>
  <conditionalFormatting sqref="F71:G71">
    <cfRule type="duplicateValues" dxfId="5832" priority="231"/>
  </conditionalFormatting>
  <conditionalFormatting sqref="F72:G72">
    <cfRule type="duplicateValues" dxfId="5831" priority="210"/>
  </conditionalFormatting>
  <conditionalFormatting sqref="F73:G73">
    <cfRule type="duplicateValues" dxfId="5830" priority="189"/>
  </conditionalFormatting>
  <conditionalFormatting sqref="F75:G75">
    <cfRule type="duplicateValues" dxfId="5829" priority="308"/>
  </conditionalFormatting>
  <conditionalFormatting sqref="F76:G76">
    <cfRule type="duplicateValues" dxfId="5828" priority="271"/>
  </conditionalFormatting>
  <conditionalFormatting sqref="F77:G77">
    <cfRule type="duplicateValues" dxfId="5827" priority="250"/>
  </conditionalFormatting>
  <conditionalFormatting sqref="F78:G78">
    <cfRule type="duplicateValues" dxfId="5826" priority="230"/>
  </conditionalFormatting>
  <conditionalFormatting sqref="F79:G79">
    <cfRule type="duplicateValues" dxfId="5825" priority="125"/>
  </conditionalFormatting>
  <conditionalFormatting sqref="F80:G80">
    <cfRule type="duplicateValues" dxfId="5824" priority="58"/>
  </conditionalFormatting>
  <conditionalFormatting sqref="F81:G81">
    <cfRule type="duplicateValues" dxfId="5823" priority="104"/>
  </conditionalFormatting>
  <conditionalFormatting sqref="F82:G82">
    <cfRule type="duplicateValues" dxfId="5822" priority="55"/>
  </conditionalFormatting>
  <conditionalFormatting sqref="F83:G83">
    <cfRule type="duplicateValues" dxfId="5821" priority="49"/>
    <cfRule type="duplicateValues" dxfId="5820" priority="289"/>
  </conditionalFormatting>
  <conditionalFormatting sqref="F84:G84">
    <cfRule type="duplicateValues" dxfId="5819" priority="48"/>
    <cfRule type="duplicateValues" dxfId="5818" priority="165"/>
  </conditionalFormatting>
  <conditionalFormatting sqref="F85:G85">
    <cfRule type="duplicateValues" dxfId="5817" priority="51"/>
    <cfRule type="duplicateValues" dxfId="5816" priority="145"/>
  </conditionalFormatting>
  <conditionalFormatting sqref="F86:G86">
    <cfRule type="duplicateValues" dxfId="5815" priority="50"/>
    <cfRule type="duplicateValues" dxfId="5814" priority="208"/>
  </conditionalFormatting>
  <conditionalFormatting sqref="F87:G87">
    <cfRule type="duplicateValues" dxfId="5813" priority="45"/>
    <cfRule type="duplicateValues" dxfId="5812" priority="187"/>
  </conditionalFormatting>
  <conditionalFormatting sqref="F88:G88">
    <cfRule type="duplicateValues" dxfId="5811" priority="82"/>
  </conditionalFormatting>
  <conditionalFormatting sqref="F89:G89">
    <cfRule type="duplicateValues" dxfId="5810" priority="44"/>
  </conditionalFormatting>
  <conditionalFormatting sqref="F90:G90">
    <cfRule type="duplicateValues" dxfId="5809" priority="306"/>
  </conditionalFormatting>
  <conditionalFormatting sqref="F91:G91">
    <cfRule type="duplicateValues" dxfId="5808" priority="269"/>
  </conditionalFormatting>
  <conditionalFormatting sqref="F92:G92">
    <cfRule type="duplicateValues" dxfId="5807" priority="68"/>
  </conditionalFormatting>
  <conditionalFormatting sqref="F93:G93">
    <cfRule type="duplicateValues" dxfId="5806" priority="228"/>
  </conditionalFormatting>
  <conditionalFormatting sqref="F94:G94">
    <cfRule type="duplicateValues" dxfId="5805" priority="207"/>
  </conditionalFormatting>
  <conditionalFormatting sqref="F95:G95">
    <cfRule type="duplicateValues" dxfId="5804" priority="123"/>
  </conditionalFormatting>
  <conditionalFormatting sqref="F96:G96">
    <cfRule type="duplicateValues" dxfId="5803" priority="42"/>
  </conditionalFormatting>
  <conditionalFormatting sqref="F97:G97">
    <cfRule type="duplicateValues" dxfId="5802" priority="287"/>
  </conditionalFormatting>
  <conditionalFormatting sqref="F98:G98">
    <cfRule type="duplicateValues" dxfId="5801" priority="163"/>
  </conditionalFormatting>
  <conditionalFormatting sqref="F99:G99">
    <cfRule type="duplicateValues" dxfId="5800" priority="143"/>
  </conditionalFormatting>
  <conditionalFormatting sqref="F100:G100">
    <cfRule type="duplicateValues" dxfId="5799" priority="185"/>
  </conditionalFormatting>
  <conditionalFormatting sqref="F101:G101">
    <cfRule type="duplicateValues" dxfId="5798" priority="80"/>
  </conditionalFormatting>
  <conditionalFormatting sqref="F102:G102">
    <cfRule type="duplicateValues" dxfId="5797" priority="101"/>
  </conditionalFormatting>
  <conditionalFormatting sqref="F103:G103">
    <cfRule type="duplicateValues" dxfId="5796" priority="39"/>
  </conditionalFormatting>
  <conditionalFormatting sqref="F104:G104">
    <cfRule type="duplicateValues" dxfId="5795" priority="286"/>
  </conditionalFormatting>
  <conditionalFormatting sqref="F105:G105">
    <cfRule type="duplicateValues" dxfId="5794" priority="162"/>
  </conditionalFormatting>
  <conditionalFormatting sqref="F106:G106">
    <cfRule type="duplicateValues" dxfId="5793" priority="142"/>
  </conditionalFormatting>
  <conditionalFormatting sqref="F107:G107">
    <cfRule type="duplicateValues" dxfId="5792" priority="121"/>
  </conditionalFormatting>
  <conditionalFormatting sqref="F108:G108">
    <cfRule type="duplicateValues" dxfId="5791" priority="79"/>
  </conditionalFormatting>
  <conditionalFormatting sqref="F109:G109">
    <cfRule type="duplicateValues" dxfId="5790" priority="100"/>
  </conditionalFormatting>
  <conditionalFormatting sqref="F110:G110">
    <cfRule type="duplicateValues" dxfId="5789" priority="38"/>
  </conditionalFormatting>
  <conditionalFormatting sqref="F111:G111">
    <cfRule type="duplicateValues" dxfId="5788" priority="305"/>
  </conditionalFormatting>
  <conditionalFormatting sqref="F112:G112">
    <cfRule type="duplicateValues" dxfId="5787" priority="265"/>
  </conditionalFormatting>
  <conditionalFormatting sqref="F113:G113">
    <cfRule type="duplicateValues" dxfId="5786" priority="246"/>
  </conditionalFormatting>
  <conditionalFormatting sqref="F114:G114">
    <cfRule type="duplicateValues" dxfId="5785" priority="225"/>
  </conditionalFormatting>
  <conditionalFormatting sqref="F115:G115">
    <cfRule type="duplicateValues" dxfId="5784" priority="204"/>
  </conditionalFormatting>
  <conditionalFormatting sqref="F116:G116">
    <cfRule type="duplicateValues" dxfId="5783" priority="183"/>
  </conditionalFormatting>
  <conditionalFormatting sqref="F117:G117">
    <cfRule type="duplicateValues" dxfId="5782" priority="35"/>
  </conditionalFormatting>
  <conditionalFormatting sqref="F118:G118">
    <cfRule type="duplicateValues" dxfId="5781" priority="303"/>
  </conditionalFormatting>
  <conditionalFormatting sqref="F119:G119">
    <cfRule type="duplicateValues" dxfId="5780" priority="160"/>
  </conditionalFormatting>
  <conditionalFormatting sqref="F120:G120">
    <cfRule type="duplicateValues" dxfId="5779" priority="140"/>
  </conditionalFormatting>
  <conditionalFormatting sqref="F121:G121">
    <cfRule type="duplicateValues" dxfId="5778" priority="119"/>
  </conditionalFormatting>
  <conditionalFormatting sqref="F122:G122">
    <cfRule type="duplicateValues" dxfId="5777" priority="77"/>
  </conditionalFormatting>
  <conditionalFormatting sqref="F123:G123">
    <cfRule type="duplicateValues" dxfId="5776" priority="98"/>
  </conditionalFormatting>
  <conditionalFormatting sqref="F124:G124">
    <cfRule type="duplicateValues" dxfId="5775" priority="34"/>
  </conditionalFormatting>
  <conditionalFormatting sqref="F125:G125">
    <cfRule type="duplicateValues" dxfId="5774" priority="284"/>
  </conditionalFormatting>
  <conditionalFormatting sqref="F126:G126">
    <cfRule type="duplicateValues" dxfId="5773" priority="159"/>
  </conditionalFormatting>
  <conditionalFormatting sqref="F127:G127">
    <cfRule type="duplicateValues" dxfId="5772" priority="244"/>
  </conditionalFormatting>
  <conditionalFormatting sqref="F128:G128">
    <cfRule type="duplicateValues" dxfId="5771" priority="223"/>
  </conditionalFormatting>
  <conditionalFormatting sqref="F129:G129">
    <cfRule type="duplicateValues" dxfId="5770" priority="202"/>
  </conditionalFormatting>
  <conditionalFormatting sqref="F130:G130">
    <cfRule type="duplicateValues" dxfId="5769" priority="180"/>
  </conditionalFormatting>
  <conditionalFormatting sqref="F131:G131">
    <cfRule type="duplicateValues" dxfId="5768" priority="31"/>
  </conditionalFormatting>
  <conditionalFormatting sqref="F132:G132">
    <cfRule type="duplicateValues" dxfId="5767" priority="301"/>
  </conditionalFormatting>
  <conditionalFormatting sqref="F133:G133">
    <cfRule type="duplicateValues" dxfId="5766" priority="263"/>
  </conditionalFormatting>
  <conditionalFormatting sqref="F134:G134">
    <cfRule type="duplicateValues" dxfId="5765" priority="138"/>
  </conditionalFormatting>
  <conditionalFormatting sqref="F135:G135">
    <cfRule type="duplicateValues" dxfId="5764" priority="117"/>
  </conditionalFormatting>
  <conditionalFormatting sqref="F136:G136">
    <cfRule type="duplicateValues" dxfId="5763" priority="75"/>
  </conditionalFormatting>
  <conditionalFormatting sqref="F137:G137">
    <cfRule type="duplicateValues" dxfId="5762" priority="96"/>
  </conditionalFormatting>
  <conditionalFormatting sqref="F138:G138">
    <cfRule type="duplicateValues" dxfId="5761" priority="30"/>
  </conditionalFormatting>
  <conditionalFormatting sqref="F139:G139">
    <cfRule type="duplicateValues" dxfId="5760" priority="283"/>
  </conditionalFormatting>
  <conditionalFormatting sqref="F140:G140">
    <cfRule type="duplicateValues" dxfId="5759" priority="157"/>
  </conditionalFormatting>
  <conditionalFormatting sqref="F141:G141">
    <cfRule type="duplicateValues" dxfId="5758" priority="137"/>
  </conditionalFormatting>
  <conditionalFormatting sqref="F142:G142">
    <cfRule type="duplicateValues" dxfId="5757" priority="221"/>
  </conditionalFormatting>
  <conditionalFormatting sqref="F143:G143">
    <cfRule type="duplicateValues" dxfId="5756" priority="200"/>
  </conditionalFormatting>
  <conditionalFormatting sqref="F144:G144">
    <cfRule type="duplicateValues" dxfId="5755" priority="179"/>
  </conditionalFormatting>
  <conditionalFormatting sqref="F145:G145">
    <cfRule type="duplicateValues" dxfId="5754" priority="27"/>
  </conditionalFormatting>
  <conditionalFormatting sqref="F146:G146">
    <cfRule type="duplicateValues" dxfId="5753" priority="299"/>
  </conditionalFormatting>
  <conditionalFormatting sqref="F147:G147">
    <cfRule type="duplicateValues" dxfId="5752" priority="261"/>
  </conditionalFormatting>
  <conditionalFormatting sqref="F148:G148">
    <cfRule type="duplicateValues" dxfId="5751" priority="241"/>
  </conditionalFormatting>
  <conditionalFormatting sqref="F149:G149">
    <cfRule type="duplicateValues" dxfId="5750" priority="115"/>
  </conditionalFormatting>
  <conditionalFormatting sqref="F150:G150">
    <cfRule type="duplicateValues" dxfId="5749" priority="73"/>
  </conditionalFormatting>
  <conditionalFormatting sqref="F151:G151">
    <cfRule type="duplicateValues" dxfId="5748" priority="94"/>
  </conditionalFormatting>
  <conditionalFormatting sqref="F152:G152">
    <cfRule type="duplicateValues" dxfId="5747" priority="25"/>
  </conditionalFormatting>
  <conditionalFormatting sqref="F153:G153">
    <cfRule type="duplicateValues" dxfId="5746" priority="282"/>
  </conditionalFormatting>
  <conditionalFormatting sqref="F154:G154">
    <cfRule type="duplicateValues" dxfId="5745" priority="135"/>
  </conditionalFormatting>
  <conditionalFormatting sqref="F155:G155">
    <cfRule type="duplicateValues" dxfId="5744" priority="198"/>
  </conditionalFormatting>
  <conditionalFormatting sqref="F156:G156">
    <cfRule type="duplicateValues" dxfId="5743" priority="177"/>
  </conditionalFormatting>
  <conditionalFormatting sqref="F157:G158">
    <cfRule type="duplicateValues" dxfId="5742" priority="72"/>
  </conditionalFormatting>
  <conditionalFormatting sqref="F159:G159">
    <cfRule type="duplicateValues" dxfId="5741" priority="23"/>
  </conditionalFormatting>
  <conditionalFormatting sqref="F160:G160">
    <cfRule type="duplicateValues" dxfId="5740" priority="22"/>
  </conditionalFormatting>
  <conditionalFormatting sqref="F161:G161">
    <cfRule type="duplicateValues" dxfId="5739" priority="298"/>
  </conditionalFormatting>
  <conditionalFormatting sqref="F162:G162">
    <cfRule type="duplicateValues" dxfId="5738" priority="259"/>
  </conditionalFormatting>
  <conditionalFormatting sqref="F163:G163">
    <cfRule type="duplicateValues" dxfId="5737" priority="239"/>
  </conditionalFormatting>
  <conditionalFormatting sqref="F164:G164">
    <cfRule type="duplicateValues" dxfId="5736" priority="218"/>
  </conditionalFormatting>
  <conditionalFormatting sqref="F165:G165">
    <cfRule type="duplicateValues" dxfId="5735" priority="113"/>
  </conditionalFormatting>
  <conditionalFormatting sqref="F166:G166">
    <cfRule type="duplicateValues" dxfId="5734" priority="17"/>
  </conditionalFormatting>
  <conditionalFormatting sqref="F167:G167">
    <cfRule type="duplicateValues" dxfId="5733" priority="18"/>
  </conditionalFormatting>
  <conditionalFormatting sqref="F168:G168">
    <cfRule type="duplicateValues" dxfId="5732" priority="280"/>
  </conditionalFormatting>
  <conditionalFormatting sqref="F169:G169">
    <cfRule type="duplicateValues" dxfId="5731" priority="154"/>
  </conditionalFormatting>
  <conditionalFormatting sqref="F170:G170">
    <cfRule type="duplicateValues" dxfId="5730" priority="133"/>
  </conditionalFormatting>
  <conditionalFormatting sqref="F171:G171">
    <cfRule type="duplicateValues" dxfId="5729" priority="175"/>
  </conditionalFormatting>
  <conditionalFormatting sqref="F172:G172">
    <cfRule type="duplicateValues" dxfId="5728" priority="70"/>
  </conditionalFormatting>
  <conditionalFormatting sqref="F173:G173">
    <cfRule type="duplicateValues" dxfId="5727" priority="15"/>
  </conditionalFormatting>
  <conditionalFormatting sqref="F174:G174">
    <cfRule type="duplicateValues" dxfId="5726" priority="13"/>
  </conditionalFormatting>
  <conditionalFormatting sqref="F175:G175">
    <cfRule type="duplicateValues" dxfId="5725" priority="296"/>
  </conditionalFormatting>
  <conditionalFormatting sqref="F176:G176">
    <cfRule type="duplicateValues" dxfId="5724" priority="257"/>
  </conditionalFormatting>
  <conditionalFormatting sqref="F177:G177">
    <cfRule type="duplicateValues" dxfId="5723" priority="237"/>
  </conditionalFormatting>
  <conditionalFormatting sqref="F178:G178">
    <cfRule type="duplicateValues" dxfId="5722" priority="216"/>
  </conditionalFormatting>
  <conditionalFormatting sqref="F179:G179">
    <cfRule type="duplicateValues" dxfId="5721" priority="195"/>
  </conditionalFormatting>
  <conditionalFormatting sqref="F180:G180">
    <cfRule type="duplicateValues" dxfId="5720" priority="111"/>
  </conditionalFormatting>
  <conditionalFormatting sqref="G26:G31">
    <cfRule type="duplicateValues" dxfId="5719" priority="62"/>
  </conditionalFormatting>
  <conditionalFormatting sqref="H26:H31">
    <cfRule type="duplicateValues" dxfId="5718" priority="63"/>
  </conditionalFormatting>
  <conditionalFormatting sqref="H33:I33">
    <cfRule type="duplicateValues" dxfId="5717" priority="314"/>
  </conditionalFormatting>
  <conditionalFormatting sqref="H34:I34">
    <cfRule type="duplicateValues" dxfId="5716" priority="194"/>
  </conditionalFormatting>
  <conditionalFormatting sqref="H35:I35">
    <cfRule type="duplicateValues" dxfId="5715" priority="215"/>
  </conditionalFormatting>
  <conditionalFormatting sqref="H36:I36">
    <cfRule type="duplicateValues" dxfId="5714" priority="277"/>
  </conditionalFormatting>
  <conditionalFormatting sqref="H37:I37">
    <cfRule type="duplicateValues" dxfId="5713" priority="236"/>
  </conditionalFormatting>
  <conditionalFormatting sqref="H38:I38">
    <cfRule type="duplicateValues" dxfId="5712" priority="256"/>
  </conditionalFormatting>
  <conditionalFormatting sqref="H40:I40">
    <cfRule type="duplicateValues" dxfId="5711" priority="172"/>
  </conditionalFormatting>
  <conditionalFormatting sqref="H41:I41">
    <cfRule type="duplicateValues" dxfId="5710" priority="313"/>
  </conditionalFormatting>
  <conditionalFormatting sqref="H42:I42">
    <cfRule type="duplicateValues" dxfId="5709" priority="130"/>
  </conditionalFormatting>
  <conditionalFormatting sqref="H43:I43">
    <cfRule type="duplicateValues" dxfId="5708" priority="109"/>
  </conditionalFormatting>
  <conditionalFormatting sqref="H44:I44">
    <cfRule type="duplicateValues" dxfId="5707" priority="88"/>
  </conditionalFormatting>
  <conditionalFormatting sqref="H45:I45">
    <cfRule type="duplicateValues" dxfId="5706" priority="151"/>
  </conditionalFormatting>
  <conditionalFormatting sqref="H47:I47">
    <cfRule type="duplicateValues" dxfId="5705" priority="254"/>
  </conditionalFormatting>
  <conditionalFormatting sqref="H48:I48">
    <cfRule type="duplicateValues" dxfId="5704" priority="170"/>
  </conditionalFormatting>
  <conditionalFormatting sqref="H49:I49">
    <cfRule type="duplicateValues" dxfId="5703" priority="171"/>
  </conditionalFormatting>
  <conditionalFormatting sqref="H50:I50">
    <cfRule type="duplicateValues" dxfId="5702" priority="234"/>
  </conditionalFormatting>
  <conditionalFormatting sqref="H51:I51">
    <cfRule type="duplicateValues" dxfId="5701" priority="192"/>
  </conditionalFormatting>
  <conditionalFormatting sqref="H52:I52">
    <cfRule type="duplicateValues" dxfId="5700" priority="213"/>
  </conditionalFormatting>
  <conditionalFormatting sqref="H54:I54">
    <cfRule type="duplicateValues" dxfId="5699" priority="149"/>
  </conditionalFormatting>
  <conditionalFormatting sqref="H55:I55">
    <cfRule type="duplicateValues" dxfId="5698" priority="86"/>
  </conditionalFormatting>
  <conditionalFormatting sqref="H56:I56">
    <cfRule type="duplicateValues" dxfId="5697" priority="274"/>
  </conditionalFormatting>
  <conditionalFormatting sqref="H57:I57">
    <cfRule type="duplicateValues" dxfId="5696" priority="311"/>
  </conditionalFormatting>
  <conditionalFormatting sqref="H58:I58">
    <cfRule type="duplicateValues" dxfId="5695" priority="128"/>
  </conditionalFormatting>
  <conditionalFormatting sqref="H59:I59">
    <cfRule type="duplicateValues" dxfId="5694" priority="107"/>
  </conditionalFormatting>
  <conditionalFormatting sqref="H61:I61">
    <cfRule type="duplicateValues" dxfId="5693" priority="211"/>
  </conditionalFormatting>
  <conditionalFormatting sqref="H62:I62">
    <cfRule type="duplicateValues" dxfId="5692" priority="232"/>
  </conditionalFormatting>
  <conditionalFormatting sqref="H63:I63">
    <cfRule type="duplicateValues" dxfId="5691" priority="292"/>
  </conditionalFormatting>
  <conditionalFormatting sqref="H64:I64">
    <cfRule type="duplicateValues" dxfId="5690" priority="190"/>
  </conditionalFormatting>
  <conditionalFormatting sqref="H65:I65">
    <cfRule type="duplicateValues" dxfId="5689" priority="148"/>
  </conditionalFormatting>
  <conditionalFormatting sqref="H66:I66">
    <cfRule type="duplicateValues" dxfId="5688" priority="168"/>
  </conditionalFormatting>
  <conditionalFormatting sqref="H68:I68">
    <cfRule type="duplicateValues" dxfId="5687" priority="84"/>
  </conditionalFormatting>
  <conditionalFormatting sqref="H69:I69">
    <cfRule type="duplicateValues" dxfId="5686" priority="126"/>
  </conditionalFormatting>
  <conditionalFormatting sqref="H70:I70">
    <cfRule type="duplicateValues" dxfId="5685" priority="105"/>
  </conditionalFormatting>
  <conditionalFormatting sqref="H71:I71">
    <cfRule type="duplicateValues" dxfId="5684" priority="251"/>
  </conditionalFormatting>
  <conditionalFormatting sqref="H72:I72">
    <cfRule type="duplicateValues" dxfId="5683" priority="272"/>
  </conditionalFormatting>
  <conditionalFormatting sqref="H73:I73">
    <cfRule type="duplicateValues" dxfId="5682" priority="309"/>
  </conditionalFormatting>
  <conditionalFormatting sqref="H75:I75">
    <cfRule type="duplicateValues" dxfId="5681" priority="166"/>
  </conditionalFormatting>
  <conditionalFormatting sqref="H76:I76">
    <cfRule type="duplicateValues" dxfId="5680" priority="188"/>
  </conditionalFormatting>
  <conditionalFormatting sqref="H77:I77">
    <cfRule type="duplicateValues" dxfId="5679" priority="209"/>
  </conditionalFormatting>
  <conditionalFormatting sqref="H78:I78">
    <cfRule type="duplicateValues" dxfId="5678" priority="290"/>
  </conditionalFormatting>
  <conditionalFormatting sqref="H79:I79">
    <cfRule type="duplicateValues" dxfId="5677" priority="146"/>
  </conditionalFormatting>
  <conditionalFormatting sqref="H80:I80">
    <cfRule type="duplicateValues" dxfId="5676" priority="57"/>
  </conditionalFormatting>
  <conditionalFormatting sqref="H81:I81">
    <cfRule type="duplicateValues" dxfId="5675" priority="83"/>
  </conditionalFormatting>
  <conditionalFormatting sqref="H82:I82">
    <cfRule type="duplicateValues" dxfId="5674" priority="46"/>
  </conditionalFormatting>
  <conditionalFormatting sqref="H83:I83">
    <cfRule type="duplicateValues" dxfId="5673" priority="54"/>
    <cfRule type="duplicateValues" dxfId="5672" priority="103"/>
  </conditionalFormatting>
  <conditionalFormatting sqref="H84:I84">
    <cfRule type="duplicateValues" dxfId="5671" priority="56"/>
    <cfRule type="duplicateValues" dxfId="5670" priority="270"/>
  </conditionalFormatting>
  <conditionalFormatting sqref="H85:I85">
    <cfRule type="duplicateValues" dxfId="5669" priority="52"/>
    <cfRule type="duplicateValues" dxfId="5668" priority="307"/>
  </conditionalFormatting>
  <conditionalFormatting sqref="H86:I86">
    <cfRule type="duplicateValues" dxfId="5667" priority="53"/>
    <cfRule type="duplicateValues" dxfId="5666" priority="229"/>
  </conditionalFormatting>
  <conditionalFormatting sqref="H87:I87">
    <cfRule type="duplicateValues" dxfId="5665" priority="47"/>
    <cfRule type="duplicateValues" dxfId="5664" priority="249"/>
  </conditionalFormatting>
  <conditionalFormatting sqref="H88:I88">
    <cfRule type="duplicateValues" dxfId="5663" priority="124"/>
  </conditionalFormatting>
  <conditionalFormatting sqref="H89:I89">
    <cfRule type="duplicateValues" dxfId="5662" priority="43"/>
  </conditionalFormatting>
  <conditionalFormatting sqref="H90:I90">
    <cfRule type="duplicateValues" dxfId="5661" priority="81"/>
  </conditionalFormatting>
  <conditionalFormatting sqref="H91:I91">
    <cfRule type="duplicateValues" dxfId="5660" priority="144"/>
  </conditionalFormatting>
  <conditionalFormatting sqref="H92:I92">
    <cfRule type="duplicateValues" dxfId="5659" priority="164"/>
  </conditionalFormatting>
  <conditionalFormatting sqref="H93:I93">
    <cfRule type="duplicateValues" dxfId="5658" priority="186"/>
  </conditionalFormatting>
  <conditionalFormatting sqref="H94:I94">
    <cfRule type="duplicateValues" dxfId="5657" priority="288"/>
  </conditionalFormatting>
  <conditionalFormatting sqref="H95:I95">
    <cfRule type="duplicateValues" dxfId="5656" priority="102"/>
  </conditionalFormatting>
  <conditionalFormatting sqref="H96:I96">
    <cfRule type="duplicateValues" dxfId="5655" priority="41"/>
  </conditionalFormatting>
  <conditionalFormatting sqref="H97:I97">
    <cfRule type="duplicateValues" dxfId="5654" priority="122"/>
  </conditionalFormatting>
  <conditionalFormatting sqref="H98:I98">
    <cfRule type="duplicateValues" dxfId="5653" priority="227"/>
  </conditionalFormatting>
  <conditionalFormatting sqref="H99:I99">
    <cfRule type="duplicateValues" dxfId="5652" priority="248"/>
  </conditionalFormatting>
  <conditionalFormatting sqref="H100:I100">
    <cfRule type="duplicateValues" dxfId="5651" priority="206"/>
  </conditionalFormatting>
  <conditionalFormatting sqref="H101:I101">
    <cfRule type="duplicateValues" dxfId="5650" priority="268"/>
  </conditionalFormatting>
  <conditionalFormatting sqref="H102:I102">
    <cfRule type="duplicateValues" dxfId="5649" priority="67"/>
  </conditionalFormatting>
  <conditionalFormatting sqref="H103:I103">
    <cfRule type="duplicateValues" dxfId="5648" priority="40"/>
  </conditionalFormatting>
  <conditionalFormatting sqref="H104:I104">
    <cfRule type="duplicateValues" dxfId="5647" priority="184"/>
  </conditionalFormatting>
  <conditionalFormatting sqref="H105:I105">
    <cfRule type="duplicateValues" dxfId="5646" priority="205"/>
  </conditionalFormatting>
  <conditionalFormatting sqref="H106:I106">
    <cfRule type="duplicateValues" dxfId="5645" priority="226"/>
  </conditionalFormatting>
  <conditionalFormatting sqref="H107:I107">
    <cfRule type="duplicateValues" dxfId="5644" priority="304"/>
  </conditionalFormatting>
  <conditionalFormatting sqref="H108:I108">
    <cfRule type="duplicateValues" dxfId="5643" priority="247"/>
  </conditionalFormatting>
  <conditionalFormatting sqref="H109:I109">
    <cfRule type="duplicateValues" dxfId="5642" priority="267"/>
  </conditionalFormatting>
  <conditionalFormatting sqref="H110:I110">
    <cfRule type="duplicateValues" dxfId="5641" priority="37"/>
  </conditionalFormatting>
  <conditionalFormatting sqref="H111:I111">
    <cfRule type="duplicateValues" dxfId="5640" priority="285"/>
  </conditionalFormatting>
  <conditionalFormatting sqref="H112:I112">
    <cfRule type="duplicateValues" dxfId="5639" priority="120"/>
  </conditionalFormatting>
  <conditionalFormatting sqref="H113:I113">
    <cfRule type="duplicateValues" dxfId="5638" priority="99"/>
  </conditionalFormatting>
  <conditionalFormatting sqref="H114:I114">
    <cfRule type="duplicateValues" dxfId="5637" priority="78"/>
  </conditionalFormatting>
  <conditionalFormatting sqref="H115:I115">
    <cfRule type="duplicateValues" dxfId="5636" priority="141"/>
  </conditionalFormatting>
  <conditionalFormatting sqref="H116:I116">
    <cfRule type="duplicateValues" dxfId="5635" priority="161"/>
  </conditionalFormatting>
  <conditionalFormatting sqref="H117:I117">
    <cfRule type="duplicateValues" dxfId="5634" priority="36"/>
  </conditionalFormatting>
  <conditionalFormatting sqref="H118:I118">
    <cfRule type="duplicateValues" dxfId="5633" priority="266"/>
  </conditionalFormatting>
  <conditionalFormatting sqref="H119:I119">
    <cfRule type="duplicateValues" dxfId="5632" priority="66"/>
  </conditionalFormatting>
  <conditionalFormatting sqref="H120:I120">
    <cfRule type="duplicateValues" dxfId="5631" priority="182"/>
  </conditionalFormatting>
  <conditionalFormatting sqref="H121:I121">
    <cfRule type="duplicateValues" dxfId="5630" priority="245"/>
  </conditionalFormatting>
  <conditionalFormatting sqref="H122:I122">
    <cfRule type="duplicateValues" dxfId="5629" priority="203"/>
  </conditionalFormatting>
  <conditionalFormatting sqref="H123:I123">
    <cfRule type="duplicateValues" dxfId="5628" priority="224"/>
  </conditionalFormatting>
  <conditionalFormatting sqref="H124:I124">
    <cfRule type="duplicateValues" dxfId="5627" priority="33"/>
  </conditionalFormatting>
  <conditionalFormatting sqref="H125:I125">
    <cfRule type="duplicateValues" dxfId="5626" priority="264"/>
  </conditionalFormatting>
  <conditionalFormatting sqref="H126:I126">
    <cfRule type="duplicateValues" dxfId="5625" priority="139"/>
  </conditionalFormatting>
  <conditionalFormatting sqref="H127:I127">
    <cfRule type="duplicateValues" dxfId="5624" priority="302"/>
  </conditionalFormatting>
  <conditionalFormatting sqref="H128:I128">
    <cfRule type="duplicateValues" dxfId="5623" priority="118"/>
  </conditionalFormatting>
  <conditionalFormatting sqref="H129:I129">
    <cfRule type="duplicateValues" dxfId="5622" priority="97"/>
  </conditionalFormatting>
  <conditionalFormatting sqref="H130:I130">
    <cfRule type="duplicateValues" dxfId="5621" priority="76"/>
  </conditionalFormatting>
  <conditionalFormatting sqref="H131:I131">
    <cfRule type="duplicateValues" dxfId="5620" priority="32"/>
  </conditionalFormatting>
  <conditionalFormatting sqref="H132:I132">
    <cfRule type="duplicateValues" dxfId="5619" priority="222"/>
  </conditionalFormatting>
  <conditionalFormatting sqref="H133:I133">
    <cfRule type="duplicateValues" dxfId="5618" priority="243"/>
  </conditionalFormatting>
  <conditionalFormatting sqref="H134:I134">
    <cfRule type="duplicateValues" dxfId="5617" priority="65"/>
  </conditionalFormatting>
  <conditionalFormatting sqref="H135:I135">
    <cfRule type="duplicateValues" dxfId="5616" priority="201"/>
  </conditionalFormatting>
  <conditionalFormatting sqref="H136:I136">
    <cfRule type="duplicateValues" dxfId="5615" priority="158"/>
  </conditionalFormatting>
  <conditionalFormatting sqref="H137:I137">
    <cfRule type="duplicateValues" dxfId="5614" priority="181"/>
  </conditionalFormatting>
  <conditionalFormatting sqref="H138:I138">
    <cfRule type="duplicateValues" dxfId="5613" priority="29"/>
  </conditionalFormatting>
  <conditionalFormatting sqref="H139:I139">
    <cfRule type="duplicateValues" dxfId="5612" priority="242"/>
  </conditionalFormatting>
  <conditionalFormatting sqref="H140:I140">
    <cfRule type="duplicateValues" dxfId="5611" priority="95"/>
  </conditionalFormatting>
  <conditionalFormatting sqref="H141:I141">
    <cfRule type="duplicateValues" dxfId="5610" priority="74"/>
  </conditionalFormatting>
  <conditionalFormatting sqref="H142:I142">
    <cfRule type="duplicateValues" dxfId="5609" priority="262"/>
  </conditionalFormatting>
  <conditionalFormatting sqref="H143:I143">
    <cfRule type="duplicateValues" dxfId="5608" priority="300"/>
  </conditionalFormatting>
  <conditionalFormatting sqref="H144:I144">
    <cfRule type="duplicateValues" dxfId="5607" priority="116"/>
  </conditionalFormatting>
  <conditionalFormatting sqref="H145:I145">
    <cfRule type="duplicateValues" dxfId="5606" priority="28"/>
  </conditionalFormatting>
  <conditionalFormatting sqref="H146:I146">
    <cfRule type="duplicateValues" dxfId="5605" priority="178"/>
  </conditionalFormatting>
  <conditionalFormatting sqref="H147:I147">
    <cfRule type="duplicateValues" dxfId="5604" priority="199"/>
  </conditionalFormatting>
  <conditionalFormatting sqref="H148:I148">
    <cfRule type="duplicateValues" dxfId="5603" priority="220"/>
  </conditionalFormatting>
  <conditionalFormatting sqref="H149:I149">
    <cfRule type="duplicateValues" dxfId="5602" priority="156"/>
  </conditionalFormatting>
  <conditionalFormatting sqref="H150:I150">
    <cfRule type="duplicateValues" dxfId="5601" priority="281"/>
  </conditionalFormatting>
  <conditionalFormatting sqref="H151:I151">
    <cfRule type="duplicateValues" dxfId="5600" priority="136"/>
  </conditionalFormatting>
  <conditionalFormatting sqref="H152:I152">
    <cfRule type="duplicateValues" dxfId="5599" priority="26"/>
  </conditionalFormatting>
  <conditionalFormatting sqref="H153:I153">
    <cfRule type="duplicateValues" dxfId="5598" priority="219"/>
  </conditionalFormatting>
  <conditionalFormatting sqref="H154:I154">
    <cfRule type="duplicateValues" dxfId="5597" priority="114"/>
  </conditionalFormatting>
  <conditionalFormatting sqref="H155:I155">
    <cfRule type="duplicateValues" dxfId="5596" priority="240"/>
  </conditionalFormatting>
  <conditionalFormatting sqref="H156:I156">
    <cfRule type="duplicateValues" dxfId="5595" priority="260"/>
  </conditionalFormatting>
  <conditionalFormatting sqref="H157:I158">
    <cfRule type="duplicateValues" dxfId="5594" priority="93"/>
  </conditionalFormatting>
  <conditionalFormatting sqref="H159:I159">
    <cfRule type="duplicateValues" dxfId="5593" priority="21"/>
  </conditionalFormatting>
  <conditionalFormatting sqref="H160:I160">
    <cfRule type="duplicateValues" dxfId="5592" priority="24"/>
  </conditionalFormatting>
  <conditionalFormatting sqref="H161:I161">
    <cfRule type="duplicateValues" dxfId="5591" priority="134"/>
  </conditionalFormatting>
  <conditionalFormatting sqref="H162:I162">
    <cfRule type="duplicateValues" dxfId="5590" priority="155"/>
  </conditionalFormatting>
  <conditionalFormatting sqref="H163:I163">
    <cfRule type="duplicateValues" dxfId="5589" priority="176"/>
  </conditionalFormatting>
  <conditionalFormatting sqref="H164:I164">
    <cfRule type="duplicateValues" dxfId="5588" priority="197"/>
  </conditionalFormatting>
  <conditionalFormatting sqref="H165:I165">
    <cfRule type="duplicateValues" dxfId="5587" priority="71"/>
  </conditionalFormatting>
  <conditionalFormatting sqref="H166:I166">
    <cfRule type="duplicateValues" dxfId="5586" priority="20"/>
  </conditionalFormatting>
  <conditionalFormatting sqref="H167:I167">
    <cfRule type="duplicateValues" dxfId="5585" priority="19"/>
  </conditionalFormatting>
  <conditionalFormatting sqref="H168:I168">
    <cfRule type="duplicateValues" dxfId="5584" priority="196"/>
  </conditionalFormatting>
  <conditionalFormatting sqref="H169:I169">
    <cfRule type="duplicateValues" dxfId="5583" priority="238"/>
  </conditionalFormatting>
  <conditionalFormatting sqref="H170:I170">
    <cfRule type="duplicateValues" dxfId="5582" priority="258"/>
  </conditionalFormatting>
  <conditionalFormatting sqref="H171:I171">
    <cfRule type="duplicateValues" dxfId="5581" priority="217"/>
  </conditionalFormatting>
  <conditionalFormatting sqref="H172:I172">
    <cfRule type="duplicateValues" dxfId="5580" priority="297"/>
  </conditionalFormatting>
  <conditionalFormatting sqref="H173:I173">
    <cfRule type="duplicateValues" dxfId="5579" priority="14"/>
  </conditionalFormatting>
  <conditionalFormatting sqref="H174:I174">
    <cfRule type="duplicateValues" dxfId="5578" priority="16"/>
  </conditionalFormatting>
  <conditionalFormatting sqref="H175:I175">
    <cfRule type="duplicateValues" dxfId="5577" priority="90"/>
  </conditionalFormatting>
  <conditionalFormatting sqref="H176:I176">
    <cfRule type="duplicateValues" dxfId="5576" priority="69"/>
  </conditionalFormatting>
  <conditionalFormatting sqref="H177:I177">
    <cfRule type="duplicateValues" dxfId="5575" priority="132"/>
  </conditionalFormatting>
  <conditionalFormatting sqref="H178:I178">
    <cfRule type="duplicateValues" dxfId="5574" priority="153"/>
  </conditionalFormatting>
  <conditionalFormatting sqref="H179:I179">
    <cfRule type="duplicateValues" dxfId="5573" priority="174"/>
  </conditionalFormatting>
  <conditionalFormatting sqref="H180:I180">
    <cfRule type="duplicateValues" dxfId="5572" priority="278"/>
  </conditionalFormatting>
  <conditionalFormatting sqref="I9:I21">
    <cfRule type="containsText" dxfId="5571" priority="6" operator="containsText" text="Code">
      <formula>NOT(ISERROR(SEARCH("Code",I9)))</formula>
    </cfRule>
    <cfRule type="containsText" dxfId="5570" priority="11" operator="containsText" text="c'[Fixtures All.xlsx]Women Filtered'!$F$2">
      <formula>NOT(ISERROR(SEARCH("c'[Fixtures All.xlsx]Women Filtered'!$F$2",I9)))</formula>
    </cfRule>
  </conditionalFormatting>
  <conditionalFormatting sqref="I26:I31">
    <cfRule type="duplicateValues" dxfId="5569" priority="61"/>
  </conditionalFormatting>
  <conditionalFormatting sqref="I10:L21">
    <cfRule type="cellIs" dxfId="5568" priority="4" operator="lessThan">
      <formula>5</formula>
    </cfRule>
    <cfRule type="cellIs" dxfId="5567" priority="5" operator="greaterThan">
      <formula>6</formula>
    </cfRule>
  </conditionalFormatting>
  <conditionalFormatting sqref="J10:J21">
    <cfRule type="containsText" dxfId="5566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565" priority="2856"/>
  </conditionalFormatting>
  <conditionalFormatting sqref="K5">
    <cfRule type="duplicateValues" dxfId="5564" priority="324"/>
  </conditionalFormatting>
  <conditionalFormatting sqref="K9:K21">
    <cfRule type="containsText" dxfId="5563" priority="3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562" priority="2" operator="containsText" text="Code">
      <formula>NOT(ISERROR(SEARCH("Code",K10)))</formula>
    </cfRule>
  </conditionalFormatting>
  <conditionalFormatting sqref="L10:L21">
    <cfRule type="containsText" dxfId="5561" priority="7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A003619B-9B1D-4D65-82AE-4597C786807D}"/>
    <hyperlink ref="K5:K6" location="'All Fixtures'!A1" display="See all NW Fixtures" xr:uid="{0FE261C5-F233-4204-AAFB-FC2F0764C637}"/>
  </hyperlinks>
  <pageMargins left="0.7" right="0.7" top="0.75" bottom="0.75" header="0.3" footer="0.3"/>
  <ignoredErrors>
    <ignoredError sqref="J10:J21" formula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04595-28CE-4DDB-96F9-CD12C643B900}">
  <dimension ref="A2:AQ217"/>
  <sheetViews>
    <sheetView zoomScale="90" zoomScaleNormal="90" workbookViewId="0"/>
  </sheetViews>
  <sheetFormatPr defaultRowHeight="14.4" x14ac:dyDescent="0.3"/>
  <cols>
    <col min="1" max="1" width="4" style="3" customWidth="1"/>
    <col min="2" max="2" width="37.6640625" style="3" customWidth="1"/>
    <col min="3" max="3" width="26" style="3" customWidth="1"/>
    <col min="4" max="4" width="37.109375" style="3" customWidth="1"/>
    <col min="5" max="5" width="14.6640625" style="3" customWidth="1"/>
    <col min="6" max="6" width="37.21875" style="3" customWidth="1"/>
    <col min="7" max="7" width="10.5546875" style="4" customWidth="1"/>
    <col min="8" max="8" width="37.88671875" style="3" customWidth="1"/>
    <col min="9" max="9" width="11" style="4" customWidth="1"/>
    <col min="10" max="10" width="5.33203125" style="3" customWidth="1"/>
    <col min="11" max="11" width="17.88671875" style="51" customWidth="1"/>
    <col min="12" max="12" width="1.88671875" style="3" customWidth="1"/>
    <col min="13" max="43" width="8.88671875" style="3"/>
  </cols>
  <sheetData>
    <row r="2" spans="1:12" ht="15" thickBot="1" x14ac:dyDescent="0.35"/>
    <row r="3" spans="1:12" ht="37.200000000000003" thickBot="1" x14ac:dyDescent="0.75">
      <c r="E3" s="16" t="s">
        <v>491</v>
      </c>
      <c r="F3" s="16"/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J8" s="4"/>
      <c r="K8" s="3"/>
      <c r="L8" s="51"/>
    </row>
    <row r="9" spans="1:12" ht="15" customHeight="1" x14ac:dyDescent="0.4">
      <c r="B9" s="21" t="s">
        <v>85</v>
      </c>
      <c r="D9" s="83"/>
      <c r="E9" s="59"/>
      <c r="F9" s="77" t="s">
        <v>436</v>
      </c>
      <c r="G9" s="18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COUNTIF(F$26:H$178,"Clitheroe Blackburn Northern Development")</f>
        <v>22</v>
      </c>
      <c r="B10" s="3" t="s">
        <v>177</v>
      </c>
      <c r="C10" s="81">
        <v>3899709</v>
      </c>
      <c r="D10" s="80">
        <f>COUNTIF(F$26:I$178,"3899709")</f>
        <v>22</v>
      </c>
      <c r="E10" s="59"/>
      <c r="F10" s="57">
        <f>COUNTIF(F$26:F$178,"Clitheroe Blackburn Northern Development")</f>
        <v>11</v>
      </c>
      <c r="G10" s="15"/>
      <c r="H10" s="57">
        <f>COUNTIF(H$26:H$178,"Clitheroe Blackburn Northern Development")</f>
        <v>11</v>
      </c>
      <c r="I10" s="57">
        <f>COUNTIF(F$26:F$101,"Clitheroe Blackburn Northern Development")</f>
        <v>6</v>
      </c>
      <c r="J10" s="57">
        <f>COUNTIF(F$102:F$178,"Clitheroe Blackburn Northern Development")</f>
        <v>5</v>
      </c>
      <c r="K10" s="57">
        <f>COUNTIF(H$26:H$101,"Clitheroe Blackburn Northern Development")</f>
        <v>5</v>
      </c>
      <c r="L10" s="57">
        <f>COUNTIF(H$102:H$178,"Clitheroe Blackburn Northern Development")</f>
        <v>6</v>
      </c>
    </row>
    <row r="11" spans="1:12" ht="15" customHeight="1" x14ac:dyDescent="0.3">
      <c r="A11" s="47">
        <f>COUNTIF(F$26:H$178,"Fylde 1")</f>
        <v>22</v>
      </c>
      <c r="B11" s="3" t="s">
        <v>463</v>
      </c>
      <c r="C11" s="74">
        <v>3125500</v>
      </c>
      <c r="D11" s="57">
        <f>COUNTIF(F$26:I$178,"3125500")</f>
        <v>22</v>
      </c>
      <c r="E11" s="15"/>
      <c r="F11" s="57">
        <f>COUNTIF(F$26:F$178,"Fylde 1")</f>
        <v>11</v>
      </c>
      <c r="G11" s="15"/>
      <c r="H11" s="57">
        <f>COUNTIF(H$26:H$178,"Fylde 1")</f>
        <v>11</v>
      </c>
      <c r="I11" s="57">
        <f>COUNTIF(F$26:F$101,"Fylde 1")</f>
        <v>6</v>
      </c>
      <c r="J11" s="57">
        <f>COUNTIF(F$102:F$178,"Fylde 1")</f>
        <v>5</v>
      </c>
      <c r="K11" s="57">
        <f>COUNTIF(H$26:H$101,"Fylde 1")</f>
        <v>5</v>
      </c>
      <c r="L11" s="57">
        <f>COUNTIF(H$102:H$178,"Fylde 1")</f>
        <v>6</v>
      </c>
    </row>
    <row r="12" spans="1:12" ht="15" customHeight="1" x14ac:dyDescent="0.3">
      <c r="A12" s="47">
        <f>COUNTIF(F$26:H$178,"Garstang Development")</f>
        <v>22</v>
      </c>
      <c r="B12" s="4" t="s">
        <v>565</v>
      </c>
      <c r="C12" s="82">
        <v>3818900</v>
      </c>
      <c r="D12" s="57">
        <f>COUNTIF(F$26:I$178,"3818900")</f>
        <v>22</v>
      </c>
      <c r="E12" s="15"/>
      <c r="F12" s="57">
        <f>COUNTIF(F$26:F$178,"Garstang Development")</f>
        <v>11</v>
      </c>
      <c r="G12" s="15"/>
      <c r="H12" s="57">
        <f>COUNTIF(H$26:H$178,"Garstang Development")</f>
        <v>11</v>
      </c>
      <c r="I12" s="57">
        <f>COUNTIF(F$26:F$101,"Garstang Development")</f>
        <v>5</v>
      </c>
      <c r="J12" s="57">
        <f>COUNTIF(F$102:F$178,"Garstang Development")</f>
        <v>6</v>
      </c>
      <c r="K12" s="57">
        <f>COUNTIF(H$26:H$101,"Garstang Development")</f>
        <v>6</v>
      </c>
      <c r="L12" s="57">
        <f>COUNTIF(H$102:H$178,"Garstang Development")</f>
        <v>5</v>
      </c>
    </row>
    <row r="13" spans="1:12" ht="15" customHeight="1" x14ac:dyDescent="0.3">
      <c r="A13" s="47">
        <f>COUNTIF(F$26:H$178,"Kendal 2")</f>
        <v>22</v>
      </c>
      <c r="B13" s="3" t="s">
        <v>180</v>
      </c>
      <c r="C13" s="74">
        <v>3355308</v>
      </c>
      <c r="D13" s="57">
        <f>COUNTIF(F$26:I$178,"3355308")</f>
        <v>22</v>
      </c>
      <c r="E13" s="15"/>
      <c r="F13" s="57">
        <f>COUNTIF(F$26:F$178,"Kendal 2")</f>
        <v>11</v>
      </c>
      <c r="G13" s="15"/>
      <c r="H13" s="57">
        <f>COUNTIF(H$26:H$178,"Kendal 2")</f>
        <v>11</v>
      </c>
      <c r="I13" s="57">
        <f>COUNTIF(F$26:F$101,"Kendal 2")</f>
        <v>6</v>
      </c>
      <c r="J13" s="57">
        <f>COUNTIF(F$102:F$178,"Kendal 2")</f>
        <v>5</v>
      </c>
      <c r="K13" s="57">
        <f>COUNTIF(H$26:H$101,"Kendal 2")</f>
        <v>5</v>
      </c>
      <c r="L13" s="57">
        <f>COUNTIF(H$102:H$178,"Kendal 2")</f>
        <v>6</v>
      </c>
    </row>
    <row r="14" spans="1:12" ht="15" customHeight="1" x14ac:dyDescent="0.3">
      <c r="A14" s="47">
        <f>COUNTIF(F$26:H$178,"Keswick 3")</f>
        <v>22</v>
      </c>
      <c r="B14" s="3" t="s">
        <v>148</v>
      </c>
      <c r="C14" s="74">
        <v>3355402</v>
      </c>
      <c r="D14" s="57">
        <f>COUNTIF(F$26:I$178,"3355402")</f>
        <v>22</v>
      </c>
      <c r="E14" s="15"/>
      <c r="F14" s="57">
        <f>COUNTIF(F$26:F$178,"Keswick 3")</f>
        <v>11</v>
      </c>
      <c r="G14" s="15"/>
      <c r="H14" s="57">
        <f>COUNTIF(H$26:H$178,"Keswick 3")</f>
        <v>11</v>
      </c>
      <c r="I14" s="57">
        <f>COUNTIF(F$26:F$101,"Keswick 3")</f>
        <v>5</v>
      </c>
      <c r="J14" s="57">
        <f>COUNTIF(F$102:F$178,"Keswick 3")</f>
        <v>6</v>
      </c>
      <c r="K14" s="57">
        <f>COUNTIF(H$26:H$101,"Keswick 3")</f>
        <v>6</v>
      </c>
      <c r="L14" s="57">
        <f>COUNTIF(H$102:H$178,"Keswick 3")</f>
        <v>5</v>
      </c>
    </row>
    <row r="15" spans="1:12" ht="15" customHeight="1" x14ac:dyDescent="0.3">
      <c r="A15" s="47">
        <f>COUNTIF(F$26:H$178,"Lancaster University 2")</f>
        <v>22</v>
      </c>
      <c r="B15" s="3" t="s">
        <v>566</v>
      </c>
      <c r="C15" s="53">
        <v>3560703</v>
      </c>
      <c r="D15" s="57">
        <f>COUNTIF(F$26:I$178,"3560703")</f>
        <v>22</v>
      </c>
      <c r="E15" s="15"/>
      <c r="F15" s="57">
        <f>COUNTIF(F$26:F$178,"Lancaster University 2")</f>
        <v>11</v>
      </c>
      <c r="G15" s="15"/>
      <c r="H15" s="57">
        <f>COUNTIF(H$26:H$178,"Lancaster University 2")</f>
        <v>11</v>
      </c>
      <c r="I15" s="57">
        <f>COUNTIF(F$26:F$101,"Lancaster University 2")</f>
        <v>6</v>
      </c>
      <c r="J15" s="57">
        <f>COUNTIF(F$102:F$178,"Lancaster University 2")</f>
        <v>5</v>
      </c>
      <c r="K15" s="57">
        <f>COUNTIF(H$26:H$101,"Lancaster University 2")</f>
        <v>5</v>
      </c>
      <c r="L15" s="57">
        <f>COUNTIF(H$102:H$178,"Lancaster University 2")</f>
        <v>6</v>
      </c>
    </row>
    <row r="16" spans="1:12" ht="15" customHeight="1" x14ac:dyDescent="0.3">
      <c r="A16" s="47">
        <f>COUNTIF(F$26:H$178,"Leyland &amp; Chorley 2")</f>
        <v>22</v>
      </c>
      <c r="B16" s="3" t="s">
        <v>149</v>
      </c>
      <c r="C16" s="74">
        <v>3354507</v>
      </c>
      <c r="D16" s="57">
        <f>COUNTIF(F$26:I$178,"3354507")</f>
        <v>22</v>
      </c>
      <c r="E16" s="15"/>
      <c r="F16" s="57">
        <f>COUNTIF(F$26:F$178,"Leyland &amp; Chorley 2")</f>
        <v>11</v>
      </c>
      <c r="G16" s="15"/>
      <c r="H16" s="57">
        <f>COUNTIF(H$26:H$178,"Leyland &amp; Chorley 2")</f>
        <v>11</v>
      </c>
      <c r="I16" s="57">
        <f>COUNTIF(F$26:F$101,"Leyland &amp; Chorley 2")</f>
        <v>6</v>
      </c>
      <c r="J16" s="57">
        <f>COUNTIF(F$102:F$178,"Leyland &amp; Chorley 2")</f>
        <v>5</v>
      </c>
      <c r="K16" s="57">
        <f>COUNTIF(H$26:H$101,"Leyland &amp; Chorley 2")</f>
        <v>5</v>
      </c>
      <c r="L16" s="57">
        <f>COUNTIF(H$102:H$178,"Leyland &amp; Chorley 2")</f>
        <v>6</v>
      </c>
    </row>
    <row r="17" spans="1:12" x14ac:dyDescent="0.3">
      <c r="A17" s="47">
        <f>COUNTIF(F$26:H$178,"Leyland &amp; Chorley Development")</f>
        <v>22</v>
      </c>
      <c r="B17" s="103" t="s">
        <v>182</v>
      </c>
      <c r="C17" s="53">
        <v>3900203</v>
      </c>
      <c r="D17" s="57">
        <f>COUNTIF(F$26:I$178,"3900203")</f>
        <v>22</v>
      </c>
      <c r="E17" s="15"/>
      <c r="F17" s="57">
        <f>COUNTIF(F$26:F$178,"Leyland &amp; Chorley Development")</f>
        <v>11</v>
      </c>
      <c r="G17" s="15"/>
      <c r="H17" s="57">
        <f>COUNTIF(H$26:H$178,"Leyland &amp; Chorley Development")</f>
        <v>11</v>
      </c>
      <c r="I17" s="57">
        <f>COUNTIF(F$26:F$101,"Leyland &amp; Chorley Development")</f>
        <v>5</v>
      </c>
      <c r="J17" s="57">
        <f>COUNTIF(F$102:F$178,"Leyland &amp; Chorley Development")</f>
        <v>6</v>
      </c>
      <c r="K17" s="57">
        <f>COUNTIF(H$26:H$101,"Leyland &amp; Chorley Development")</f>
        <v>6</v>
      </c>
      <c r="L17" s="57">
        <f>COUNTIF(H$102:H$178,"Leyland &amp; Chorley Development")</f>
        <v>5</v>
      </c>
    </row>
    <row r="18" spans="1:12" x14ac:dyDescent="0.3">
      <c r="A18" s="47">
        <f>COUNTIF(F$26:H$178,"Lytham St Annes 2")</f>
        <v>22</v>
      </c>
      <c r="B18" s="3" t="s">
        <v>150</v>
      </c>
      <c r="C18" s="74">
        <v>3353706</v>
      </c>
      <c r="D18" s="57">
        <f>COUNTIF(F$26:I$178,"3353706")</f>
        <v>22</v>
      </c>
      <c r="E18" s="15"/>
      <c r="F18" s="57">
        <f>COUNTIF(F$26:F$178,"Lytham St Annes 2")</f>
        <v>11</v>
      </c>
      <c r="G18" s="15"/>
      <c r="H18" s="57">
        <f>COUNTIF(H$26:H$178,"Lytham St Annes 2")</f>
        <v>11</v>
      </c>
      <c r="I18" s="57">
        <f>COUNTIF(F$26:F$101,"Lytham St Annes 2")</f>
        <v>5</v>
      </c>
      <c r="J18" s="57">
        <f>COUNTIF(F$102:F$178,"Lytham St Annes 2")</f>
        <v>6</v>
      </c>
      <c r="K18" s="57">
        <f>COUNTIF(H$26:H$101,"Lytham St Annes 2")</f>
        <v>6</v>
      </c>
      <c r="L18" s="57">
        <f>COUNTIF(H$102:H$178,"Lytham St Annes 2")</f>
        <v>5</v>
      </c>
    </row>
    <row r="19" spans="1:12" x14ac:dyDescent="0.3">
      <c r="A19" s="47">
        <f>COUNTIF(F$26:H$178,"Preston 6")</f>
        <v>22</v>
      </c>
      <c r="B19" s="3" t="s">
        <v>152</v>
      </c>
      <c r="C19" s="74">
        <v>3351302</v>
      </c>
      <c r="D19" s="57">
        <f>COUNTIF(F$26:I$178,"3351302")</f>
        <v>22</v>
      </c>
      <c r="E19" s="59"/>
      <c r="F19" s="57">
        <f>COUNTIF(F$26:F$178,"Preston 6")</f>
        <v>11</v>
      </c>
      <c r="G19" s="15"/>
      <c r="H19" s="57">
        <f>COUNTIF(H$26:H$178,"Preston 6")</f>
        <v>11</v>
      </c>
      <c r="I19" s="57">
        <f>COUNTIF(F$26:F$101,"Preston 6")</f>
        <v>5</v>
      </c>
      <c r="J19" s="57">
        <f>COUNTIF(F$102:F$178,"Preston 6")</f>
        <v>6</v>
      </c>
      <c r="K19" s="57">
        <f>COUNTIF(H$26:H$101,"Preston 6")</f>
        <v>6</v>
      </c>
      <c r="L19" s="57">
        <f>COUNTIF(H$102:H$178,"Preston 6")</f>
        <v>5</v>
      </c>
    </row>
    <row r="20" spans="1:12" x14ac:dyDescent="0.3">
      <c r="A20" s="47">
        <f>COUNTIF(F$26:H$178,"Preston 7")</f>
        <v>22</v>
      </c>
      <c r="B20" s="3" t="s">
        <v>464</v>
      </c>
      <c r="C20" s="74">
        <v>3351406</v>
      </c>
      <c r="D20" s="57">
        <f>COUNTIF(F$26:I$178,"3351406")</f>
        <v>22</v>
      </c>
      <c r="E20" s="59"/>
      <c r="F20" s="57">
        <f>COUNTIF(F$26:F$178,"Preston 7")</f>
        <v>11</v>
      </c>
      <c r="G20" s="15"/>
      <c r="H20" s="57">
        <f>COUNTIF(H$26:H$178,"Preston 7")</f>
        <v>11</v>
      </c>
      <c r="I20" s="57">
        <f>COUNTIF(F$26:F$101,"Preston 7")</f>
        <v>6</v>
      </c>
      <c r="J20" s="57">
        <f>COUNTIF(F$102:F$178,"Preston 7")</f>
        <v>5</v>
      </c>
      <c r="K20" s="57">
        <f>COUNTIF(H$26:H$101,"Preston 7")</f>
        <v>5</v>
      </c>
      <c r="L20" s="57">
        <f>COUNTIF(H$102:H$178,"Preston 7")</f>
        <v>6</v>
      </c>
    </row>
    <row r="21" spans="1:12" x14ac:dyDescent="0.3">
      <c r="A21" s="47">
        <f>COUNTIF(F$26:H$178,"Ulverston South Lakes Development")</f>
        <v>22</v>
      </c>
      <c r="B21" s="3" t="s">
        <v>567</v>
      </c>
      <c r="C21" s="97" t="s">
        <v>556</v>
      </c>
      <c r="D21" s="57">
        <f>COUNTIF(F$26:I$178,"Code")</f>
        <v>22</v>
      </c>
      <c r="E21" s="59"/>
      <c r="F21" s="57">
        <f>COUNTIF(F$26:F$178,"Ulverston South Lakes Development")</f>
        <v>11</v>
      </c>
      <c r="G21" s="15"/>
      <c r="H21" s="57">
        <f>COUNTIF(H$26:H$178,"Ulverston South Lakes Development")</f>
        <v>11</v>
      </c>
      <c r="I21" s="57">
        <f>COUNTIF(F$26:F$101,"Ulverston South Lakes Development")</f>
        <v>5</v>
      </c>
      <c r="J21" s="57">
        <f>COUNTIF(F$102:F$178,"Ulverston South Lakes Development")</f>
        <v>6</v>
      </c>
      <c r="K21" s="57">
        <f>COUNTIF(H$26:H$101,"Ulverston South Lakes Development")</f>
        <v>6</v>
      </c>
      <c r="L21" s="57">
        <f>COUNTIF(H$102:H$178,"Ulverston South Lakes Development")</f>
        <v>5</v>
      </c>
    </row>
    <row r="22" spans="1:12" x14ac:dyDescent="0.3">
      <c r="E22" s="59"/>
      <c r="F22" s="59"/>
      <c r="G22" s="15"/>
      <c r="H22" s="59"/>
      <c r="I22" s="15"/>
    </row>
    <row r="23" spans="1:12" s="3" customFormat="1" ht="21" x14ac:dyDescent="0.4">
      <c r="B23" s="22" t="s">
        <v>93</v>
      </c>
      <c r="E23" s="59"/>
      <c r="F23" s="59"/>
      <c r="G23" s="15"/>
      <c r="H23" s="59"/>
      <c r="I23" s="15"/>
      <c r="K23" s="51"/>
    </row>
    <row r="24" spans="1:12" s="3" customFormat="1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K24" s="51"/>
    </row>
    <row r="25" spans="1:12" s="3" customFormat="1" x14ac:dyDescent="0.3">
      <c r="G25" s="4"/>
      <c r="I25" s="4"/>
      <c r="K25" s="51"/>
    </row>
    <row r="26" spans="1:12" s="3" customFormat="1" x14ac:dyDescent="0.3">
      <c r="B26" s="44">
        <v>45913</v>
      </c>
      <c r="C26" s="3" t="s">
        <v>416</v>
      </c>
      <c r="D26" s="3" t="s">
        <v>491</v>
      </c>
      <c r="E26" s="101"/>
      <c r="F26" s="4" t="s">
        <v>179</v>
      </c>
      <c r="G26" s="4">
        <v>3818900</v>
      </c>
      <c r="H26" s="3" t="s">
        <v>567</v>
      </c>
      <c r="I26" s="4" t="s">
        <v>556</v>
      </c>
      <c r="K26" s="51"/>
    </row>
    <row r="27" spans="1:12" s="3" customFormat="1" x14ac:dyDescent="0.3">
      <c r="B27" s="44">
        <v>45913</v>
      </c>
      <c r="C27" s="3" t="s">
        <v>416</v>
      </c>
      <c r="D27" s="3" t="s">
        <v>491</v>
      </c>
      <c r="E27" s="101"/>
      <c r="F27" s="3" t="s">
        <v>463</v>
      </c>
      <c r="G27" s="74">
        <v>3125500</v>
      </c>
      <c r="H27" s="3" t="s">
        <v>148</v>
      </c>
      <c r="I27" s="4">
        <v>3355402</v>
      </c>
      <c r="K27" s="51"/>
    </row>
    <row r="28" spans="1:12" s="3" customFormat="1" x14ac:dyDescent="0.3">
      <c r="B28" s="44">
        <v>45913</v>
      </c>
      <c r="C28" s="3" t="s">
        <v>416</v>
      </c>
      <c r="D28" s="3" t="s">
        <v>491</v>
      </c>
      <c r="E28" s="101"/>
      <c r="F28" s="4" t="s">
        <v>180</v>
      </c>
      <c r="G28" s="4">
        <v>3355308</v>
      </c>
      <c r="H28" s="3" t="s">
        <v>152</v>
      </c>
      <c r="I28" s="4">
        <v>3351302</v>
      </c>
      <c r="K28" s="51"/>
    </row>
    <row r="29" spans="1:12" s="3" customFormat="1" x14ac:dyDescent="0.3">
      <c r="B29" s="44">
        <v>45913</v>
      </c>
      <c r="C29" s="3" t="s">
        <v>416</v>
      </c>
      <c r="D29" s="3" t="s">
        <v>491</v>
      </c>
      <c r="E29" s="101"/>
      <c r="F29" s="4" t="s">
        <v>464</v>
      </c>
      <c r="G29" s="4">
        <v>3351406</v>
      </c>
      <c r="H29" s="3" t="s">
        <v>150</v>
      </c>
      <c r="I29" s="4">
        <v>3353706</v>
      </c>
      <c r="K29" s="51"/>
    </row>
    <row r="30" spans="1:12" s="3" customFormat="1" x14ac:dyDescent="0.3">
      <c r="B30" s="44">
        <v>45913</v>
      </c>
      <c r="C30" s="3" t="s">
        <v>416</v>
      </c>
      <c r="D30" s="3" t="s">
        <v>491</v>
      </c>
      <c r="E30" s="101"/>
      <c r="F30" s="4" t="s">
        <v>177</v>
      </c>
      <c r="G30" s="4">
        <v>3899709</v>
      </c>
      <c r="H30" s="103" t="s">
        <v>182</v>
      </c>
      <c r="I30" s="53">
        <v>3900203</v>
      </c>
      <c r="K30" s="51"/>
    </row>
    <row r="31" spans="1:12" s="3" customFormat="1" x14ac:dyDescent="0.3">
      <c r="B31" s="44">
        <v>45913</v>
      </c>
      <c r="C31" s="3" t="s">
        <v>416</v>
      </c>
      <c r="D31" s="3" t="s">
        <v>491</v>
      </c>
      <c r="E31" s="101"/>
      <c r="F31" s="4" t="s">
        <v>566</v>
      </c>
      <c r="G31" s="4">
        <v>3560703</v>
      </c>
      <c r="H31" s="3" t="s">
        <v>149</v>
      </c>
      <c r="I31" s="4">
        <v>3354507</v>
      </c>
      <c r="K31" s="51"/>
    </row>
    <row r="32" spans="1:12" s="3" customFormat="1" x14ac:dyDescent="0.3">
      <c r="B32" s="4"/>
      <c r="E32" s="101"/>
      <c r="F32" s="4"/>
      <c r="K32" s="51"/>
    </row>
    <row r="33" spans="2:11" s="3" customFormat="1" x14ac:dyDescent="0.3">
      <c r="B33" s="44">
        <v>45920</v>
      </c>
      <c r="C33" s="3" t="s">
        <v>416</v>
      </c>
      <c r="D33" s="3" t="s">
        <v>491</v>
      </c>
      <c r="E33" s="101"/>
      <c r="F33" s="3" t="s">
        <v>149</v>
      </c>
      <c r="G33" s="4">
        <v>3354507</v>
      </c>
      <c r="H33" s="3" t="s">
        <v>179</v>
      </c>
      <c r="I33" s="4">
        <v>3818900</v>
      </c>
      <c r="K33" s="51"/>
    </row>
    <row r="34" spans="2:11" s="3" customFormat="1" x14ac:dyDescent="0.3">
      <c r="B34" s="44">
        <v>45920</v>
      </c>
      <c r="C34" s="3" t="s">
        <v>416</v>
      </c>
      <c r="D34" s="3" t="s">
        <v>491</v>
      </c>
      <c r="E34" s="101"/>
      <c r="F34" s="103" t="s">
        <v>182</v>
      </c>
      <c r="G34" s="53">
        <v>3900203</v>
      </c>
      <c r="H34" s="4" t="s">
        <v>566</v>
      </c>
      <c r="I34" s="4">
        <v>3560703</v>
      </c>
      <c r="K34" s="51"/>
    </row>
    <row r="35" spans="2:11" s="3" customFormat="1" x14ac:dyDescent="0.3">
      <c r="B35" s="44">
        <v>45920</v>
      </c>
      <c r="C35" s="3" t="s">
        <v>416</v>
      </c>
      <c r="D35" s="3" t="s">
        <v>491</v>
      </c>
      <c r="E35" s="101"/>
      <c r="F35" s="3" t="s">
        <v>150</v>
      </c>
      <c r="G35" s="4">
        <v>3353706</v>
      </c>
      <c r="H35" s="4" t="s">
        <v>177</v>
      </c>
      <c r="I35" s="4">
        <v>3899709</v>
      </c>
      <c r="K35" s="51"/>
    </row>
    <row r="36" spans="2:11" s="3" customFormat="1" x14ac:dyDescent="0.3">
      <c r="B36" s="44">
        <v>45920</v>
      </c>
      <c r="C36" s="3" t="s">
        <v>416</v>
      </c>
      <c r="D36" s="3" t="s">
        <v>491</v>
      </c>
      <c r="E36" s="101"/>
      <c r="F36" s="3" t="s">
        <v>567</v>
      </c>
      <c r="G36" s="4" t="s">
        <v>556</v>
      </c>
      <c r="H36" s="3" t="s">
        <v>463</v>
      </c>
      <c r="I36" s="74">
        <v>3125500</v>
      </c>
      <c r="K36" s="51"/>
    </row>
    <row r="37" spans="2:11" s="3" customFormat="1" x14ac:dyDescent="0.3">
      <c r="B37" s="44">
        <v>45920</v>
      </c>
      <c r="C37" s="3" t="s">
        <v>416</v>
      </c>
      <c r="D37" s="3" t="s">
        <v>491</v>
      </c>
      <c r="E37" s="101"/>
      <c r="F37" s="3" t="s">
        <v>152</v>
      </c>
      <c r="G37" s="4">
        <v>3351302</v>
      </c>
      <c r="H37" s="4" t="s">
        <v>464</v>
      </c>
      <c r="I37" s="4">
        <v>3351406</v>
      </c>
      <c r="K37" s="51"/>
    </row>
    <row r="38" spans="2:11" s="3" customFormat="1" x14ac:dyDescent="0.3">
      <c r="B38" s="44">
        <v>45920</v>
      </c>
      <c r="C38" s="3" t="s">
        <v>416</v>
      </c>
      <c r="D38" s="3" t="s">
        <v>491</v>
      </c>
      <c r="E38" s="101"/>
      <c r="F38" s="3" t="s">
        <v>148</v>
      </c>
      <c r="G38" s="4">
        <v>3355402</v>
      </c>
      <c r="H38" s="4" t="s">
        <v>180</v>
      </c>
      <c r="I38" s="4">
        <v>3355308</v>
      </c>
      <c r="K38" s="51"/>
    </row>
    <row r="39" spans="2:11" s="3" customFormat="1" x14ac:dyDescent="0.3">
      <c r="B39" s="4"/>
      <c r="E39" s="101"/>
      <c r="F39" s="4"/>
      <c r="K39" s="51"/>
    </row>
    <row r="40" spans="2:11" s="3" customFormat="1" x14ac:dyDescent="0.3">
      <c r="B40" s="44">
        <v>45927</v>
      </c>
      <c r="C40" s="3" t="s">
        <v>416</v>
      </c>
      <c r="D40" s="3" t="s">
        <v>491</v>
      </c>
      <c r="E40" s="101"/>
      <c r="F40" s="3" t="s">
        <v>149</v>
      </c>
      <c r="G40" s="4">
        <v>3354507</v>
      </c>
      <c r="H40" s="103" t="s">
        <v>182</v>
      </c>
      <c r="I40" s="53">
        <v>3900203</v>
      </c>
      <c r="K40" s="51"/>
    </row>
    <row r="41" spans="2:11" s="3" customFormat="1" x14ac:dyDescent="0.3">
      <c r="B41" s="44">
        <v>45927</v>
      </c>
      <c r="C41" s="3" t="s">
        <v>416</v>
      </c>
      <c r="D41" s="3" t="s">
        <v>491</v>
      </c>
      <c r="E41" s="101"/>
      <c r="F41" s="3" t="s">
        <v>463</v>
      </c>
      <c r="G41" s="74">
        <v>3125500</v>
      </c>
      <c r="H41" s="3" t="s">
        <v>179</v>
      </c>
      <c r="I41" s="4">
        <v>3818900</v>
      </c>
      <c r="K41" s="51"/>
    </row>
    <row r="42" spans="2:11" s="3" customFormat="1" x14ac:dyDescent="0.3">
      <c r="B42" s="44">
        <v>45927</v>
      </c>
      <c r="C42" s="3" t="s">
        <v>416</v>
      </c>
      <c r="D42" s="3" t="s">
        <v>491</v>
      </c>
      <c r="E42" s="101"/>
      <c r="F42" s="4" t="s">
        <v>180</v>
      </c>
      <c r="G42" s="4">
        <v>3355308</v>
      </c>
      <c r="H42" s="3" t="s">
        <v>567</v>
      </c>
      <c r="I42" s="4" t="s">
        <v>556</v>
      </c>
      <c r="K42" s="51"/>
    </row>
    <row r="43" spans="2:11" s="3" customFormat="1" x14ac:dyDescent="0.3">
      <c r="B43" s="44">
        <v>45927</v>
      </c>
      <c r="C43" s="3" t="s">
        <v>416</v>
      </c>
      <c r="D43" s="3" t="s">
        <v>491</v>
      </c>
      <c r="E43" s="101"/>
      <c r="F43" s="4" t="s">
        <v>464</v>
      </c>
      <c r="G43" s="4">
        <v>3351406</v>
      </c>
      <c r="H43" s="3" t="s">
        <v>148</v>
      </c>
      <c r="I43" s="4">
        <v>3355402</v>
      </c>
      <c r="K43" s="51"/>
    </row>
    <row r="44" spans="2:11" s="3" customFormat="1" x14ac:dyDescent="0.3">
      <c r="B44" s="44">
        <v>45927</v>
      </c>
      <c r="C44" s="3" t="s">
        <v>416</v>
      </c>
      <c r="D44" s="3" t="s">
        <v>491</v>
      </c>
      <c r="E44" s="101"/>
      <c r="F44" s="4" t="s">
        <v>177</v>
      </c>
      <c r="G44" s="4">
        <v>3899709</v>
      </c>
      <c r="H44" s="3" t="s">
        <v>152</v>
      </c>
      <c r="I44" s="4">
        <v>3351302</v>
      </c>
      <c r="K44" s="51"/>
    </row>
    <row r="45" spans="2:11" s="3" customFormat="1" x14ac:dyDescent="0.3">
      <c r="B45" s="44">
        <v>45927</v>
      </c>
      <c r="C45" s="3" t="s">
        <v>416</v>
      </c>
      <c r="D45" s="3" t="s">
        <v>491</v>
      </c>
      <c r="E45" s="101"/>
      <c r="F45" s="4" t="s">
        <v>566</v>
      </c>
      <c r="G45" s="4">
        <v>3560703</v>
      </c>
      <c r="H45" s="3" t="s">
        <v>150</v>
      </c>
      <c r="I45" s="4">
        <v>3353706</v>
      </c>
      <c r="K45" s="51"/>
    </row>
    <row r="46" spans="2:11" s="3" customFormat="1" x14ac:dyDescent="0.3">
      <c r="B46" s="4"/>
      <c r="E46" s="101"/>
      <c r="F46" s="4"/>
      <c r="K46" s="51"/>
    </row>
    <row r="47" spans="2:11" s="3" customFormat="1" x14ac:dyDescent="0.3">
      <c r="B47" s="44">
        <v>45934</v>
      </c>
      <c r="C47" s="3" t="s">
        <v>416</v>
      </c>
      <c r="D47" s="3" t="s">
        <v>491</v>
      </c>
      <c r="E47" s="101"/>
      <c r="F47" s="4" t="s">
        <v>179</v>
      </c>
      <c r="G47" s="4">
        <v>3818900</v>
      </c>
      <c r="H47" s="4" t="s">
        <v>180</v>
      </c>
      <c r="I47" s="4">
        <v>3355308</v>
      </c>
      <c r="K47" s="51"/>
    </row>
    <row r="48" spans="2:11" s="3" customFormat="1" x14ac:dyDescent="0.3">
      <c r="B48" s="44">
        <v>45934</v>
      </c>
      <c r="C48" s="3" t="s">
        <v>416</v>
      </c>
      <c r="D48" s="3" t="s">
        <v>491</v>
      </c>
      <c r="E48" s="101"/>
      <c r="F48" s="3" t="s">
        <v>463</v>
      </c>
      <c r="G48" s="74">
        <v>3125500</v>
      </c>
      <c r="H48" s="3" t="s">
        <v>149</v>
      </c>
      <c r="I48" s="4">
        <v>3354507</v>
      </c>
      <c r="K48" s="51"/>
    </row>
    <row r="49" spans="2:11" s="3" customFormat="1" x14ac:dyDescent="0.3">
      <c r="B49" s="44">
        <v>45934</v>
      </c>
      <c r="C49" s="3" t="s">
        <v>416</v>
      </c>
      <c r="D49" s="3" t="s">
        <v>491</v>
      </c>
      <c r="E49" s="101"/>
      <c r="F49" s="3" t="s">
        <v>150</v>
      </c>
      <c r="G49" s="4">
        <v>3353706</v>
      </c>
      <c r="H49" s="103" t="s">
        <v>182</v>
      </c>
      <c r="I49" s="53">
        <v>3900203</v>
      </c>
      <c r="K49" s="51"/>
    </row>
    <row r="50" spans="2:11" s="3" customFormat="1" x14ac:dyDescent="0.3">
      <c r="B50" s="44">
        <v>45934</v>
      </c>
      <c r="C50" s="3" t="s">
        <v>416</v>
      </c>
      <c r="D50" s="3" t="s">
        <v>491</v>
      </c>
      <c r="E50" s="101"/>
      <c r="F50" s="3" t="s">
        <v>567</v>
      </c>
      <c r="G50" s="4" t="s">
        <v>556</v>
      </c>
      <c r="H50" s="4" t="s">
        <v>464</v>
      </c>
      <c r="I50" s="4">
        <v>3351406</v>
      </c>
      <c r="K50" s="51"/>
    </row>
    <row r="51" spans="2:11" s="3" customFormat="1" x14ac:dyDescent="0.3">
      <c r="B51" s="44">
        <v>45934</v>
      </c>
      <c r="C51" s="3" t="s">
        <v>416</v>
      </c>
      <c r="D51" s="3" t="s">
        <v>491</v>
      </c>
      <c r="E51" s="101"/>
      <c r="F51" s="3" t="s">
        <v>152</v>
      </c>
      <c r="G51" s="4">
        <v>3351302</v>
      </c>
      <c r="H51" s="4" t="s">
        <v>566</v>
      </c>
      <c r="I51" s="4">
        <v>3560703</v>
      </c>
      <c r="K51" s="51"/>
    </row>
    <row r="52" spans="2:11" s="3" customFormat="1" x14ac:dyDescent="0.3">
      <c r="B52" s="44">
        <v>45934</v>
      </c>
      <c r="C52" s="3" t="s">
        <v>416</v>
      </c>
      <c r="D52" s="3" t="s">
        <v>491</v>
      </c>
      <c r="E52" s="101"/>
      <c r="F52" s="3" t="s">
        <v>148</v>
      </c>
      <c r="G52" s="4">
        <v>3355402</v>
      </c>
      <c r="H52" s="4" t="s">
        <v>177</v>
      </c>
      <c r="I52" s="4">
        <v>3899709</v>
      </c>
      <c r="K52" s="51"/>
    </row>
    <row r="53" spans="2:11" s="3" customFormat="1" x14ac:dyDescent="0.3">
      <c r="B53" s="4"/>
      <c r="E53" s="101"/>
      <c r="F53" s="4"/>
      <c r="K53" s="51"/>
    </row>
    <row r="54" spans="2:11" s="3" customFormat="1" x14ac:dyDescent="0.3">
      <c r="B54" s="44">
        <v>45941</v>
      </c>
      <c r="C54" s="3" t="s">
        <v>416</v>
      </c>
      <c r="D54" s="3" t="s">
        <v>491</v>
      </c>
      <c r="E54" s="101"/>
      <c r="F54" s="3" t="s">
        <v>149</v>
      </c>
      <c r="G54" s="4">
        <v>3354507</v>
      </c>
      <c r="H54" s="3" t="s">
        <v>150</v>
      </c>
      <c r="I54" s="4">
        <v>3353706</v>
      </c>
    </row>
    <row r="55" spans="2:11" s="3" customFormat="1" x14ac:dyDescent="0.3">
      <c r="B55" s="44">
        <v>45941</v>
      </c>
      <c r="C55" s="3" t="s">
        <v>416</v>
      </c>
      <c r="D55" s="3" t="s">
        <v>491</v>
      </c>
      <c r="E55" s="101"/>
      <c r="F55" s="103" t="s">
        <v>182</v>
      </c>
      <c r="G55" s="53">
        <v>3900203</v>
      </c>
      <c r="H55" s="3" t="s">
        <v>152</v>
      </c>
      <c r="I55" s="4">
        <v>3351302</v>
      </c>
      <c r="K55" s="51"/>
    </row>
    <row r="56" spans="2:11" s="3" customFormat="1" x14ac:dyDescent="0.3">
      <c r="B56" s="44">
        <v>45941</v>
      </c>
      <c r="C56" s="3" t="s">
        <v>416</v>
      </c>
      <c r="D56" s="3" t="s">
        <v>491</v>
      </c>
      <c r="E56" s="101"/>
      <c r="F56" s="4" t="s">
        <v>180</v>
      </c>
      <c r="G56" s="4">
        <v>3355308</v>
      </c>
      <c r="H56" s="3" t="s">
        <v>463</v>
      </c>
      <c r="I56" s="74">
        <v>3125500</v>
      </c>
      <c r="K56" s="51"/>
    </row>
    <row r="57" spans="2:11" s="3" customFormat="1" x14ac:dyDescent="0.3">
      <c r="B57" s="44">
        <v>45941</v>
      </c>
      <c r="C57" s="3" t="s">
        <v>416</v>
      </c>
      <c r="D57" s="3" t="s">
        <v>491</v>
      </c>
      <c r="E57" s="101"/>
      <c r="F57" s="4" t="s">
        <v>464</v>
      </c>
      <c r="G57" s="4">
        <v>3351406</v>
      </c>
      <c r="H57" s="3" t="s">
        <v>179</v>
      </c>
      <c r="I57" s="4">
        <v>3818900</v>
      </c>
      <c r="K57" s="51"/>
    </row>
    <row r="58" spans="2:11" s="3" customFormat="1" x14ac:dyDescent="0.3">
      <c r="B58" s="44">
        <v>45941</v>
      </c>
      <c r="C58" s="3" t="s">
        <v>416</v>
      </c>
      <c r="D58" s="3" t="s">
        <v>491</v>
      </c>
      <c r="E58" s="101"/>
      <c r="F58" s="4" t="s">
        <v>177</v>
      </c>
      <c r="G58" s="4">
        <v>3899709</v>
      </c>
      <c r="H58" s="3" t="s">
        <v>567</v>
      </c>
      <c r="I58" s="4" t="s">
        <v>556</v>
      </c>
      <c r="K58" s="51"/>
    </row>
    <row r="59" spans="2:11" s="3" customFormat="1" x14ac:dyDescent="0.3">
      <c r="B59" s="44">
        <v>45941</v>
      </c>
      <c r="C59" s="3" t="s">
        <v>416</v>
      </c>
      <c r="D59" s="3" t="s">
        <v>491</v>
      </c>
      <c r="E59" s="101"/>
      <c r="F59" s="4" t="s">
        <v>566</v>
      </c>
      <c r="G59" s="4">
        <v>3560703</v>
      </c>
      <c r="H59" s="3" t="s">
        <v>148</v>
      </c>
      <c r="I59" s="4">
        <v>3355402</v>
      </c>
      <c r="K59" s="51"/>
    </row>
    <row r="60" spans="2:11" s="3" customFormat="1" x14ac:dyDescent="0.3">
      <c r="B60" s="4"/>
      <c r="E60" s="101"/>
      <c r="F60" s="4"/>
      <c r="K60" s="51"/>
    </row>
    <row r="61" spans="2:11" s="3" customFormat="1" x14ac:dyDescent="0.3">
      <c r="B61" s="44">
        <v>45948</v>
      </c>
      <c r="C61" s="3" t="s">
        <v>416</v>
      </c>
      <c r="D61" s="3" t="s">
        <v>491</v>
      </c>
      <c r="E61" s="101"/>
      <c r="F61" s="4" t="s">
        <v>179</v>
      </c>
      <c r="G61" s="4">
        <v>3818900</v>
      </c>
      <c r="H61" s="4" t="s">
        <v>177</v>
      </c>
      <c r="I61" s="4">
        <v>3899709</v>
      </c>
      <c r="K61" s="51"/>
    </row>
    <row r="62" spans="2:11" s="3" customFormat="1" x14ac:dyDescent="0.3">
      <c r="B62" s="44">
        <v>45948</v>
      </c>
      <c r="C62" s="3" t="s">
        <v>416</v>
      </c>
      <c r="D62" s="3" t="s">
        <v>491</v>
      </c>
      <c r="E62" s="101"/>
      <c r="F62" s="3" t="s">
        <v>463</v>
      </c>
      <c r="G62" s="74">
        <v>3125500</v>
      </c>
      <c r="H62" s="4" t="s">
        <v>464</v>
      </c>
      <c r="I62" s="4">
        <v>3351406</v>
      </c>
      <c r="K62" s="51"/>
    </row>
    <row r="63" spans="2:11" s="3" customFormat="1" x14ac:dyDescent="0.3">
      <c r="B63" s="44">
        <v>45948</v>
      </c>
      <c r="C63" s="3" t="s">
        <v>416</v>
      </c>
      <c r="D63" s="3" t="s">
        <v>491</v>
      </c>
      <c r="E63" s="101"/>
      <c r="F63" s="4" t="s">
        <v>180</v>
      </c>
      <c r="G63" s="4">
        <v>3355308</v>
      </c>
      <c r="H63" s="3" t="s">
        <v>149</v>
      </c>
      <c r="I63" s="4">
        <v>3354507</v>
      </c>
      <c r="K63" s="51"/>
    </row>
    <row r="64" spans="2:11" s="3" customFormat="1" x14ac:dyDescent="0.3">
      <c r="B64" s="44">
        <v>45948</v>
      </c>
      <c r="C64" s="3" t="s">
        <v>416</v>
      </c>
      <c r="D64" s="3" t="s">
        <v>491</v>
      </c>
      <c r="E64" s="101"/>
      <c r="F64" s="3" t="s">
        <v>567</v>
      </c>
      <c r="G64" s="4" t="s">
        <v>556</v>
      </c>
      <c r="H64" s="4" t="s">
        <v>566</v>
      </c>
      <c r="I64" s="4">
        <v>3560703</v>
      </c>
      <c r="K64" s="51"/>
    </row>
    <row r="65" spans="2:11" s="3" customFormat="1" x14ac:dyDescent="0.3">
      <c r="B65" s="44">
        <v>45948</v>
      </c>
      <c r="C65" s="3" t="s">
        <v>416</v>
      </c>
      <c r="D65" s="3" t="s">
        <v>491</v>
      </c>
      <c r="E65" s="101"/>
      <c r="F65" s="3" t="s">
        <v>152</v>
      </c>
      <c r="G65" s="4">
        <v>3351302</v>
      </c>
      <c r="H65" s="3" t="s">
        <v>150</v>
      </c>
      <c r="I65" s="4">
        <v>3353706</v>
      </c>
    </row>
    <row r="66" spans="2:11" s="3" customFormat="1" x14ac:dyDescent="0.3">
      <c r="B66" s="44">
        <v>45948</v>
      </c>
      <c r="C66" s="3" t="s">
        <v>416</v>
      </c>
      <c r="D66" s="3" t="s">
        <v>491</v>
      </c>
      <c r="E66" s="101"/>
      <c r="F66" s="3" t="s">
        <v>148</v>
      </c>
      <c r="G66" s="4">
        <v>3355402</v>
      </c>
      <c r="H66" s="103" t="s">
        <v>182</v>
      </c>
      <c r="I66" s="53">
        <v>3900203</v>
      </c>
    </row>
    <row r="67" spans="2:11" s="3" customFormat="1" x14ac:dyDescent="0.3">
      <c r="B67" s="4"/>
      <c r="E67" s="101"/>
      <c r="F67" s="4"/>
    </row>
    <row r="68" spans="2:11" s="3" customFormat="1" x14ac:dyDescent="0.3">
      <c r="B68" s="44">
        <v>45962</v>
      </c>
      <c r="C68" s="3" t="s">
        <v>416</v>
      </c>
      <c r="D68" s="3" t="s">
        <v>491</v>
      </c>
      <c r="E68" s="101"/>
      <c r="F68" s="3" t="s">
        <v>149</v>
      </c>
      <c r="G68" s="4">
        <v>3354507</v>
      </c>
      <c r="H68" s="3" t="s">
        <v>152</v>
      </c>
      <c r="I68" s="4">
        <v>3351302</v>
      </c>
    </row>
    <row r="69" spans="2:11" s="3" customFormat="1" x14ac:dyDescent="0.3">
      <c r="B69" s="44">
        <v>45962</v>
      </c>
      <c r="C69" s="3" t="s">
        <v>416</v>
      </c>
      <c r="D69" s="3" t="s">
        <v>491</v>
      </c>
      <c r="E69" s="101"/>
      <c r="F69" s="103" t="s">
        <v>182</v>
      </c>
      <c r="G69" s="53">
        <v>3900203</v>
      </c>
      <c r="H69" s="3" t="s">
        <v>567</v>
      </c>
      <c r="I69" s="4" t="s">
        <v>556</v>
      </c>
    </row>
    <row r="70" spans="2:11" s="3" customFormat="1" x14ac:dyDescent="0.3">
      <c r="B70" s="44">
        <v>45962</v>
      </c>
      <c r="C70" s="3" t="s">
        <v>416</v>
      </c>
      <c r="D70" s="3" t="s">
        <v>491</v>
      </c>
      <c r="E70" s="101"/>
      <c r="F70" s="3" t="s">
        <v>150</v>
      </c>
      <c r="G70" s="4">
        <v>3353706</v>
      </c>
      <c r="H70" s="3" t="s">
        <v>148</v>
      </c>
      <c r="I70" s="4">
        <v>3355402</v>
      </c>
    </row>
    <row r="71" spans="2:11" s="3" customFormat="1" x14ac:dyDescent="0.3">
      <c r="B71" s="44">
        <v>45962</v>
      </c>
      <c r="C71" s="3" t="s">
        <v>416</v>
      </c>
      <c r="D71" s="3" t="s">
        <v>491</v>
      </c>
      <c r="E71" s="101"/>
      <c r="F71" s="4" t="s">
        <v>464</v>
      </c>
      <c r="G71" s="4">
        <v>3351406</v>
      </c>
      <c r="H71" s="4" t="s">
        <v>180</v>
      </c>
      <c r="I71" s="4">
        <v>3355308</v>
      </c>
      <c r="K71" s="51"/>
    </row>
    <row r="72" spans="2:11" s="3" customFormat="1" x14ac:dyDescent="0.3">
      <c r="B72" s="44">
        <v>45962</v>
      </c>
      <c r="C72" s="3" t="s">
        <v>416</v>
      </c>
      <c r="D72" s="3" t="s">
        <v>491</v>
      </c>
      <c r="E72" s="101"/>
      <c r="F72" s="4" t="s">
        <v>177</v>
      </c>
      <c r="G72" s="4">
        <v>3899709</v>
      </c>
      <c r="H72" s="3" t="s">
        <v>463</v>
      </c>
      <c r="I72" s="74">
        <v>3125500</v>
      </c>
      <c r="K72" s="51"/>
    </row>
    <row r="73" spans="2:11" s="3" customFormat="1" x14ac:dyDescent="0.3">
      <c r="B73" s="44">
        <v>45962</v>
      </c>
      <c r="C73" s="3" t="s">
        <v>416</v>
      </c>
      <c r="D73" s="3" t="s">
        <v>491</v>
      </c>
      <c r="E73" s="101"/>
      <c r="F73" s="4" t="s">
        <v>566</v>
      </c>
      <c r="G73" s="4">
        <v>3560703</v>
      </c>
      <c r="H73" s="3" t="s">
        <v>179</v>
      </c>
      <c r="I73" s="4">
        <v>3818900</v>
      </c>
      <c r="K73" s="51"/>
    </row>
    <row r="74" spans="2:11" s="3" customFormat="1" x14ac:dyDescent="0.3">
      <c r="B74" s="4"/>
      <c r="E74" s="101"/>
      <c r="F74" s="4"/>
      <c r="K74" s="51"/>
    </row>
    <row r="75" spans="2:11" s="3" customFormat="1" x14ac:dyDescent="0.3">
      <c r="B75" s="44">
        <v>45969</v>
      </c>
      <c r="C75" s="3" t="s">
        <v>416</v>
      </c>
      <c r="D75" s="3" t="s">
        <v>491</v>
      </c>
      <c r="E75" s="101"/>
      <c r="F75" s="4" t="s">
        <v>179</v>
      </c>
      <c r="G75" s="4">
        <v>3818900</v>
      </c>
      <c r="H75" s="103" t="s">
        <v>182</v>
      </c>
      <c r="I75" s="53">
        <v>3900203</v>
      </c>
      <c r="K75" s="51"/>
    </row>
    <row r="76" spans="2:11" s="3" customFormat="1" x14ac:dyDescent="0.3">
      <c r="B76" s="44">
        <v>45969</v>
      </c>
      <c r="C76" s="3" t="s">
        <v>416</v>
      </c>
      <c r="D76" s="3" t="s">
        <v>491</v>
      </c>
      <c r="E76" s="101"/>
      <c r="F76" s="3" t="s">
        <v>463</v>
      </c>
      <c r="G76" s="74">
        <v>3125500</v>
      </c>
      <c r="H76" s="4" t="s">
        <v>566</v>
      </c>
      <c r="I76" s="4">
        <v>3560703</v>
      </c>
    </row>
    <row r="77" spans="2:11" s="3" customFormat="1" x14ac:dyDescent="0.3">
      <c r="B77" s="44">
        <v>45969</v>
      </c>
      <c r="C77" s="3" t="s">
        <v>416</v>
      </c>
      <c r="D77" s="3" t="s">
        <v>491</v>
      </c>
      <c r="E77" s="101"/>
      <c r="F77" s="4" t="s">
        <v>180</v>
      </c>
      <c r="G77" s="4">
        <v>3355308</v>
      </c>
      <c r="H77" s="4" t="s">
        <v>177</v>
      </c>
      <c r="I77" s="4">
        <v>3899709</v>
      </c>
    </row>
    <row r="78" spans="2:11" s="3" customFormat="1" x14ac:dyDescent="0.3">
      <c r="B78" s="44">
        <v>45969</v>
      </c>
      <c r="C78" s="3" t="s">
        <v>416</v>
      </c>
      <c r="D78" s="3" t="s">
        <v>491</v>
      </c>
      <c r="E78" s="101"/>
      <c r="F78" s="4" t="s">
        <v>464</v>
      </c>
      <c r="G78" s="4">
        <v>3351406</v>
      </c>
      <c r="H78" s="3" t="s">
        <v>149</v>
      </c>
      <c r="I78" s="4">
        <v>3354507</v>
      </c>
    </row>
    <row r="79" spans="2:11" s="3" customFormat="1" x14ac:dyDescent="0.3">
      <c r="B79" s="44">
        <v>45969</v>
      </c>
      <c r="C79" s="3" t="s">
        <v>416</v>
      </c>
      <c r="D79" s="3" t="s">
        <v>491</v>
      </c>
      <c r="E79" s="101"/>
      <c r="F79" s="3" t="s">
        <v>567</v>
      </c>
      <c r="G79" s="4" t="s">
        <v>556</v>
      </c>
      <c r="H79" s="3" t="s">
        <v>150</v>
      </c>
      <c r="I79" s="4">
        <v>3353706</v>
      </c>
      <c r="K79" s="51"/>
    </row>
    <row r="80" spans="2:11" s="3" customFormat="1" x14ac:dyDescent="0.3">
      <c r="B80" s="44">
        <v>45969</v>
      </c>
      <c r="C80" s="3" t="s">
        <v>416</v>
      </c>
      <c r="D80" s="3" t="s">
        <v>491</v>
      </c>
      <c r="E80" s="101"/>
      <c r="F80" s="3" t="s">
        <v>148</v>
      </c>
      <c r="G80" s="4">
        <v>3355402</v>
      </c>
      <c r="H80" s="3" t="s">
        <v>152</v>
      </c>
      <c r="I80" s="4">
        <v>3351302</v>
      </c>
      <c r="K80" s="51"/>
    </row>
    <row r="81" spans="2:11" s="3" customFormat="1" x14ac:dyDescent="0.3">
      <c r="B81" s="4"/>
      <c r="E81" s="101"/>
      <c r="F81" s="4"/>
      <c r="K81" s="51"/>
    </row>
    <row r="82" spans="2:11" s="3" customFormat="1" x14ac:dyDescent="0.3">
      <c r="B82" s="44">
        <v>45976</v>
      </c>
      <c r="C82" s="3" t="s">
        <v>416</v>
      </c>
      <c r="D82" s="3" t="s">
        <v>491</v>
      </c>
      <c r="E82" s="101"/>
      <c r="F82" s="3" t="s">
        <v>149</v>
      </c>
      <c r="G82" s="4">
        <v>3354507</v>
      </c>
      <c r="H82" s="3" t="s">
        <v>148</v>
      </c>
      <c r="I82" s="4">
        <v>3355402</v>
      </c>
    </row>
    <row r="83" spans="2:11" s="3" customFormat="1" x14ac:dyDescent="0.3">
      <c r="B83" s="44">
        <v>45976</v>
      </c>
      <c r="C83" s="3" t="s">
        <v>416</v>
      </c>
      <c r="D83" s="3" t="s">
        <v>491</v>
      </c>
      <c r="E83" s="101"/>
      <c r="F83" s="103" t="s">
        <v>182</v>
      </c>
      <c r="G83" s="53">
        <v>3900203</v>
      </c>
      <c r="H83" s="3" t="s">
        <v>463</v>
      </c>
      <c r="I83" s="74">
        <v>3125500</v>
      </c>
    </row>
    <row r="84" spans="2:11" s="3" customFormat="1" x14ac:dyDescent="0.3">
      <c r="B84" s="44">
        <v>45976</v>
      </c>
      <c r="C84" s="3" t="s">
        <v>416</v>
      </c>
      <c r="D84" s="3" t="s">
        <v>491</v>
      </c>
      <c r="E84" s="101"/>
      <c r="F84" s="3" t="s">
        <v>150</v>
      </c>
      <c r="G84" s="4">
        <v>3353706</v>
      </c>
      <c r="H84" s="3" t="s">
        <v>179</v>
      </c>
      <c r="I84" s="4">
        <v>3818900</v>
      </c>
      <c r="K84" s="51"/>
    </row>
    <row r="85" spans="2:11" s="3" customFormat="1" x14ac:dyDescent="0.3">
      <c r="B85" s="44">
        <v>45976</v>
      </c>
      <c r="C85" s="3" t="s">
        <v>416</v>
      </c>
      <c r="D85" s="3" t="s">
        <v>491</v>
      </c>
      <c r="E85" s="101"/>
      <c r="F85" s="4" t="s">
        <v>177</v>
      </c>
      <c r="G85" s="4">
        <v>3899709</v>
      </c>
      <c r="H85" s="4" t="s">
        <v>464</v>
      </c>
      <c r="I85" s="4">
        <v>3351406</v>
      </c>
      <c r="K85" s="51"/>
    </row>
    <row r="86" spans="2:11" s="3" customFormat="1" x14ac:dyDescent="0.3">
      <c r="B86" s="44">
        <v>45976</v>
      </c>
      <c r="C86" s="3" t="s">
        <v>416</v>
      </c>
      <c r="D86" s="3" t="s">
        <v>491</v>
      </c>
      <c r="E86" s="101"/>
      <c r="F86" s="4" t="s">
        <v>566</v>
      </c>
      <c r="G86" s="4">
        <v>3560703</v>
      </c>
      <c r="H86" s="4" t="s">
        <v>180</v>
      </c>
      <c r="I86" s="4">
        <v>3355308</v>
      </c>
      <c r="K86" s="51"/>
    </row>
    <row r="87" spans="2:11" s="3" customFormat="1" x14ac:dyDescent="0.3">
      <c r="B87" s="44">
        <v>45976</v>
      </c>
      <c r="C87" s="3" t="s">
        <v>416</v>
      </c>
      <c r="D87" s="3" t="s">
        <v>491</v>
      </c>
      <c r="E87" s="101"/>
      <c r="F87" s="3" t="s">
        <v>152</v>
      </c>
      <c r="G87" s="4">
        <v>3351302</v>
      </c>
      <c r="H87" s="3" t="s">
        <v>567</v>
      </c>
      <c r="I87" s="4" t="s">
        <v>556</v>
      </c>
      <c r="K87" s="51"/>
    </row>
    <row r="88" spans="2:11" s="3" customFormat="1" x14ac:dyDescent="0.3">
      <c r="B88" s="4"/>
      <c r="E88" s="101"/>
      <c r="F88" s="4"/>
      <c r="K88" s="51"/>
    </row>
    <row r="89" spans="2:11" s="3" customFormat="1" x14ac:dyDescent="0.3">
      <c r="B89" s="44">
        <v>45983</v>
      </c>
      <c r="C89" s="3" t="s">
        <v>416</v>
      </c>
      <c r="D89" s="3" t="s">
        <v>491</v>
      </c>
      <c r="E89" s="101"/>
      <c r="F89" s="4" t="s">
        <v>179</v>
      </c>
      <c r="G89" s="4">
        <v>3818900</v>
      </c>
      <c r="H89" s="3" t="s">
        <v>152</v>
      </c>
      <c r="I89" s="4">
        <v>3351302</v>
      </c>
    </row>
    <row r="90" spans="2:11" s="3" customFormat="1" x14ac:dyDescent="0.3">
      <c r="B90" s="44">
        <v>45983</v>
      </c>
      <c r="C90" s="3" t="s">
        <v>416</v>
      </c>
      <c r="D90" s="3" t="s">
        <v>491</v>
      </c>
      <c r="E90" s="101"/>
      <c r="F90" s="3" t="s">
        <v>463</v>
      </c>
      <c r="G90" s="74">
        <v>3125500</v>
      </c>
      <c r="H90" s="3" t="s">
        <v>150</v>
      </c>
      <c r="I90" s="4">
        <v>3353706</v>
      </c>
      <c r="K90" s="51"/>
    </row>
    <row r="91" spans="2:11" s="3" customFormat="1" x14ac:dyDescent="0.3">
      <c r="B91" s="44">
        <v>45983</v>
      </c>
      <c r="C91" s="3" t="s">
        <v>416</v>
      </c>
      <c r="D91" s="3" t="s">
        <v>491</v>
      </c>
      <c r="E91" s="101"/>
      <c r="F91" s="4" t="s">
        <v>180</v>
      </c>
      <c r="G91" s="4">
        <v>3355308</v>
      </c>
      <c r="H91" s="103" t="s">
        <v>182</v>
      </c>
      <c r="I91" s="53">
        <v>3900203</v>
      </c>
      <c r="K91" s="51"/>
    </row>
    <row r="92" spans="2:11" s="3" customFormat="1" x14ac:dyDescent="0.3">
      <c r="B92" s="44">
        <v>45983</v>
      </c>
      <c r="C92" s="3" t="s">
        <v>416</v>
      </c>
      <c r="D92" s="3" t="s">
        <v>491</v>
      </c>
      <c r="E92" s="101"/>
      <c r="F92" s="4" t="s">
        <v>464</v>
      </c>
      <c r="G92" s="4">
        <v>3351406</v>
      </c>
      <c r="H92" s="4" t="s">
        <v>566</v>
      </c>
      <c r="I92" s="4">
        <v>3560703</v>
      </c>
      <c r="K92" s="51"/>
    </row>
    <row r="93" spans="2:11" s="3" customFormat="1" x14ac:dyDescent="0.3">
      <c r="B93" s="44">
        <v>45983</v>
      </c>
      <c r="C93" s="3" t="s">
        <v>416</v>
      </c>
      <c r="D93" s="3" t="s">
        <v>491</v>
      </c>
      <c r="E93" s="101"/>
      <c r="F93" s="4" t="s">
        <v>177</v>
      </c>
      <c r="G93" s="4">
        <v>3899709</v>
      </c>
      <c r="H93" s="3" t="s">
        <v>149</v>
      </c>
      <c r="I93" s="4">
        <v>3354507</v>
      </c>
      <c r="K93" s="51"/>
    </row>
    <row r="94" spans="2:11" s="3" customFormat="1" x14ac:dyDescent="0.3">
      <c r="B94" s="44">
        <v>45983</v>
      </c>
      <c r="C94" s="3" t="s">
        <v>416</v>
      </c>
      <c r="D94" s="3" t="s">
        <v>491</v>
      </c>
      <c r="E94" s="101"/>
      <c r="F94" s="3" t="s">
        <v>567</v>
      </c>
      <c r="G94" s="4" t="s">
        <v>556</v>
      </c>
      <c r="H94" s="3" t="s">
        <v>148</v>
      </c>
      <c r="I94" s="4">
        <v>3355402</v>
      </c>
    </row>
    <row r="95" spans="2:11" s="3" customFormat="1" x14ac:dyDescent="0.3">
      <c r="B95" s="4"/>
      <c r="E95" s="101"/>
      <c r="F95" s="4"/>
    </row>
    <row r="96" spans="2:11" s="3" customFormat="1" x14ac:dyDescent="0.3">
      <c r="B96" s="44">
        <v>45990</v>
      </c>
      <c r="C96" s="3" t="s">
        <v>416</v>
      </c>
      <c r="D96" s="3" t="s">
        <v>491</v>
      </c>
      <c r="E96" s="101"/>
      <c r="F96" s="3" t="s">
        <v>149</v>
      </c>
      <c r="G96" s="4">
        <v>3354507</v>
      </c>
      <c r="H96" s="3" t="s">
        <v>567</v>
      </c>
      <c r="I96" s="4" t="s">
        <v>556</v>
      </c>
    </row>
    <row r="97" spans="2:11" s="3" customFormat="1" x14ac:dyDescent="0.3">
      <c r="B97" s="44">
        <v>45990</v>
      </c>
      <c r="C97" s="3" t="s">
        <v>416</v>
      </c>
      <c r="D97" s="3" t="s">
        <v>491</v>
      </c>
      <c r="E97" s="101"/>
      <c r="F97" s="103" t="s">
        <v>182</v>
      </c>
      <c r="G97" s="53">
        <v>3900203</v>
      </c>
      <c r="H97" s="4" t="s">
        <v>464</v>
      </c>
      <c r="I97" s="4">
        <v>3351406</v>
      </c>
    </row>
    <row r="98" spans="2:11" s="3" customFormat="1" x14ac:dyDescent="0.3">
      <c r="B98" s="44">
        <v>45990</v>
      </c>
      <c r="C98" s="3" t="s">
        <v>416</v>
      </c>
      <c r="D98" s="3" t="s">
        <v>491</v>
      </c>
      <c r="E98" s="101"/>
      <c r="F98" s="3" t="s">
        <v>150</v>
      </c>
      <c r="G98" s="4">
        <v>3353706</v>
      </c>
      <c r="H98" s="4" t="s">
        <v>180</v>
      </c>
      <c r="I98" s="4">
        <v>3355308</v>
      </c>
      <c r="K98" s="51"/>
    </row>
    <row r="99" spans="2:11" s="3" customFormat="1" x14ac:dyDescent="0.3">
      <c r="B99" s="44">
        <v>45990</v>
      </c>
      <c r="C99" s="3" t="s">
        <v>416</v>
      </c>
      <c r="D99" s="3" t="s">
        <v>491</v>
      </c>
      <c r="E99" s="101"/>
      <c r="F99" s="4" t="s">
        <v>566</v>
      </c>
      <c r="G99" s="4">
        <v>3560703</v>
      </c>
      <c r="H99" s="4" t="s">
        <v>177</v>
      </c>
      <c r="I99" s="4">
        <v>3899709</v>
      </c>
      <c r="K99" s="51"/>
    </row>
    <row r="100" spans="2:11" s="3" customFormat="1" x14ac:dyDescent="0.3">
      <c r="B100" s="44">
        <v>45990</v>
      </c>
      <c r="C100" s="3" t="s">
        <v>416</v>
      </c>
      <c r="D100" s="3" t="s">
        <v>491</v>
      </c>
      <c r="E100" s="101"/>
      <c r="F100" s="3" t="s">
        <v>152</v>
      </c>
      <c r="G100" s="4">
        <v>3351302</v>
      </c>
      <c r="H100" s="3" t="s">
        <v>463</v>
      </c>
      <c r="I100" s="74">
        <v>3125500</v>
      </c>
      <c r="K100" s="51"/>
    </row>
    <row r="101" spans="2:11" s="3" customFormat="1" x14ac:dyDescent="0.3">
      <c r="B101" s="44">
        <v>45990</v>
      </c>
      <c r="C101" s="3" t="s">
        <v>416</v>
      </c>
      <c r="D101" s="3" t="s">
        <v>491</v>
      </c>
      <c r="E101" s="101"/>
      <c r="F101" s="3" t="s">
        <v>148</v>
      </c>
      <c r="G101" s="4">
        <v>3355402</v>
      </c>
      <c r="H101" s="4" t="s">
        <v>179</v>
      </c>
      <c r="I101" s="4">
        <v>3818900</v>
      </c>
      <c r="K101" s="51"/>
    </row>
    <row r="102" spans="2:11" s="3" customFormat="1" x14ac:dyDescent="0.3">
      <c r="B102" s="4"/>
      <c r="E102" s="42"/>
      <c r="F102" s="4"/>
      <c r="K102" s="51"/>
    </row>
    <row r="103" spans="2:11" s="3" customFormat="1" x14ac:dyDescent="0.3">
      <c r="B103" s="44">
        <v>46032</v>
      </c>
      <c r="C103" s="3" t="s">
        <v>416</v>
      </c>
      <c r="D103" s="3" t="s">
        <v>491</v>
      </c>
      <c r="E103" s="101"/>
      <c r="F103" s="3" t="s">
        <v>149</v>
      </c>
      <c r="G103" s="4">
        <v>3354507</v>
      </c>
      <c r="H103" s="4" t="s">
        <v>566</v>
      </c>
      <c r="I103" s="4">
        <v>3560703</v>
      </c>
      <c r="K103" s="51"/>
    </row>
    <row r="104" spans="2:11" s="3" customFormat="1" x14ac:dyDescent="0.3">
      <c r="B104" s="44">
        <v>46032</v>
      </c>
      <c r="C104" s="3" t="s">
        <v>416</v>
      </c>
      <c r="D104" s="3" t="s">
        <v>491</v>
      </c>
      <c r="E104" s="101"/>
      <c r="F104" s="103" t="s">
        <v>182</v>
      </c>
      <c r="G104" s="53">
        <v>3900203</v>
      </c>
      <c r="H104" s="4" t="s">
        <v>177</v>
      </c>
      <c r="I104" s="4">
        <v>3899709</v>
      </c>
      <c r="K104" s="51"/>
    </row>
    <row r="105" spans="2:11" s="3" customFormat="1" x14ac:dyDescent="0.3">
      <c r="B105" s="44">
        <v>46032</v>
      </c>
      <c r="C105" s="3" t="s">
        <v>416</v>
      </c>
      <c r="D105" s="3" t="s">
        <v>491</v>
      </c>
      <c r="E105" s="101"/>
      <c r="F105" s="3" t="s">
        <v>150</v>
      </c>
      <c r="G105" s="4">
        <v>3353706</v>
      </c>
      <c r="H105" s="4" t="s">
        <v>464</v>
      </c>
      <c r="I105" s="4">
        <v>3351406</v>
      </c>
      <c r="K105" s="51"/>
    </row>
    <row r="106" spans="2:11" s="3" customFormat="1" x14ac:dyDescent="0.3">
      <c r="B106" s="44">
        <v>46032</v>
      </c>
      <c r="C106" s="3" t="s">
        <v>416</v>
      </c>
      <c r="D106" s="3" t="s">
        <v>491</v>
      </c>
      <c r="E106" s="101"/>
      <c r="F106" s="3" t="s">
        <v>567</v>
      </c>
      <c r="G106" s="4" t="s">
        <v>556</v>
      </c>
      <c r="H106" s="3" t="s">
        <v>179</v>
      </c>
      <c r="I106" s="4">
        <v>3818900</v>
      </c>
      <c r="K106" s="51"/>
    </row>
    <row r="107" spans="2:11" s="3" customFormat="1" x14ac:dyDescent="0.3">
      <c r="B107" s="44">
        <v>46032</v>
      </c>
      <c r="C107" s="3" t="s">
        <v>416</v>
      </c>
      <c r="D107" s="3" t="s">
        <v>491</v>
      </c>
      <c r="E107" s="101"/>
      <c r="F107" s="3" t="s">
        <v>152</v>
      </c>
      <c r="G107" s="4">
        <v>3351302</v>
      </c>
      <c r="H107" s="4" t="s">
        <v>180</v>
      </c>
      <c r="I107" s="4">
        <v>3355308</v>
      </c>
    </row>
    <row r="108" spans="2:11" s="3" customFormat="1" x14ac:dyDescent="0.3">
      <c r="B108" s="44">
        <v>46032</v>
      </c>
      <c r="C108" s="3" t="s">
        <v>416</v>
      </c>
      <c r="D108" s="3" t="s">
        <v>491</v>
      </c>
      <c r="E108" s="101"/>
      <c r="F108" s="3" t="s">
        <v>148</v>
      </c>
      <c r="G108" s="4">
        <v>3355402</v>
      </c>
      <c r="H108" s="3" t="s">
        <v>463</v>
      </c>
      <c r="I108" s="74">
        <v>3125500</v>
      </c>
    </row>
    <row r="109" spans="2:11" s="3" customFormat="1" x14ac:dyDescent="0.3">
      <c r="B109" s="4"/>
      <c r="E109" s="101"/>
      <c r="F109" s="4"/>
    </row>
    <row r="110" spans="2:11" s="3" customFormat="1" x14ac:dyDescent="0.3">
      <c r="B110" s="44">
        <v>46039</v>
      </c>
      <c r="C110" s="3" t="s">
        <v>416</v>
      </c>
      <c r="D110" s="3" t="s">
        <v>491</v>
      </c>
      <c r="E110" s="101"/>
      <c r="F110" s="4" t="s">
        <v>179</v>
      </c>
      <c r="G110" s="4">
        <v>3818900</v>
      </c>
      <c r="H110" s="3" t="s">
        <v>149</v>
      </c>
      <c r="I110" s="4">
        <v>3354507</v>
      </c>
      <c r="K110" s="51"/>
    </row>
    <row r="111" spans="2:11" s="3" customFormat="1" x14ac:dyDescent="0.3">
      <c r="B111" s="44">
        <v>46039</v>
      </c>
      <c r="C111" s="3" t="s">
        <v>416</v>
      </c>
      <c r="D111" s="3" t="s">
        <v>491</v>
      </c>
      <c r="E111" s="101"/>
      <c r="F111" s="3" t="s">
        <v>463</v>
      </c>
      <c r="G111" s="74">
        <v>3125500</v>
      </c>
      <c r="H111" s="3" t="s">
        <v>567</v>
      </c>
      <c r="I111" s="4" t="s">
        <v>556</v>
      </c>
      <c r="K111" s="51"/>
    </row>
    <row r="112" spans="2:11" s="3" customFormat="1" x14ac:dyDescent="0.3">
      <c r="B112" s="44">
        <v>46039</v>
      </c>
      <c r="C112" s="3" t="s">
        <v>416</v>
      </c>
      <c r="D112" s="3" t="s">
        <v>491</v>
      </c>
      <c r="E112" s="101"/>
      <c r="F112" s="4" t="s">
        <v>180</v>
      </c>
      <c r="G112" s="4">
        <v>3355308</v>
      </c>
      <c r="H112" s="3" t="s">
        <v>148</v>
      </c>
      <c r="I112" s="4">
        <v>3355402</v>
      </c>
      <c r="K112" s="51"/>
    </row>
    <row r="113" spans="2:11" s="3" customFormat="1" x14ac:dyDescent="0.3">
      <c r="B113" s="44">
        <v>46039</v>
      </c>
      <c r="C113" s="3" t="s">
        <v>416</v>
      </c>
      <c r="D113" s="3" t="s">
        <v>491</v>
      </c>
      <c r="E113" s="101"/>
      <c r="F113" s="4" t="s">
        <v>464</v>
      </c>
      <c r="G113" s="4">
        <v>3351406</v>
      </c>
      <c r="H113" s="3" t="s">
        <v>152</v>
      </c>
      <c r="I113" s="4">
        <v>3351302</v>
      </c>
      <c r="K113" s="51"/>
    </row>
    <row r="114" spans="2:11" s="3" customFormat="1" x14ac:dyDescent="0.3">
      <c r="B114" s="44">
        <v>46039</v>
      </c>
      <c r="C114" s="3" t="s">
        <v>416</v>
      </c>
      <c r="D114" s="3" t="s">
        <v>491</v>
      </c>
      <c r="E114" s="101"/>
      <c r="F114" s="4" t="s">
        <v>177</v>
      </c>
      <c r="G114" s="4">
        <v>3899709</v>
      </c>
      <c r="H114" s="3" t="s">
        <v>150</v>
      </c>
      <c r="I114" s="4">
        <v>3353706</v>
      </c>
      <c r="K114" s="51"/>
    </row>
    <row r="115" spans="2:11" s="3" customFormat="1" x14ac:dyDescent="0.3">
      <c r="B115" s="44">
        <v>46039</v>
      </c>
      <c r="C115" s="3" t="s">
        <v>416</v>
      </c>
      <c r="D115" s="3" t="s">
        <v>491</v>
      </c>
      <c r="E115" s="101"/>
      <c r="F115" s="4" t="s">
        <v>566</v>
      </c>
      <c r="G115" s="4">
        <v>3560703</v>
      </c>
      <c r="H115" s="103" t="s">
        <v>182</v>
      </c>
      <c r="I115" s="53">
        <v>3900203</v>
      </c>
      <c r="K115" s="51"/>
    </row>
    <row r="116" spans="2:11" s="3" customFormat="1" x14ac:dyDescent="0.3">
      <c r="B116" s="4"/>
      <c r="E116" s="101"/>
      <c r="F116" s="4"/>
      <c r="K116" s="51"/>
    </row>
    <row r="117" spans="2:11" s="3" customFormat="1" x14ac:dyDescent="0.3">
      <c r="B117" s="44">
        <v>46046</v>
      </c>
      <c r="C117" s="3" t="s">
        <v>416</v>
      </c>
      <c r="D117" s="3" t="s">
        <v>491</v>
      </c>
      <c r="E117" s="101"/>
      <c r="F117" s="4" t="s">
        <v>179</v>
      </c>
      <c r="G117" s="4">
        <v>3818900</v>
      </c>
      <c r="H117" s="3" t="s">
        <v>463</v>
      </c>
      <c r="I117" s="74">
        <v>3125500</v>
      </c>
      <c r="K117" s="51"/>
    </row>
    <row r="118" spans="2:11" s="3" customFormat="1" x14ac:dyDescent="0.3">
      <c r="B118" s="44">
        <v>46046</v>
      </c>
      <c r="C118" s="3" t="s">
        <v>416</v>
      </c>
      <c r="D118" s="3" t="s">
        <v>491</v>
      </c>
      <c r="E118" s="101"/>
      <c r="F118" s="103" t="s">
        <v>182</v>
      </c>
      <c r="G118" s="53">
        <v>3900203</v>
      </c>
      <c r="H118" s="3" t="s">
        <v>149</v>
      </c>
      <c r="I118" s="4">
        <v>3354507</v>
      </c>
      <c r="K118" s="51"/>
    </row>
    <row r="119" spans="2:11" s="3" customFormat="1" x14ac:dyDescent="0.3">
      <c r="B119" s="44">
        <v>46046</v>
      </c>
      <c r="C119" s="3" t="s">
        <v>416</v>
      </c>
      <c r="D119" s="3" t="s">
        <v>491</v>
      </c>
      <c r="E119" s="101"/>
      <c r="F119" s="3" t="s">
        <v>150</v>
      </c>
      <c r="G119" s="4">
        <v>3353706</v>
      </c>
      <c r="H119" s="4" t="s">
        <v>566</v>
      </c>
      <c r="I119" s="4">
        <v>3560703</v>
      </c>
      <c r="K119" s="51"/>
    </row>
    <row r="120" spans="2:11" s="3" customFormat="1" x14ac:dyDescent="0.3">
      <c r="B120" s="44">
        <v>46046</v>
      </c>
      <c r="C120" s="3" t="s">
        <v>416</v>
      </c>
      <c r="D120" s="3" t="s">
        <v>491</v>
      </c>
      <c r="E120" s="101"/>
      <c r="F120" s="3" t="s">
        <v>567</v>
      </c>
      <c r="G120" s="4" t="s">
        <v>556</v>
      </c>
      <c r="H120" s="4" t="s">
        <v>180</v>
      </c>
      <c r="I120" s="4">
        <v>3355308</v>
      </c>
    </row>
    <row r="121" spans="2:11" s="3" customFormat="1" x14ac:dyDescent="0.3">
      <c r="B121" s="44">
        <v>46046</v>
      </c>
      <c r="C121" s="3" t="s">
        <v>416</v>
      </c>
      <c r="D121" s="3" t="s">
        <v>491</v>
      </c>
      <c r="E121" s="101"/>
      <c r="F121" s="3" t="s">
        <v>152</v>
      </c>
      <c r="G121" s="4">
        <v>3351302</v>
      </c>
      <c r="H121" s="4" t="s">
        <v>177</v>
      </c>
      <c r="I121" s="4">
        <v>3899709</v>
      </c>
    </row>
    <row r="122" spans="2:11" s="3" customFormat="1" x14ac:dyDescent="0.3">
      <c r="B122" s="44">
        <v>46046</v>
      </c>
      <c r="C122" s="3" t="s">
        <v>416</v>
      </c>
      <c r="D122" s="3" t="s">
        <v>491</v>
      </c>
      <c r="E122" s="101"/>
      <c r="F122" s="3" t="s">
        <v>148</v>
      </c>
      <c r="G122" s="4">
        <v>3355402</v>
      </c>
      <c r="H122" s="4" t="s">
        <v>464</v>
      </c>
      <c r="I122" s="4">
        <v>3351406</v>
      </c>
      <c r="K122" s="51"/>
    </row>
    <row r="123" spans="2:11" s="3" customFormat="1" x14ac:dyDescent="0.3">
      <c r="B123" s="4"/>
      <c r="E123" s="101"/>
      <c r="F123" s="4"/>
      <c r="K123" s="51"/>
    </row>
    <row r="124" spans="2:11" s="3" customFormat="1" x14ac:dyDescent="0.3">
      <c r="B124" s="44">
        <v>46053</v>
      </c>
      <c r="C124" s="3" t="s">
        <v>416</v>
      </c>
      <c r="D124" s="3" t="s">
        <v>491</v>
      </c>
      <c r="E124" s="101"/>
      <c r="F124" s="3" t="s">
        <v>149</v>
      </c>
      <c r="G124" s="4">
        <v>3354507</v>
      </c>
      <c r="H124" s="3" t="s">
        <v>463</v>
      </c>
      <c r="I124" s="74">
        <v>3125500</v>
      </c>
      <c r="K124" s="51"/>
    </row>
    <row r="125" spans="2:11" s="3" customFormat="1" x14ac:dyDescent="0.3">
      <c r="B125" s="44">
        <v>46053</v>
      </c>
      <c r="C125" s="3" t="s">
        <v>416</v>
      </c>
      <c r="D125" s="3" t="s">
        <v>491</v>
      </c>
      <c r="E125" s="101"/>
      <c r="F125" s="103" t="s">
        <v>182</v>
      </c>
      <c r="G125" s="53">
        <v>3900203</v>
      </c>
      <c r="H125" s="3" t="s">
        <v>150</v>
      </c>
      <c r="I125" s="4">
        <v>3353706</v>
      </c>
      <c r="K125" s="51"/>
    </row>
    <row r="126" spans="2:11" s="3" customFormat="1" x14ac:dyDescent="0.3">
      <c r="B126" s="44">
        <v>46053</v>
      </c>
      <c r="C126" s="3" t="s">
        <v>416</v>
      </c>
      <c r="D126" s="3" t="s">
        <v>491</v>
      </c>
      <c r="E126" s="101"/>
      <c r="F126" s="4" t="s">
        <v>180</v>
      </c>
      <c r="G126" s="4">
        <v>3355308</v>
      </c>
      <c r="H126" s="3" t="s">
        <v>179</v>
      </c>
      <c r="I126" s="4">
        <v>3818900</v>
      </c>
      <c r="K126" s="51"/>
    </row>
    <row r="127" spans="2:11" s="3" customFormat="1" x14ac:dyDescent="0.3">
      <c r="B127" s="44">
        <v>46053</v>
      </c>
      <c r="C127" s="3" t="s">
        <v>416</v>
      </c>
      <c r="D127" s="3" t="s">
        <v>491</v>
      </c>
      <c r="E127" s="101"/>
      <c r="F127" s="4" t="s">
        <v>464</v>
      </c>
      <c r="G127" s="4">
        <v>3351406</v>
      </c>
      <c r="H127" s="3" t="s">
        <v>567</v>
      </c>
      <c r="I127" s="4" t="s">
        <v>556</v>
      </c>
      <c r="K127" s="51"/>
    </row>
    <row r="128" spans="2:11" s="3" customFormat="1" x14ac:dyDescent="0.3">
      <c r="B128" s="44">
        <v>46053</v>
      </c>
      <c r="C128" s="3" t="s">
        <v>416</v>
      </c>
      <c r="D128" s="3" t="s">
        <v>491</v>
      </c>
      <c r="E128" s="101"/>
      <c r="F128" s="4" t="s">
        <v>177</v>
      </c>
      <c r="G128" s="4">
        <v>3899709</v>
      </c>
      <c r="H128" s="3" t="s">
        <v>148</v>
      </c>
      <c r="I128" s="4">
        <v>3355402</v>
      </c>
      <c r="K128" s="51"/>
    </row>
    <row r="129" spans="2:11" s="3" customFormat="1" x14ac:dyDescent="0.3">
      <c r="B129" s="44">
        <v>46053</v>
      </c>
      <c r="C129" s="3" t="s">
        <v>416</v>
      </c>
      <c r="D129" s="3" t="s">
        <v>491</v>
      </c>
      <c r="E129" s="101"/>
      <c r="F129" s="4" t="s">
        <v>566</v>
      </c>
      <c r="G129" s="4">
        <v>3560703</v>
      </c>
      <c r="H129" s="3" t="s">
        <v>152</v>
      </c>
      <c r="I129" s="4">
        <v>3351302</v>
      </c>
      <c r="K129" s="51"/>
    </row>
    <row r="130" spans="2:11" s="3" customFormat="1" x14ac:dyDescent="0.3">
      <c r="B130" s="4"/>
      <c r="E130" s="101"/>
      <c r="F130" s="4"/>
      <c r="K130" s="51"/>
    </row>
    <row r="131" spans="2:11" s="3" customFormat="1" x14ac:dyDescent="0.3">
      <c r="B131" s="44">
        <v>46060</v>
      </c>
      <c r="C131" s="3" t="s">
        <v>416</v>
      </c>
      <c r="D131" s="3" t="s">
        <v>491</v>
      </c>
      <c r="E131" s="101"/>
      <c r="F131" s="4" t="s">
        <v>179</v>
      </c>
      <c r="G131" s="4">
        <v>3818900</v>
      </c>
      <c r="H131" s="4" t="s">
        <v>464</v>
      </c>
      <c r="I131" s="4">
        <v>3351406</v>
      </c>
    </row>
    <row r="132" spans="2:11" s="3" customFormat="1" x14ac:dyDescent="0.3">
      <c r="B132" s="44">
        <v>46060</v>
      </c>
      <c r="C132" s="3" t="s">
        <v>416</v>
      </c>
      <c r="D132" s="3" t="s">
        <v>491</v>
      </c>
      <c r="E132" s="101"/>
      <c r="F132" s="3" t="s">
        <v>463</v>
      </c>
      <c r="G132" s="74">
        <v>3125500</v>
      </c>
      <c r="H132" s="4" t="s">
        <v>180</v>
      </c>
      <c r="I132" s="4">
        <v>3355308</v>
      </c>
      <c r="K132" s="51"/>
    </row>
    <row r="133" spans="2:11" s="3" customFormat="1" x14ac:dyDescent="0.3">
      <c r="B133" s="44">
        <v>46060</v>
      </c>
      <c r="C133" s="3" t="s">
        <v>416</v>
      </c>
      <c r="D133" s="3" t="s">
        <v>491</v>
      </c>
      <c r="E133" s="101"/>
      <c r="F133" s="3" t="s">
        <v>150</v>
      </c>
      <c r="G133" s="4">
        <v>3353706</v>
      </c>
      <c r="H133" s="3" t="s">
        <v>149</v>
      </c>
      <c r="I133" s="4">
        <v>3354507</v>
      </c>
      <c r="K133" s="51"/>
    </row>
    <row r="134" spans="2:11" s="3" customFormat="1" x14ac:dyDescent="0.3">
      <c r="B134" s="44">
        <v>46060</v>
      </c>
      <c r="C134" s="3" t="s">
        <v>416</v>
      </c>
      <c r="D134" s="3" t="s">
        <v>491</v>
      </c>
      <c r="E134" s="101"/>
      <c r="F134" s="3" t="s">
        <v>567</v>
      </c>
      <c r="G134" s="4" t="s">
        <v>556</v>
      </c>
      <c r="H134" s="4" t="s">
        <v>177</v>
      </c>
      <c r="I134" s="4">
        <v>3899709</v>
      </c>
      <c r="K134" s="51"/>
    </row>
    <row r="135" spans="2:11" s="3" customFormat="1" x14ac:dyDescent="0.3">
      <c r="B135" s="44">
        <v>46060</v>
      </c>
      <c r="C135" s="3" t="s">
        <v>416</v>
      </c>
      <c r="D135" s="3" t="s">
        <v>491</v>
      </c>
      <c r="E135" s="101"/>
      <c r="F135" s="3" t="s">
        <v>152</v>
      </c>
      <c r="G135" s="4">
        <v>3351302</v>
      </c>
      <c r="H135" s="103" t="s">
        <v>182</v>
      </c>
      <c r="I135" s="53">
        <v>3900203</v>
      </c>
      <c r="K135" s="51"/>
    </row>
    <row r="136" spans="2:11" s="3" customFormat="1" x14ac:dyDescent="0.3">
      <c r="B136" s="44">
        <v>46060</v>
      </c>
      <c r="C136" s="3" t="s">
        <v>416</v>
      </c>
      <c r="D136" s="3" t="s">
        <v>491</v>
      </c>
      <c r="E136" s="101"/>
      <c r="F136" s="3" t="s">
        <v>148</v>
      </c>
      <c r="G136" s="4">
        <v>3355402</v>
      </c>
      <c r="H136" s="4" t="s">
        <v>566</v>
      </c>
      <c r="I136" s="4">
        <v>3560703</v>
      </c>
      <c r="K136" s="51"/>
    </row>
    <row r="137" spans="2:11" s="3" customFormat="1" x14ac:dyDescent="0.3">
      <c r="B137" s="4"/>
      <c r="E137" s="101"/>
      <c r="F137" s="4"/>
      <c r="K137" s="51"/>
    </row>
    <row r="138" spans="2:11" s="3" customFormat="1" x14ac:dyDescent="0.3">
      <c r="B138" s="44">
        <v>46074</v>
      </c>
      <c r="C138" s="3" t="s">
        <v>416</v>
      </c>
      <c r="D138" s="3" t="s">
        <v>491</v>
      </c>
      <c r="E138" s="101"/>
      <c r="F138" s="3" t="s">
        <v>149</v>
      </c>
      <c r="G138" s="4">
        <v>3354507</v>
      </c>
      <c r="H138" s="4" t="s">
        <v>180</v>
      </c>
      <c r="I138" s="4">
        <v>3355308</v>
      </c>
      <c r="K138" s="51"/>
    </row>
    <row r="139" spans="2:11" s="3" customFormat="1" x14ac:dyDescent="0.3">
      <c r="B139" s="44">
        <v>46074</v>
      </c>
      <c r="C139" s="3" t="s">
        <v>416</v>
      </c>
      <c r="D139" s="3" t="s">
        <v>491</v>
      </c>
      <c r="E139" s="101"/>
      <c r="F139" s="103" t="s">
        <v>182</v>
      </c>
      <c r="G139" s="53">
        <v>3900203</v>
      </c>
      <c r="H139" s="3" t="s">
        <v>148</v>
      </c>
      <c r="I139" s="4">
        <v>3355402</v>
      </c>
      <c r="K139" s="51"/>
    </row>
    <row r="140" spans="2:11" s="3" customFormat="1" x14ac:dyDescent="0.3">
      <c r="B140" s="44">
        <v>46074</v>
      </c>
      <c r="C140" s="3" t="s">
        <v>416</v>
      </c>
      <c r="D140" s="3" t="s">
        <v>491</v>
      </c>
      <c r="E140" s="101"/>
      <c r="F140" s="3" t="s">
        <v>150</v>
      </c>
      <c r="G140" s="4">
        <v>3353706</v>
      </c>
      <c r="H140" s="3" t="s">
        <v>152</v>
      </c>
      <c r="I140" s="4">
        <v>3351302</v>
      </c>
      <c r="K140" s="51"/>
    </row>
    <row r="141" spans="2:11" s="3" customFormat="1" x14ac:dyDescent="0.3">
      <c r="B141" s="44">
        <v>46074</v>
      </c>
      <c r="C141" s="3" t="s">
        <v>416</v>
      </c>
      <c r="D141" s="3" t="s">
        <v>491</v>
      </c>
      <c r="E141" s="101"/>
      <c r="F141" s="4" t="s">
        <v>464</v>
      </c>
      <c r="G141" s="4">
        <v>3351406</v>
      </c>
      <c r="H141" s="3" t="s">
        <v>463</v>
      </c>
      <c r="I141" s="74">
        <v>3125500</v>
      </c>
      <c r="K141" s="51"/>
    </row>
    <row r="142" spans="2:11" s="3" customFormat="1" x14ac:dyDescent="0.3">
      <c r="B142" s="44">
        <v>46074</v>
      </c>
      <c r="C142" s="3" t="s">
        <v>416</v>
      </c>
      <c r="D142" s="3" t="s">
        <v>491</v>
      </c>
      <c r="E142" s="101"/>
      <c r="F142" s="4" t="s">
        <v>177</v>
      </c>
      <c r="G142" s="4">
        <v>3899709</v>
      </c>
      <c r="H142" s="3" t="s">
        <v>179</v>
      </c>
      <c r="I142" s="4">
        <v>3818900</v>
      </c>
      <c r="K142" s="51"/>
    </row>
    <row r="143" spans="2:11" s="3" customFormat="1" x14ac:dyDescent="0.3">
      <c r="B143" s="44">
        <v>46074</v>
      </c>
      <c r="C143" s="3" t="s">
        <v>416</v>
      </c>
      <c r="D143" s="3" t="s">
        <v>491</v>
      </c>
      <c r="E143" s="101"/>
      <c r="F143" s="4" t="s">
        <v>566</v>
      </c>
      <c r="G143" s="4">
        <v>3560703</v>
      </c>
      <c r="H143" s="3" t="s">
        <v>567</v>
      </c>
      <c r="I143" s="4" t="s">
        <v>556</v>
      </c>
      <c r="K143" s="51"/>
    </row>
    <row r="144" spans="2:11" s="3" customFormat="1" x14ac:dyDescent="0.3">
      <c r="B144" s="4"/>
      <c r="E144" s="101"/>
      <c r="F144" s="4"/>
    </row>
    <row r="145" spans="2:11" s="3" customFormat="1" x14ac:dyDescent="0.3">
      <c r="B145" s="44">
        <v>46081</v>
      </c>
      <c r="C145" s="3" t="s">
        <v>416</v>
      </c>
      <c r="D145" s="3" t="s">
        <v>491</v>
      </c>
      <c r="E145" s="101"/>
      <c r="F145" s="4" t="s">
        <v>179</v>
      </c>
      <c r="G145" s="4">
        <v>3818900</v>
      </c>
      <c r="H145" s="4" t="s">
        <v>566</v>
      </c>
      <c r="I145" s="4">
        <v>3560703</v>
      </c>
      <c r="K145" s="51"/>
    </row>
    <row r="146" spans="2:11" s="3" customFormat="1" x14ac:dyDescent="0.3">
      <c r="B146" s="44">
        <v>46081</v>
      </c>
      <c r="C146" s="3" t="s">
        <v>416</v>
      </c>
      <c r="D146" s="3" t="s">
        <v>491</v>
      </c>
      <c r="E146" s="101"/>
      <c r="F146" s="3" t="s">
        <v>463</v>
      </c>
      <c r="G146" s="74">
        <v>3125500</v>
      </c>
      <c r="H146" s="4" t="s">
        <v>177</v>
      </c>
      <c r="I146" s="4">
        <v>3899709</v>
      </c>
      <c r="K146" s="51"/>
    </row>
    <row r="147" spans="2:11" s="3" customFormat="1" x14ac:dyDescent="0.3">
      <c r="B147" s="44">
        <v>46081</v>
      </c>
      <c r="C147" s="3" t="s">
        <v>416</v>
      </c>
      <c r="D147" s="3" t="s">
        <v>491</v>
      </c>
      <c r="E147" s="101"/>
      <c r="F147" s="4" t="s">
        <v>180</v>
      </c>
      <c r="G147" s="4">
        <v>3355308</v>
      </c>
      <c r="H147" s="4" t="s">
        <v>464</v>
      </c>
      <c r="I147" s="4">
        <v>3351406</v>
      </c>
      <c r="K147" s="51"/>
    </row>
    <row r="148" spans="2:11" s="3" customFormat="1" x14ac:dyDescent="0.3">
      <c r="B148" s="44">
        <v>46081</v>
      </c>
      <c r="C148" s="3" t="s">
        <v>416</v>
      </c>
      <c r="D148" s="3" t="s">
        <v>491</v>
      </c>
      <c r="E148" s="101"/>
      <c r="F148" s="3" t="s">
        <v>567</v>
      </c>
      <c r="G148" s="4" t="s">
        <v>556</v>
      </c>
      <c r="H148" s="103" t="s">
        <v>182</v>
      </c>
      <c r="I148" s="53">
        <v>3900203</v>
      </c>
      <c r="K148" s="51"/>
    </row>
    <row r="149" spans="2:11" s="3" customFormat="1" x14ac:dyDescent="0.3">
      <c r="B149" s="44">
        <v>46081</v>
      </c>
      <c r="C149" s="3" t="s">
        <v>416</v>
      </c>
      <c r="D149" s="3" t="s">
        <v>491</v>
      </c>
      <c r="E149" s="101"/>
      <c r="F149" s="3" t="s">
        <v>152</v>
      </c>
      <c r="G149" s="4">
        <v>3351302</v>
      </c>
      <c r="H149" s="3" t="s">
        <v>149</v>
      </c>
      <c r="I149" s="4">
        <v>3354507</v>
      </c>
      <c r="K149" s="51"/>
    </row>
    <row r="150" spans="2:11" s="3" customFormat="1" x14ac:dyDescent="0.3">
      <c r="B150" s="44">
        <v>46081</v>
      </c>
      <c r="C150" s="3" t="s">
        <v>416</v>
      </c>
      <c r="D150" s="3" t="s">
        <v>491</v>
      </c>
      <c r="E150" s="101"/>
      <c r="F150" s="3" t="s">
        <v>148</v>
      </c>
      <c r="G150" s="4">
        <v>3355402</v>
      </c>
      <c r="H150" s="3" t="s">
        <v>150</v>
      </c>
      <c r="I150" s="4">
        <v>3353706</v>
      </c>
      <c r="K150" s="51"/>
    </row>
    <row r="151" spans="2:11" s="3" customFormat="1" x14ac:dyDescent="0.3">
      <c r="B151" s="4"/>
      <c r="E151" s="101"/>
      <c r="F151" s="4"/>
      <c r="K151" s="51"/>
    </row>
    <row r="152" spans="2:11" s="3" customFormat="1" x14ac:dyDescent="0.3">
      <c r="B152" s="44">
        <v>46088</v>
      </c>
      <c r="C152" s="3" t="s">
        <v>416</v>
      </c>
      <c r="D152" s="3" t="s">
        <v>491</v>
      </c>
      <c r="E152" s="101"/>
      <c r="F152" s="3" t="s">
        <v>149</v>
      </c>
      <c r="G152" s="4">
        <v>3354507</v>
      </c>
      <c r="H152" s="4" t="s">
        <v>464</v>
      </c>
      <c r="I152" s="4">
        <v>3351406</v>
      </c>
      <c r="K152" s="51"/>
    </row>
    <row r="153" spans="2:11" s="3" customFormat="1" x14ac:dyDescent="0.3">
      <c r="B153" s="44">
        <v>46088</v>
      </c>
      <c r="C153" s="3" t="s">
        <v>416</v>
      </c>
      <c r="D153" s="3" t="s">
        <v>491</v>
      </c>
      <c r="E153" s="101"/>
      <c r="F153" s="103" t="s">
        <v>182</v>
      </c>
      <c r="G153" s="53">
        <v>3900203</v>
      </c>
      <c r="H153" s="3" t="s">
        <v>179</v>
      </c>
      <c r="I153" s="4">
        <v>3818900</v>
      </c>
      <c r="K153" s="51"/>
    </row>
    <row r="154" spans="2:11" s="3" customFormat="1" x14ac:dyDescent="0.3">
      <c r="B154" s="44">
        <v>46088</v>
      </c>
      <c r="C154" s="3" t="s">
        <v>416</v>
      </c>
      <c r="D154" s="3" t="s">
        <v>491</v>
      </c>
      <c r="E154" s="101"/>
      <c r="F154" s="3" t="s">
        <v>150</v>
      </c>
      <c r="G154" s="4">
        <v>3353706</v>
      </c>
      <c r="H154" s="3" t="s">
        <v>567</v>
      </c>
      <c r="I154" s="4" t="s">
        <v>556</v>
      </c>
      <c r="K154" s="51"/>
    </row>
    <row r="155" spans="2:11" s="3" customFormat="1" x14ac:dyDescent="0.3">
      <c r="B155" s="44">
        <v>46088</v>
      </c>
      <c r="C155" s="3" t="s">
        <v>416</v>
      </c>
      <c r="D155" s="3" t="s">
        <v>491</v>
      </c>
      <c r="E155" s="101"/>
      <c r="F155" s="4" t="s">
        <v>177</v>
      </c>
      <c r="G155" s="4">
        <v>3899709</v>
      </c>
      <c r="H155" s="4" t="s">
        <v>180</v>
      </c>
      <c r="I155" s="4">
        <v>3355308</v>
      </c>
      <c r="K155" s="51"/>
    </row>
    <row r="156" spans="2:11" s="3" customFormat="1" x14ac:dyDescent="0.3">
      <c r="B156" s="44">
        <v>46088</v>
      </c>
      <c r="C156" s="3" t="s">
        <v>416</v>
      </c>
      <c r="D156" s="3" t="s">
        <v>491</v>
      </c>
      <c r="E156" s="101"/>
      <c r="F156" s="4" t="s">
        <v>566</v>
      </c>
      <c r="G156" s="4">
        <v>3560703</v>
      </c>
      <c r="H156" s="3" t="s">
        <v>463</v>
      </c>
      <c r="I156" s="74">
        <v>3125500</v>
      </c>
      <c r="K156" s="51"/>
    </row>
    <row r="157" spans="2:11" s="3" customFormat="1" x14ac:dyDescent="0.3">
      <c r="B157" s="44">
        <v>46088</v>
      </c>
      <c r="C157" s="3" t="s">
        <v>416</v>
      </c>
      <c r="D157" s="3" t="s">
        <v>491</v>
      </c>
      <c r="E157" s="101"/>
      <c r="F157" s="3" t="s">
        <v>152</v>
      </c>
      <c r="G157" s="4">
        <v>3351302</v>
      </c>
      <c r="H157" s="3" t="s">
        <v>148</v>
      </c>
      <c r="I157" s="4">
        <v>3355402</v>
      </c>
      <c r="K157" s="51"/>
    </row>
    <row r="158" spans="2:11" s="3" customFormat="1" x14ac:dyDescent="0.3">
      <c r="B158" s="4"/>
      <c r="E158" s="101"/>
      <c r="F158" s="4"/>
      <c r="K158" s="51"/>
    </row>
    <row r="159" spans="2:11" s="3" customFormat="1" x14ac:dyDescent="0.3">
      <c r="B159" s="44">
        <v>46095</v>
      </c>
      <c r="C159" s="3" t="s">
        <v>416</v>
      </c>
      <c r="D159" s="3" t="s">
        <v>491</v>
      </c>
      <c r="E159" s="101"/>
      <c r="F159" s="4" t="s">
        <v>179</v>
      </c>
      <c r="G159" s="4">
        <v>3818900</v>
      </c>
      <c r="H159" s="3" t="s">
        <v>150</v>
      </c>
      <c r="I159" s="4">
        <v>3353706</v>
      </c>
      <c r="K159" s="51"/>
    </row>
    <row r="160" spans="2:11" s="3" customFormat="1" x14ac:dyDescent="0.3">
      <c r="B160" s="44">
        <v>46095</v>
      </c>
      <c r="C160" s="3" t="s">
        <v>416</v>
      </c>
      <c r="D160" s="3" t="s">
        <v>491</v>
      </c>
      <c r="E160" s="101"/>
      <c r="F160" s="3" t="s">
        <v>463</v>
      </c>
      <c r="G160" s="74">
        <v>3125500</v>
      </c>
      <c r="H160" s="103" t="s">
        <v>182</v>
      </c>
      <c r="I160" s="53">
        <v>3900203</v>
      </c>
      <c r="K160" s="51"/>
    </row>
    <row r="161" spans="2:11" s="3" customFormat="1" x14ac:dyDescent="0.3">
      <c r="B161" s="44">
        <v>46095</v>
      </c>
      <c r="C161" s="3" t="s">
        <v>416</v>
      </c>
      <c r="D161" s="3" t="s">
        <v>491</v>
      </c>
      <c r="E161" s="101"/>
      <c r="F161" s="4" t="s">
        <v>180</v>
      </c>
      <c r="G161" s="4">
        <v>3355308</v>
      </c>
      <c r="H161" s="4" t="s">
        <v>566</v>
      </c>
      <c r="I161" s="4">
        <v>3560703</v>
      </c>
      <c r="K161" s="51"/>
    </row>
    <row r="162" spans="2:11" s="3" customFormat="1" x14ac:dyDescent="0.3">
      <c r="B162" s="44">
        <v>46095</v>
      </c>
      <c r="C162" s="3" t="s">
        <v>416</v>
      </c>
      <c r="D162" s="3" t="s">
        <v>491</v>
      </c>
      <c r="E162" s="101"/>
      <c r="F162" s="4" t="s">
        <v>464</v>
      </c>
      <c r="G162" s="4">
        <v>3351406</v>
      </c>
      <c r="H162" s="4" t="s">
        <v>177</v>
      </c>
      <c r="I162" s="4">
        <v>3899709</v>
      </c>
      <c r="K162" s="51"/>
    </row>
    <row r="163" spans="2:11" s="3" customFormat="1" x14ac:dyDescent="0.3">
      <c r="B163" s="44">
        <v>46095</v>
      </c>
      <c r="C163" s="3" t="s">
        <v>416</v>
      </c>
      <c r="D163" s="3" t="s">
        <v>491</v>
      </c>
      <c r="E163" s="101"/>
      <c r="F163" s="3" t="s">
        <v>567</v>
      </c>
      <c r="G163" s="4" t="s">
        <v>556</v>
      </c>
      <c r="H163" s="3" t="s">
        <v>152</v>
      </c>
      <c r="I163" s="4">
        <v>3351302</v>
      </c>
      <c r="K163" s="51"/>
    </row>
    <row r="164" spans="2:11" s="3" customFormat="1" x14ac:dyDescent="0.3">
      <c r="B164" s="44">
        <v>46095</v>
      </c>
      <c r="C164" s="3" t="s">
        <v>416</v>
      </c>
      <c r="D164" s="3" t="s">
        <v>491</v>
      </c>
      <c r="E164" s="101"/>
      <c r="F164" s="3" t="s">
        <v>148</v>
      </c>
      <c r="G164" s="4">
        <v>3355402</v>
      </c>
      <c r="H164" s="3" t="s">
        <v>149</v>
      </c>
      <c r="I164" s="4">
        <v>3354507</v>
      </c>
      <c r="K164" s="51"/>
    </row>
    <row r="165" spans="2:11" s="3" customFormat="1" x14ac:dyDescent="0.3">
      <c r="B165" s="4"/>
      <c r="E165" s="101"/>
      <c r="F165" s="4"/>
      <c r="K165" s="51"/>
    </row>
    <row r="166" spans="2:11" s="3" customFormat="1" x14ac:dyDescent="0.3">
      <c r="B166" s="44">
        <v>46102</v>
      </c>
      <c r="C166" s="3" t="s">
        <v>416</v>
      </c>
      <c r="D166" s="3" t="s">
        <v>491</v>
      </c>
      <c r="E166" s="101"/>
      <c r="F166" s="3" t="s">
        <v>149</v>
      </c>
      <c r="G166" s="4">
        <v>3354507</v>
      </c>
      <c r="H166" s="4" t="s">
        <v>177</v>
      </c>
      <c r="I166" s="4">
        <v>3899709</v>
      </c>
      <c r="K166" s="51"/>
    </row>
    <row r="167" spans="2:11" s="3" customFormat="1" x14ac:dyDescent="0.3">
      <c r="B167" s="44">
        <v>46102</v>
      </c>
      <c r="C167" s="3" t="s">
        <v>416</v>
      </c>
      <c r="D167" s="3" t="s">
        <v>491</v>
      </c>
      <c r="E167" s="101"/>
      <c r="F167" s="103" t="s">
        <v>182</v>
      </c>
      <c r="G167" s="53">
        <v>3900203</v>
      </c>
      <c r="H167" s="4" t="s">
        <v>180</v>
      </c>
      <c r="I167" s="4">
        <v>3355308</v>
      </c>
      <c r="K167" s="51"/>
    </row>
    <row r="168" spans="2:11" s="3" customFormat="1" x14ac:dyDescent="0.3">
      <c r="B168" s="44">
        <v>46102</v>
      </c>
      <c r="C168" s="3" t="s">
        <v>416</v>
      </c>
      <c r="D168" s="3" t="s">
        <v>491</v>
      </c>
      <c r="E168" s="101"/>
      <c r="F168" s="3" t="s">
        <v>150</v>
      </c>
      <c r="G168" s="4">
        <v>3353706</v>
      </c>
      <c r="H168" s="3" t="s">
        <v>463</v>
      </c>
      <c r="I168" s="74">
        <v>3125500</v>
      </c>
      <c r="K168" s="51"/>
    </row>
    <row r="169" spans="2:11" s="3" customFormat="1" x14ac:dyDescent="0.3">
      <c r="B169" s="44">
        <v>46102</v>
      </c>
      <c r="C169" s="3" t="s">
        <v>416</v>
      </c>
      <c r="D169" s="3" t="s">
        <v>491</v>
      </c>
      <c r="E169" s="101"/>
      <c r="F169" s="4" t="s">
        <v>566</v>
      </c>
      <c r="G169" s="4">
        <v>3560703</v>
      </c>
      <c r="H169" s="4" t="s">
        <v>464</v>
      </c>
      <c r="I169" s="4">
        <v>3351406</v>
      </c>
      <c r="K169" s="51"/>
    </row>
    <row r="170" spans="2:11" s="3" customFormat="1" x14ac:dyDescent="0.3">
      <c r="B170" s="44">
        <v>46102</v>
      </c>
      <c r="C170" s="3" t="s">
        <v>416</v>
      </c>
      <c r="D170" s="3" t="s">
        <v>491</v>
      </c>
      <c r="E170" s="101"/>
      <c r="F170" s="3" t="s">
        <v>152</v>
      </c>
      <c r="G170" s="4">
        <v>3351302</v>
      </c>
      <c r="H170" s="3" t="s">
        <v>179</v>
      </c>
      <c r="I170" s="4">
        <v>3818900</v>
      </c>
      <c r="K170" s="51"/>
    </row>
    <row r="171" spans="2:11" s="3" customFormat="1" x14ac:dyDescent="0.3">
      <c r="B171" s="44">
        <v>46102</v>
      </c>
      <c r="C171" s="3" t="s">
        <v>416</v>
      </c>
      <c r="D171" s="3" t="s">
        <v>491</v>
      </c>
      <c r="E171" s="101"/>
      <c r="F171" s="3" t="s">
        <v>148</v>
      </c>
      <c r="G171" s="4">
        <v>3355402</v>
      </c>
      <c r="H171" s="3" t="s">
        <v>567</v>
      </c>
      <c r="I171" s="4" t="s">
        <v>556</v>
      </c>
      <c r="K171" s="51"/>
    </row>
    <row r="172" spans="2:11" s="3" customFormat="1" x14ac:dyDescent="0.3">
      <c r="B172" s="4"/>
      <c r="E172" s="101"/>
      <c r="F172" s="4"/>
      <c r="K172" s="51"/>
    </row>
    <row r="173" spans="2:11" s="3" customFormat="1" x14ac:dyDescent="0.3">
      <c r="B173" s="44">
        <v>46109</v>
      </c>
      <c r="C173" s="3" t="s">
        <v>416</v>
      </c>
      <c r="D173" s="3" t="s">
        <v>491</v>
      </c>
      <c r="E173" s="101"/>
      <c r="F173" s="4" t="s">
        <v>179</v>
      </c>
      <c r="G173" s="4">
        <v>3818900</v>
      </c>
      <c r="H173" s="3" t="s">
        <v>148</v>
      </c>
      <c r="I173" s="4">
        <v>3355402</v>
      </c>
      <c r="K173" s="51"/>
    </row>
    <row r="174" spans="2:11" s="3" customFormat="1" x14ac:dyDescent="0.3">
      <c r="B174" s="44">
        <v>46109</v>
      </c>
      <c r="C174" s="3" t="s">
        <v>416</v>
      </c>
      <c r="D174" s="3" t="s">
        <v>491</v>
      </c>
      <c r="E174" s="101"/>
      <c r="F174" s="3" t="s">
        <v>463</v>
      </c>
      <c r="G174" s="74">
        <v>3125500</v>
      </c>
      <c r="H174" s="3" t="s">
        <v>152</v>
      </c>
      <c r="I174" s="4">
        <v>3351302</v>
      </c>
      <c r="K174" s="51"/>
    </row>
    <row r="175" spans="2:11" s="3" customFormat="1" x14ac:dyDescent="0.3">
      <c r="B175" s="44">
        <v>46109</v>
      </c>
      <c r="C175" s="3" t="s">
        <v>416</v>
      </c>
      <c r="D175" s="3" t="s">
        <v>491</v>
      </c>
      <c r="E175" s="101"/>
      <c r="F175" s="4" t="s">
        <v>180</v>
      </c>
      <c r="G175" s="4">
        <v>3355308</v>
      </c>
      <c r="H175" s="3" t="s">
        <v>150</v>
      </c>
      <c r="I175" s="4">
        <v>3353706</v>
      </c>
      <c r="K175" s="51"/>
    </row>
    <row r="176" spans="2:11" s="3" customFormat="1" x14ac:dyDescent="0.3">
      <c r="B176" s="44">
        <v>46109</v>
      </c>
      <c r="C176" s="3" t="s">
        <v>416</v>
      </c>
      <c r="D176" s="3" t="s">
        <v>491</v>
      </c>
      <c r="E176" s="101"/>
      <c r="F176" s="4" t="s">
        <v>464</v>
      </c>
      <c r="G176" s="4">
        <v>3351406</v>
      </c>
      <c r="H176" s="103" t="s">
        <v>182</v>
      </c>
      <c r="I176" s="53">
        <v>3900203</v>
      </c>
      <c r="K176" s="51"/>
    </row>
    <row r="177" spans="2:11" s="3" customFormat="1" x14ac:dyDescent="0.3">
      <c r="B177" s="44">
        <v>46109</v>
      </c>
      <c r="C177" s="3" t="s">
        <v>416</v>
      </c>
      <c r="D177" s="3" t="s">
        <v>491</v>
      </c>
      <c r="E177" s="101"/>
      <c r="F177" s="4" t="s">
        <v>177</v>
      </c>
      <c r="G177" s="4">
        <v>3899709</v>
      </c>
      <c r="H177" s="4" t="s">
        <v>566</v>
      </c>
      <c r="I177" s="4">
        <v>3560703</v>
      </c>
      <c r="K177" s="51"/>
    </row>
    <row r="178" spans="2:11" s="3" customFormat="1" x14ac:dyDescent="0.3">
      <c r="B178" s="44">
        <v>46109</v>
      </c>
      <c r="C178" s="3" t="s">
        <v>416</v>
      </c>
      <c r="D178" s="3" t="s">
        <v>491</v>
      </c>
      <c r="E178" s="101"/>
      <c r="F178" s="3" t="s">
        <v>567</v>
      </c>
      <c r="G178" s="4" t="s">
        <v>556</v>
      </c>
      <c r="H178" s="3" t="s">
        <v>149</v>
      </c>
      <c r="I178" s="4">
        <v>3354507</v>
      </c>
      <c r="K178" s="51"/>
    </row>
    <row r="179" spans="2:11" s="3" customFormat="1" x14ac:dyDescent="0.3">
      <c r="B179" s="44"/>
      <c r="E179" s="42"/>
      <c r="G179" s="4"/>
      <c r="I179" s="4"/>
      <c r="K179" s="51"/>
    </row>
    <row r="180" spans="2:11" s="3" customFormat="1" x14ac:dyDescent="0.3">
      <c r="B180" s="44"/>
      <c r="E180" s="42"/>
      <c r="G180" s="4"/>
      <c r="I180" s="4"/>
      <c r="K180" s="51"/>
    </row>
    <row r="181" spans="2:11" s="3" customFormat="1" x14ac:dyDescent="0.3">
      <c r="B181" s="44"/>
      <c r="E181" s="42"/>
      <c r="G181" s="4"/>
      <c r="I181" s="4"/>
      <c r="K181" s="51"/>
    </row>
    <row r="182" spans="2:11" s="3" customFormat="1" x14ac:dyDescent="0.3">
      <c r="B182" s="44"/>
      <c r="E182" s="42"/>
      <c r="G182" s="4"/>
      <c r="I182" s="4"/>
      <c r="K182" s="51"/>
    </row>
    <row r="183" spans="2:11" s="3" customFormat="1" x14ac:dyDescent="0.3">
      <c r="B183" s="4"/>
      <c r="E183" s="42"/>
      <c r="G183" s="4"/>
      <c r="I183" s="4"/>
      <c r="K183" s="51"/>
    </row>
    <row r="184" spans="2:11" s="3" customFormat="1" x14ac:dyDescent="0.3">
      <c r="B184" s="44"/>
      <c r="E184" s="42"/>
      <c r="G184" s="4"/>
      <c r="I184" s="4"/>
      <c r="K184" s="51"/>
    </row>
    <row r="185" spans="2:11" s="3" customFormat="1" x14ac:dyDescent="0.3">
      <c r="B185" s="44"/>
      <c r="E185" s="42"/>
      <c r="G185" s="4"/>
      <c r="I185" s="4"/>
      <c r="K185" s="51"/>
    </row>
    <row r="186" spans="2:11" s="3" customFormat="1" x14ac:dyDescent="0.3">
      <c r="B186" s="44"/>
      <c r="E186" s="42"/>
      <c r="G186" s="4"/>
      <c r="I186" s="4"/>
      <c r="K186" s="51"/>
    </row>
    <row r="187" spans="2:11" s="3" customFormat="1" x14ac:dyDescent="0.3">
      <c r="B187" s="44"/>
      <c r="E187" s="42"/>
      <c r="G187" s="4"/>
      <c r="I187" s="4"/>
      <c r="K187" s="51"/>
    </row>
    <row r="188" spans="2:11" s="3" customFormat="1" x14ac:dyDescent="0.3">
      <c r="B188" s="44"/>
      <c r="E188" s="42"/>
      <c r="G188" s="4"/>
      <c r="I188" s="4"/>
      <c r="K188" s="51"/>
    </row>
    <row r="189" spans="2:11" s="3" customFormat="1" x14ac:dyDescent="0.3">
      <c r="B189" s="44"/>
      <c r="E189" s="42"/>
      <c r="G189" s="4"/>
      <c r="I189" s="4"/>
    </row>
    <row r="190" spans="2:11" s="3" customFormat="1" x14ac:dyDescent="0.3">
      <c r="B190" s="44"/>
      <c r="E190" s="42"/>
      <c r="G190" s="4"/>
      <c r="I190" s="4"/>
    </row>
    <row r="191" spans="2:11" s="3" customFormat="1" x14ac:dyDescent="0.3">
      <c r="B191" s="44"/>
      <c r="E191" s="42"/>
      <c r="G191" s="4"/>
      <c r="I191" s="4"/>
    </row>
    <row r="192" spans="2:11" s="3" customFormat="1" x14ac:dyDescent="0.3">
      <c r="B192" s="4"/>
      <c r="E192" s="42"/>
      <c r="G192" s="4"/>
      <c r="I192" s="4"/>
      <c r="K192" s="51"/>
    </row>
    <row r="193" spans="2:11" s="3" customFormat="1" x14ac:dyDescent="0.3">
      <c r="B193" s="44"/>
      <c r="E193" s="42"/>
      <c r="G193" s="4"/>
      <c r="I193" s="4"/>
      <c r="K193" s="51"/>
    </row>
    <row r="194" spans="2:11" s="3" customFormat="1" x14ac:dyDescent="0.3">
      <c r="B194" s="44"/>
      <c r="E194" s="42"/>
      <c r="G194" s="4"/>
      <c r="I194" s="4"/>
      <c r="K194" s="51"/>
    </row>
    <row r="195" spans="2:11" s="3" customFormat="1" x14ac:dyDescent="0.3">
      <c r="B195" s="44"/>
      <c r="E195" s="42"/>
      <c r="G195" s="4"/>
      <c r="I195" s="4"/>
      <c r="K195" s="51"/>
    </row>
    <row r="196" spans="2:11" s="3" customFormat="1" x14ac:dyDescent="0.3">
      <c r="B196" s="44"/>
      <c r="E196" s="42"/>
      <c r="G196" s="4"/>
      <c r="I196" s="4"/>
      <c r="K196" s="51"/>
    </row>
    <row r="197" spans="2:11" s="3" customFormat="1" x14ac:dyDescent="0.3">
      <c r="B197" s="44"/>
      <c r="E197" s="42"/>
      <c r="G197" s="4"/>
      <c r="I197" s="4"/>
      <c r="K197" s="51"/>
    </row>
    <row r="198" spans="2:11" s="3" customFormat="1" x14ac:dyDescent="0.3">
      <c r="B198" s="44"/>
      <c r="E198" s="42"/>
      <c r="G198" s="4"/>
      <c r="I198" s="4"/>
      <c r="K198" s="51"/>
    </row>
    <row r="199" spans="2:11" s="3" customFormat="1" x14ac:dyDescent="0.3">
      <c r="B199" s="44"/>
      <c r="E199" s="42"/>
      <c r="G199" s="4"/>
      <c r="I199" s="4"/>
      <c r="K199" s="51"/>
    </row>
    <row r="200" spans="2:11" s="3" customFormat="1" x14ac:dyDescent="0.3">
      <c r="B200" s="44"/>
      <c r="E200" s="42"/>
      <c r="G200" s="4"/>
      <c r="I200" s="4"/>
      <c r="K200" s="51"/>
    </row>
    <row r="201" spans="2:11" s="3" customFormat="1" x14ac:dyDescent="0.3">
      <c r="B201" s="4"/>
      <c r="E201" s="42"/>
      <c r="G201" s="4"/>
      <c r="I201" s="4"/>
      <c r="K201" s="51"/>
    </row>
    <row r="202" spans="2:11" s="3" customFormat="1" x14ac:dyDescent="0.3">
      <c r="B202" s="44"/>
      <c r="E202" s="42"/>
      <c r="G202" s="4"/>
      <c r="I202" s="4"/>
      <c r="K202" s="51"/>
    </row>
    <row r="203" spans="2:11" s="3" customFormat="1" x14ac:dyDescent="0.3">
      <c r="B203" s="44"/>
      <c r="E203" s="42"/>
      <c r="G203" s="4"/>
      <c r="I203" s="4"/>
      <c r="K203" s="51"/>
    </row>
    <row r="204" spans="2:11" s="3" customFormat="1" x14ac:dyDescent="0.3">
      <c r="B204" s="44"/>
      <c r="E204" s="42"/>
      <c r="G204" s="4"/>
      <c r="I204" s="4"/>
    </row>
    <row r="205" spans="2:11" s="3" customFormat="1" x14ac:dyDescent="0.3">
      <c r="B205" s="44"/>
      <c r="E205" s="42"/>
      <c r="G205" s="4"/>
      <c r="I205" s="4"/>
      <c r="K205" s="51"/>
    </row>
    <row r="206" spans="2:11" s="3" customFormat="1" x14ac:dyDescent="0.3">
      <c r="B206" s="44"/>
      <c r="E206" s="42"/>
      <c r="G206" s="4"/>
      <c r="I206" s="4"/>
      <c r="K206" s="51"/>
    </row>
    <row r="207" spans="2:11" s="3" customFormat="1" x14ac:dyDescent="0.3">
      <c r="B207" s="44"/>
      <c r="E207" s="42"/>
      <c r="G207" s="4"/>
      <c r="I207" s="4"/>
      <c r="K207" s="51"/>
    </row>
    <row r="208" spans="2:11" s="3" customFormat="1" x14ac:dyDescent="0.3">
      <c r="B208" s="44"/>
      <c r="E208" s="42"/>
      <c r="G208" s="4"/>
      <c r="I208" s="4"/>
      <c r="K208" s="51"/>
    </row>
    <row r="209" spans="2:11" s="3" customFormat="1" x14ac:dyDescent="0.3">
      <c r="B209" s="44"/>
      <c r="E209" s="42"/>
      <c r="G209" s="4"/>
      <c r="I209" s="4"/>
      <c r="K209" s="51"/>
    </row>
    <row r="210" spans="2:11" s="3" customFormat="1" x14ac:dyDescent="0.3">
      <c r="B210" s="4"/>
      <c r="E210" s="42"/>
      <c r="G210" s="4"/>
      <c r="I210" s="4"/>
      <c r="K210" s="51"/>
    </row>
    <row r="211" spans="2:11" s="3" customFormat="1" x14ac:dyDescent="0.3">
      <c r="B211" s="44"/>
      <c r="E211" s="42"/>
      <c r="G211" s="4"/>
      <c r="I211" s="4"/>
      <c r="K211" s="51"/>
    </row>
    <row r="212" spans="2:11" s="3" customFormat="1" x14ac:dyDescent="0.3">
      <c r="B212" s="44"/>
      <c r="E212" s="42"/>
      <c r="G212" s="4"/>
      <c r="I212" s="4"/>
      <c r="K212" s="51"/>
    </row>
    <row r="213" spans="2:11" s="3" customFormat="1" x14ac:dyDescent="0.3">
      <c r="B213" s="44"/>
      <c r="E213" s="42"/>
      <c r="G213" s="4"/>
      <c r="I213" s="4"/>
      <c r="K213" s="51"/>
    </row>
    <row r="214" spans="2:11" s="3" customFormat="1" x14ac:dyDescent="0.3">
      <c r="B214" s="44"/>
      <c r="E214" s="42"/>
      <c r="G214" s="4"/>
      <c r="I214" s="4"/>
      <c r="K214" s="51"/>
    </row>
    <row r="215" spans="2:11" s="3" customFormat="1" x14ac:dyDescent="0.3">
      <c r="B215" s="44"/>
      <c r="E215" s="42"/>
      <c r="G215" s="4"/>
      <c r="I215" s="4"/>
      <c r="K215" s="51"/>
    </row>
    <row r="216" spans="2:11" s="3" customFormat="1" x14ac:dyDescent="0.3">
      <c r="B216" s="44"/>
      <c r="E216" s="42"/>
      <c r="G216" s="4"/>
      <c r="I216" s="4"/>
      <c r="K216" s="51"/>
    </row>
    <row r="217" spans="2:11" s="3" customFormat="1" x14ac:dyDescent="0.3">
      <c r="G217" s="4"/>
      <c r="I217" s="4"/>
      <c r="K217" s="51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F1:H25 F179:H1048576">
    <cfRule type="containsText" dxfId="5560" priority="18" operator="containsText" text="bye">
      <formula>NOT(ISERROR(SEARCH("bye",F1)))</formula>
    </cfRule>
  </conditionalFormatting>
  <conditionalFormatting sqref="F1:I26 H27:I27 F28:I29 F30:G30 F31:I33 H34:I34 F35:I35 F36:G36 F37:I39 F40:G40 H41:I41 F42:I47 H48:I48 F49:G49 F50:I54 H55:I55 F56:G56 F57:I61 H62:I62 F63:I65 F66:G66 F67:I68 H69:I69 F70:I71 F72:G72 F73:I74 F75:G75 H76:I76 F77:I82 F84:I89 H90:I90 F91:G91 F92:I96 H97:I97 F98:I99 F100:G100 F101:I103 H104:I104 F105:I107 F108:G108 F109:I110 H111:I111 F112:I114 F115:G115 F116:I116 F117:G117 H118:I118 F119:I123 F124:G124 H125:I125 F126:I131 H132:I132 F133:I134 F135:G135 F136:I138 H139:I139 F140:I140 F141:G141 F142:I145 H146:I146 F147:I147 F148:G148 F149:I152 H153:I153 F154:I155 F156:G156 F157:I159 F161:I166 H167:I167 F168:G168 F169:I173 H174:I174 F175:I175 F176:G176 F177:I1048576">
    <cfRule type="containsText" dxfId="5559" priority="1" operator="containsText" text="ley dev">
      <formula>NOT(ISERROR(SEARCH("ley dev",F1)))</formula>
    </cfRule>
    <cfRule type="containsText" dxfId="5558" priority="2" operator="containsText" text="fyl">
      <formula>NOT(ISERROR(SEARCH("fyl",F1)))</formula>
    </cfRule>
  </conditionalFormatting>
  <conditionalFormatting sqref="F26:I26 H27:I27 F28:I29 F30:G30 F31:I33 H34:I34 F35:I35 F36:G36 F37:I39 F40:G40 H41:I41 F42:I47 H48:I48 F49:G49 F50:I54 H55:I55 F56:G56 F57:I61 H62:I62 F63:I65 F66:G66 F67:I68 H69:I69 F70:I71 F72:G72 F73:I74 F75:G75 H76:I76 F77:I82 F84:I89 H90:I90 F91:G91 F92:I96 H97:I97 F98:I99 F100:G100 F101:I103 H104:I104 F105:I107 F108:G108 F109:I110 H111:I111 F112:I114 F115:G115 F116:I116 F117:G117 H118:I118 F119:I123 F124:G124 H125:I125 F126:I131 H132:I132 F133:I134 F135:G135 F136:I138 H139:I139 F140:I140 F141:G141 F142:I145 H146:I146 F147:I147 F148:G148 F149:I152 H153:I153 F154:I155 F156:G156 F157:I159 F161:I166 H167:I167 F168:G168 F169:I173 H174:I174 F175:I175 F176:G176 F177:I178">
    <cfRule type="containsText" dxfId="5557" priority="16" operator="containsText" text="Code">
      <formula>NOT(ISERROR(SEARCH("Code",F26)))</formula>
    </cfRule>
    <cfRule type="containsText" dxfId="5556" priority="17" operator="containsText" text="c'[Fixtures All.xlsx]Women Filtered'!$F$2">
      <formula>NOT(ISERROR(SEARCH("c'[Fixtures All.xlsx]Women Filtered'!$F$2",F26)))</formula>
    </cfRule>
  </conditionalFormatting>
  <conditionalFormatting sqref="I9:I21">
    <cfRule type="containsText" dxfId="5555" priority="9" operator="containsText" text="Code">
      <formula>NOT(ISERROR(SEARCH("Code",I9)))</formula>
    </cfRule>
    <cfRule type="containsText" dxfId="5554" priority="14" operator="containsText" text="c'[Fixtures All.xlsx]Women Filtered'!$F$2">
      <formula>NOT(ISERROR(SEARCH("c'[Fixtures All.xlsx]Women Filtered'!$F$2",I9)))</formula>
    </cfRule>
  </conditionalFormatting>
  <conditionalFormatting sqref="I10:L21">
    <cfRule type="cellIs" dxfId="5553" priority="7" operator="lessThan">
      <formula>5</formula>
    </cfRule>
    <cfRule type="cellIs" dxfId="5552" priority="8" operator="greaterThan">
      <formula>6</formula>
    </cfRule>
  </conditionalFormatting>
  <conditionalFormatting sqref="J10:J21">
    <cfRule type="containsText" dxfId="5551" priority="3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5550" priority="5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549" priority="4" operator="containsText" text="Code">
      <formula>NOT(ISERROR(SEARCH("Code",K10)))</formula>
    </cfRule>
  </conditionalFormatting>
  <conditionalFormatting sqref="L10:L21">
    <cfRule type="containsText" dxfId="5548" priority="10" operator="containsText" text="c'[Fixtures All.xlsx]Women Filtered'!$F$2">
      <formula>NOT(ISERROR(SEARCH("c'[Fixtures All.xlsx]Women Filtered'!$F$2",L10)))</formula>
    </cfRule>
  </conditionalFormatting>
  <conditionalFormatting sqref="L89">
    <cfRule type="containsText" dxfId="5547" priority="183" operator="containsText" text="South">
      <formula>NOT(ISERROR(SEARCH("South",L89)))</formula>
    </cfRule>
  </conditionalFormatting>
  <conditionalFormatting sqref="L94:L97">
    <cfRule type="containsText" dxfId="5546" priority="182" operator="containsText" text="South">
      <formula>NOT(ISERROR(SEARCH("South",L94)))</formula>
    </cfRule>
  </conditionalFormatting>
  <conditionalFormatting sqref="L144">
    <cfRule type="containsText" dxfId="5545" priority="173" operator="containsText" text="South">
      <formula>NOT(ISERROR(SEARCH("South",L144)))</formula>
    </cfRule>
  </conditionalFormatting>
  <hyperlinks>
    <hyperlink ref="K3" location="Contents!A1" display="Back to Contents" xr:uid="{DD3FCF90-9680-4D69-8809-FB557341EB39}"/>
    <hyperlink ref="K5:K6" location="'All Fixtures'!A1" display="See all NW Fixtures" xr:uid="{2A4B6BDE-E47F-47D5-9330-183C366CECC7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0ADFE-E62D-4D00-99DF-F4C83ED979C5}">
  <dimension ref="A2:AQ334"/>
  <sheetViews>
    <sheetView workbookViewId="0"/>
  </sheetViews>
  <sheetFormatPr defaultRowHeight="14.4" x14ac:dyDescent="0.3"/>
  <cols>
    <col min="1" max="1" width="8.88671875" style="3"/>
    <col min="2" max="2" width="18.88671875" style="3" customWidth="1"/>
    <col min="3" max="3" width="28.21875" style="3" customWidth="1"/>
    <col min="4" max="4" width="36.5546875" style="3" customWidth="1"/>
    <col min="5" max="5" width="15.5546875" style="3" customWidth="1"/>
    <col min="6" max="6" width="29" style="3" customWidth="1"/>
    <col min="7" max="7" width="12.77734375" style="3" customWidth="1"/>
    <col min="8" max="8" width="25.44140625" style="3" customWidth="1"/>
    <col min="9" max="9" width="17" style="3" customWidth="1"/>
    <col min="10" max="10" width="8.88671875" style="3"/>
    <col min="11" max="11" width="19.66406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492</v>
      </c>
      <c r="F3" s="16"/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E7" s="47"/>
      <c r="F7" s="47"/>
      <c r="G7" s="47"/>
      <c r="H7" s="47"/>
      <c r="I7" s="47"/>
    </row>
    <row r="8" spans="1:12" ht="15" customHeight="1" x14ac:dyDescent="0.7">
      <c r="B8" s="16"/>
      <c r="E8" s="47"/>
      <c r="F8" s="47"/>
      <c r="G8" s="47"/>
      <c r="H8" s="47"/>
      <c r="I8" s="47"/>
    </row>
    <row r="9" spans="1:12" ht="15" customHeight="1" x14ac:dyDescent="0.4">
      <c r="B9" s="21" t="s">
        <v>85</v>
      </c>
      <c r="E9" s="47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COUNTIF(F$26:H$178,"Bangor City 1")</f>
        <v>22</v>
      </c>
      <c r="B10" s="3" t="s">
        <v>201</v>
      </c>
      <c r="C10" s="74">
        <v>3362203</v>
      </c>
      <c r="D10" s="57">
        <f>COUNTIF(F$26:I$178,"3362203")</f>
        <v>22</v>
      </c>
      <c r="E10" s="47"/>
      <c r="F10" s="57">
        <f>COUNTIF(F$26:F$178,"Bangor City 1")</f>
        <v>11</v>
      </c>
      <c r="G10" s="47"/>
      <c r="H10" s="57">
        <f>COUNTIF(H$26:H$178,"Bangor City 1")</f>
        <v>11</v>
      </c>
      <c r="I10" s="57">
        <f>COUNTIF(F$26:F$101,"Bangor City 1")</f>
        <v>6</v>
      </c>
      <c r="J10" s="57">
        <f>COUNTIF(F$102:F$178,"Bangor City 1")</f>
        <v>5</v>
      </c>
      <c r="K10" s="57">
        <f>COUNTIF(H$26:H$101,"Bangor City 1")</f>
        <v>5</v>
      </c>
      <c r="L10" s="57">
        <f>COUNTIF(H$102:H$178,"Bangor City 1")</f>
        <v>6</v>
      </c>
    </row>
    <row r="11" spans="1:12" ht="15" customHeight="1" x14ac:dyDescent="0.3">
      <c r="A11" s="47">
        <f>COUNTIF(F$26:H$178,"Bangor University 1")</f>
        <v>22</v>
      </c>
      <c r="B11" s="3" t="s">
        <v>154</v>
      </c>
      <c r="C11" s="74">
        <v>3362109</v>
      </c>
      <c r="D11" s="57">
        <f>COUNTIF(F$26:I$178,"3362109")</f>
        <v>22</v>
      </c>
      <c r="E11" s="47"/>
      <c r="F11" s="57">
        <f>COUNTIF(F$26:F$178,"Bangor University 1")</f>
        <v>11</v>
      </c>
      <c r="G11" s="47"/>
      <c r="H11" s="57">
        <f>COUNTIF(H$26:H$178,"Bangor University 1")</f>
        <v>11</v>
      </c>
      <c r="I11" s="57">
        <f>COUNTIF(F$26:F$101,"Bangor University 1")</f>
        <v>5</v>
      </c>
      <c r="J11" s="57">
        <f>COUNTIF(F$102:F$178,"Bangor University 1")</f>
        <v>6</v>
      </c>
      <c r="K11" s="57">
        <f>COUNTIF(H$26:H$101,"Bangor University 1")</f>
        <v>6</v>
      </c>
      <c r="L11" s="57">
        <f>COUNTIF(H$102:H$178,"Bangor University 1")</f>
        <v>5</v>
      </c>
    </row>
    <row r="12" spans="1:12" ht="15" customHeight="1" x14ac:dyDescent="0.3">
      <c r="A12" s="47">
        <f>COUNTIF(F$26:H$178,"Birkenhead 1")</f>
        <v>22</v>
      </c>
      <c r="B12" s="3" t="s">
        <v>155</v>
      </c>
      <c r="C12" s="74">
        <v>3361600</v>
      </c>
      <c r="D12" s="57">
        <f>COUNTIF(F$26:I$178,"3361600")</f>
        <v>22</v>
      </c>
      <c r="E12" s="47"/>
      <c r="F12" s="57">
        <f>COUNTIF(F$26:F$178,"Birkenhead 1")</f>
        <v>11</v>
      </c>
      <c r="G12" s="47"/>
      <c r="H12" s="57">
        <f>COUNTIF(H$26:H$178,"Birkenhead 1")</f>
        <v>11</v>
      </c>
      <c r="I12" s="57">
        <f>COUNTIF(F$26:F$101,"Birkenhead 1")</f>
        <v>5</v>
      </c>
      <c r="J12" s="57">
        <f>COUNTIF(F$102:F$178,"Birkenhead 1")</f>
        <v>6</v>
      </c>
      <c r="K12" s="57">
        <f>COUNTIF(H$26:H$101,"Birkenhead 1")</f>
        <v>6</v>
      </c>
      <c r="L12" s="57">
        <f>COUNTIF(H$102:H$178,"Birkenhead 1")</f>
        <v>5</v>
      </c>
    </row>
    <row r="13" spans="1:12" ht="15" customHeight="1" x14ac:dyDescent="0.3">
      <c r="A13" s="47">
        <f>COUNTIF(F$26:H$178,"Clwb Hoci Eirias 2")</f>
        <v>22</v>
      </c>
      <c r="B13" s="3" t="s">
        <v>157</v>
      </c>
      <c r="C13" s="74">
        <v>3358503</v>
      </c>
      <c r="D13" s="57">
        <f>COUNTIF(F$26:I$178,"3358503")</f>
        <v>22</v>
      </c>
      <c r="E13" s="47"/>
      <c r="F13" s="57">
        <f>COUNTIF(F$26:F$178,"Clwb Hoci Eirias 2")</f>
        <v>11</v>
      </c>
      <c r="G13" s="47"/>
      <c r="H13" s="57">
        <f>COUNTIF(H$26:H$178,"Clwb Hoci Eirias 2")</f>
        <v>11</v>
      </c>
      <c r="I13" s="57">
        <f>COUNTIF(F$26:F$101,"Clwb Hoci Eirias 2")</f>
        <v>5</v>
      </c>
      <c r="J13" s="57">
        <f>COUNTIF(F$102:F$178,"Clwb Hoci Eirias 2")</f>
        <v>6</v>
      </c>
      <c r="K13" s="57">
        <f>COUNTIF(H$26:H$101,"Clwb Hoci Eirias 2")</f>
        <v>6</v>
      </c>
      <c r="L13" s="57">
        <f>COUNTIF(H$102:H$178,"Clwb Hoci Eirias 2")</f>
        <v>5</v>
      </c>
    </row>
    <row r="14" spans="1:12" ht="15" customHeight="1" x14ac:dyDescent="0.3">
      <c r="A14" s="47">
        <f>COUNTIF(F$26:H$178,"Formby 2")</f>
        <v>22</v>
      </c>
      <c r="B14" s="3" t="s">
        <v>158</v>
      </c>
      <c r="C14" s="74">
        <v>3356901</v>
      </c>
      <c r="D14" s="57">
        <f>COUNTIF(F$26:I$178,"3356901")</f>
        <v>22</v>
      </c>
      <c r="E14" s="47"/>
      <c r="F14" s="57">
        <f>COUNTIF(F$26:F$178,"Formby 2")</f>
        <v>11</v>
      </c>
      <c r="G14" s="47"/>
      <c r="H14" s="57">
        <f>COUNTIF(H$26:H$178,"Formby 2")</f>
        <v>11</v>
      </c>
      <c r="I14" s="57">
        <f>COUNTIF(F$26:F$101,"Formby 2")</f>
        <v>5</v>
      </c>
      <c r="J14" s="57">
        <f>COUNTIF(F$102:F$178,"Formby 2")</f>
        <v>6</v>
      </c>
      <c r="K14" s="57">
        <f>COUNTIF(H$26:H$101,"Formby 2")</f>
        <v>6</v>
      </c>
      <c r="L14" s="57">
        <f>COUNTIF(H$102:H$178,"Formby 2")</f>
        <v>5</v>
      </c>
    </row>
    <row r="15" spans="1:12" x14ac:dyDescent="0.3">
      <c r="A15" s="47">
        <f>COUNTIF(F$26:H$178,"Liverpool Sefton 2")</f>
        <v>22</v>
      </c>
      <c r="B15" s="3" t="s">
        <v>159</v>
      </c>
      <c r="C15" s="74">
        <v>3354403</v>
      </c>
      <c r="D15" s="57">
        <f>COUNTIF(F$26:I$178,"3354403")</f>
        <v>22</v>
      </c>
      <c r="E15" s="47"/>
      <c r="F15" s="57">
        <f>COUNTIF(F$26:F$178,"Liverpool Sefton 2")</f>
        <v>11</v>
      </c>
      <c r="G15" s="47"/>
      <c r="H15" s="57">
        <f>COUNTIF(H$26:H$178,"Liverpool Sefton 2")</f>
        <v>11</v>
      </c>
      <c r="I15" s="57">
        <f>COUNTIF(F$26:F$101,"Liverpool Sefton 2")</f>
        <v>5</v>
      </c>
      <c r="J15" s="57">
        <f>COUNTIF(F$102:F$178,"Liverpool Sefton 2")</f>
        <v>6</v>
      </c>
      <c r="K15" s="57">
        <f>COUNTIF(H$26:H$101,"Liverpool Sefton 2")</f>
        <v>6</v>
      </c>
      <c r="L15" s="57">
        <f>COUNTIF(H$102:H$178,"Liverpool Sefton 2")</f>
        <v>5</v>
      </c>
    </row>
    <row r="16" spans="1:12" x14ac:dyDescent="0.3">
      <c r="A16" s="47">
        <f>COUNTIF(F$26:H$178,"Liverpool Sefton 3")</f>
        <v>22</v>
      </c>
      <c r="B16" s="103" t="s">
        <v>194</v>
      </c>
      <c r="C16" s="74">
        <v>3354205</v>
      </c>
      <c r="D16" s="57">
        <f>COUNTIF(F$26:I$178,"3354205")</f>
        <v>22</v>
      </c>
      <c r="E16" s="47"/>
      <c r="F16" s="57">
        <f>COUNTIF(F$26:F$178,"Liverpool Sefton 3")</f>
        <v>11</v>
      </c>
      <c r="G16" s="47"/>
      <c r="H16" s="57">
        <f>COUNTIF(H$26:H$178,"Liverpool Sefton 3")</f>
        <v>11</v>
      </c>
      <c r="I16" s="57">
        <f>COUNTIF(F$26:F$101,"Liverpool Sefton 3")</f>
        <v>6</v>
      </c>
      <c r="J16" s="57">
        <f>COUNTIF(F$102:F$178,"Liverpool Sefton 3")</f>
        <v>5</v>
      </c>
      <c r="K16" s="57">
        <f>COUNTIF(H$26:H$101,"Liverpool Sefton 3")</f>
        <v>5</v>
      </c>
      <c r="L16" s="57">
        <f>COUNTIF(H$102:H$178,"Liverpool Sefton 3")</f>
        <v>6</v>
      </c>
    </row>
    <row r="17" spans="1:12" x14ac:dyDescent="0.3">
      <c r="A17" s="47">
        <f>COUNTIF(F$26:H$178,"Neston 4")</f>
        <v>22</v>
      </c>
      <c r="B17" s="3" t="s">
        <v>161</v>
      </c>
      <c r="C17" s="74">
        <v>3352509</v>
      </c>
      <c r="D17" s="57">
        <f>COUNTIF(F$26:I$178,"3352509")</f>
        <v>22</v>
      </c>
      <c r="E17" s="47"/>
      <c r="F17" s="57">
        <f>COUNTIF(F$26:F$178,"Neston 4")</f>
        <v>11</v>
      </c>
      <c r="G17" s="47"/>
      <c r="H17" s="57">
        <f>COUNTIF(H$26:H$178,"Neston 4")</f>
        <v>11</v>
      </c>
      <c r="I17" s="57">
        <f>COUNTIF(F$26:F$101,"Neston 4")</f>
        <v>6</v>
      </c>
      <c r="J17" s="57">
        <f>COUNTIF(F$102:F$178,"Neston 4")</f>
        <v>5</v>
      </c>
      <c r="K17" s="57">
        <f>COUNTIF(H$26:H$101,"Neston 4")</f>
        <v>5</v>
      </c>
      <c r="L17" s="57">
        <f>COUNTIF(H$102:H$178,"Neston 4")</f>
        <v>6</v>
      </c>
    </row>
    <row r="18" spans="1:12" x14ac:dyDescent="0.3">
      <c r="A18" s="47">
        <f>COUNTIF(F$26:H$178,"Northern 1")</f>
        <v>22</v>
      </c>
      <c r="B18" s="3" t="s">
        <v>162</v>
      </c>
      <c r="C18" s="74">
        <v>3348903</v>
      </c>
      <c r="D18" s="57">
        <f>COUNTIF(F$26:I$178,"3348903")</f>
        <v>22</v>
      </c>
      <c r="E18" s="47"/>
      <c r="F18" s="57">
        <f>COUNTIF(F$26:F$178,"Northern 1")</f>
        <v>11</v>
      </c>
      <c r="G18" s="47"/>
      <c r="H18" s="57">
        <f>COUNTIF(H$26:H$178,"Northern 1")</f>
        <v>11</v>
      </c>
      <c r="I18" s="57">
        <f>COUNTIF(F$26:F$101,"Northern 1")</f>
        <v>5</v>
      </c>
      <c r="J18" s="57">
        <f>COUNTIF(F$102:F$178,"Northern 1")</f>
        <v>6</v>
      </c>
      <c r="K18" s="57">
        <f>COUNTIF(H$26:H$101,"Northern 1")</f>
        <v>6</v>
      </c>
      <c r="L18" s="57">
        <f>COUNTIF(H$102:H$178,"Northern 1")</f>
        <v>5</v>
      </c>
    </row>
    <row r="19" spans="1:12" x14ac:dyDescent="0.3">
      <c r="A19" s="47">
        <f>COUNTIF(F$26:H$178,"St Helens 1")</f>
        <v>22</v>
      </c>
      <c r="B19" s="3" t="s">
        <v>165</v>
      </c>
      <c r="C19" s="74">
        <v>3349006</v>
      </c>
      <c r="D19" s="57">
        <f>COUNTIF(F$26:I$178,"3349006")</f>
        <v>22</v>
      </c>
      <c r="E19" s="47"/>
      <c r="F19" s="57">
        <f>COUNTIF(F$26:F$178,"St Helens 1")</f>
        <v>11</v>
      </c>
      <c r="G19" s="47"/>
      <c r="H19" s="57">
        <f>COUNTIF(H$26:H$178,"St Helens 1")</f>
        <v>11</v>
      </c>
      <c r="I19" s="57">
        <f>COUNTIF(F$26:F$101,"St Helens 1")</f>
        <v>6</v>
      </c>
      <c r="J19" s="57">
        <f>COUNTIF(F$102:F$178,"St Helens 1")</f>
        <v>5</v>
      </c>
      <c r="K19" s="57">
        <f>COUNTIF(H$26:H$101,"St Helens 1")</f>
        <v>5</v>
      </c>
      <c r="L19" s="57">
        <f>COUNTIF(H$102:H$178,"St Helens 1")</f>
        <v>6</v>
      </c>
    </row>
    <row r="20" spans="1:12" x14ac:dyDescent="0.3">
      <c r="A20" s="47">
        <f>COUNTIF(F$26:H$178,"Warrington 1")</f>
        <v>22</v>
      </c>
      <c r="B20" s="3" t="s">
        <v>145</v>
      </c>
      <c r="C20" s="74">
        <v>3347404</v>
      </c>
      <c r="D20" s="57">
        <f>COUNTIF(F$26:I$178,"3347404")</f>
        <v>22</v>
      </c>
      <c r="E20" s="47"/>
      <c r="F20" s="57">
        <f>COUNTIF(F$26:F$178,"Warrington 1")</f>
        <v>11</v>
      </c>
      <c r="G20" s="47"/>
      <c r="H20" s="57">
        <f>COUNTIF(H$26:H$178,"Warrington 1")</f>
        <v>11</v>
      </c>
      <c r="I20" s="57">
        <f>COUNTIF(F$26:F$101,"Warrington 1")</f>
        <v>6</v>
      </c>
      <c r="J20" s="57">
        <f>COUNTIF(F$102:F$178,"Warrington 1")</f>
        <v>5</v>
      </c>
      <c r="K20" s="57">
        <f>COUNTIF(H$26:H$101,"Warrington 1")</f>
        <v>5</v>
      </c>
      <c r="L20" s="57">
        <f>COUNTIF(H$102:H$178,"Warrington 1")</f>
        <v>6</v>
      </c>
    </row>
    <row r="21" spans="1:12" x14ac:dyDescent="0.3">
      <c r="A21" s="47">
        <f>COUNTIF(F$26:H$178,"West Derby 2")</f>
        <v>22</v>
      </c>
      <c r="B21" s="3" t="s">
        <v>134</v>
      </c>
      <c r="C21" s="74">
        <v>3347102</v>
      </c>
      <c r="D21" s="57">
        <f>COUNTIF(F$26:I$178,"3347102")</f>
        <v>22</v>
      </c>
      <c r="E21" s="47"/>
      <c r="F21" s="57">
        <f>COUNTIF(F$26:F$178,"West Derby 2")</f>
        <v>11</v>
      </c>
      <c r="G21" s="47"/>
      <c r="H21" s="57">
        <f>COUNTIF(H$26:H$178,"West Derby 2")</f>
        <v>11</v>
      </c>
      <c r="I21" s="57">
        <f>COUNTIF(F$26:F$101,"West Derby 2")</f>
        <v>6</v>
      </c>
      <c r="J21" s="57">
        <f>COUNTIF(F$102:F$178,"West Derby 2")</f>
        <v>5</v>
      </c>
      <c r="K21" s="57">
        <f>COUNTIF(H$26:H$101,"West Derby 2")</f>
        <v>5</v>
      </c>
      <c r="L21" s="57">
        <f>COUNTIF(H$102:H$178,"West Derby 2")</f>
        <v>6</v>
      </c>
    </row>
    <row r="22" spans="1:12" x14ac:dyDescent="0.3">
      <c r="E22" s="47"/>
      <c r="F22" s="47"/>
      <c r="G22" s="47"/>
      <c r="H22" s="47"/>
      <c r="I22" s="47"/>
    </row>
    <row r="23" spans="1:12" ht="21" x14ac:dyDescent="0.4">
      <c r="B23" s="22" t="s">
        <v>93</v>
      </c>
      <c r="E23" s="47"/>
      <c r="F23" s="47"/>
      <c r="G23" s="47"/>
      <c r="H23" s="47"/>
      <c r="I23" s="47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6" spans="1:12" s="3" customFormat="1" x14ac:dyDescent="0.3">
      <c r="B26" s="44">
        <v>45913</v>
      </c>
      <c r="C26" s="3" t="s">
        <v>416</v>
      </c>
      <c r="D26" s="3" t="s">
        <v>492</v>
      </c>
      <c r="E26" s="101"/>
      <c r="F26" s="4" t="s">
        <v>201</v>
      </c>
      <c r="G26" s="4">
        <v>3362203</v>
      </c>
      <c r="H26" s="3" t="s">
        <v>154</v>
      </c>
      <c r="I26" s="4">
        <v>3362109</v>
      </c>
      <c r="K26" s="51"/>
    </row>
    <row r="27" spans="1:12" s="3" customFormat="1" x14ac:dyDescent="0.3">
      <c r="B27" s="44">
        <v>45913</v>
      </c>
      <c r="C27" s="3" t="s">
        <v>416</v>
      </c>
      <c r="D27" s="3" t="s">
        <v>492</v>
      </c>
      <c r="E27" s="101"/>
      <c r="F27" s="4" t="s">
        <v>157</v>
      </c>
      <c r="G27" s="4">
        <v>3358503</v>
      </c>
      <c r="H27" s="3" t="s">
        <v>158</v>
      </c>
      <c r="I27" s="4">
        <v>3356901</v>
      </c>
      <c r="K27" s="51"/>
    </row>
    <row r="28" spans="1:12" s="3" customFormat="1" x14ac:dyDescent="0.3">
      <c r="B28" s="44">
        <v>45913</v>
      </c>
      <c r="C28" s="3" t="s">
        <v>416</v>
      </c>
      <c r="D28" s="3" t="s">
        <v>492</v>
      </c>
      <c r="E28" s="101"/>
      <c r="F28" s="4" t="s">
        <v>194</v>
      </c>
      <c r="G28" s="4">
        <v>3354205</v>
      </c>
      <c r="H28" s="3" t="s">
        <v>159</v>
      </c>
      <c r="I28" s="4">
        <v>3354403</v>
      </c>
      <c r="K28" s="51"/>
    </row>
    <row r="29" spans="1:12" s="3" customFormat="1" x14ac:dyDescent="0.3">
      <c r="B29" s="44">
        <v>45913</v>
      </c>
      <c r="C29" s="3" t="s">
        <v>416</v>
      </c>
      <c r="D29" s="3" t="s">
        <v>492</v>
      </c>
      <c r="E29" s="101"/>
      <c r="F29" s="4" t="s">
        <v>145</v>
      </c>
      <c r="G29" s="4">
        <v>3347404</v>
      </c>
      <c r="H29" s="3" t="s">
        <v>162</v>
      </c>
      <c r="I29" s="4">
        <v>3348903</v>
      </c>
      <c r="K29" s="51"/>
    </row>
    <row r="30" spans="1:12" s="3" customFormat="1" x14ac:dyDescent="0.3">
      <c r="B30" s="44">
        <v>45913</v>
      </c>
      <c r="C30" s="3" t="s">
        <v>416</v>
      </c>
      <c r="D30" s="3" t="s">
        <v>492</v>
      </c>
      <c r="E30" s="101"/>
      <c r="F30" s="4" t="s">
        <v>165</v>
      </c>
      <c r="G30" s="4">
        <v>3349006</v>
      </c>
      <c r="H30" s="3" t="s">
        <v>155</v>
      </c>
      <c r="I30" s="4">
        <v>3361600</v>
      </c>
      <c r="K30" s="51"/>
    </row>
    <row r="31" spans="1:12" s="3" customFormat="1" x14ac:dyDescent="0.3">
      <c r="B31" s="44">
        <v>45913</v>
      </c>
      <c r="C31" s="3" t="s">
        <v>416</v>
      </c>
      <c r="D31" s="3" t="s">
        <v>492</v>
      </c>
      <c r="E31" s="101"/>
      <c r="F31" s="4" t="s">
        <v>134</v>
      </c>
      <c r="G31" s="4">
        <v>3347102</v>
      </c>
      <c r="H31" s="3" t="s">
        <v>161</v>
      </c>
      <c r="I31" s="4">
        <v>3352509</v>
      </c>
      <c r="K31" s="51"/>
    </row>
    <row r="32" spans="1:12" s="3" customFormat="1" x14ac:dyDescent="0.3">
      <c r="B32" s="4"/>
      <c r="E32" s="101"/>
      <c r="F32" s="4" t="s">
        <v>418</v>
      </c>
      <c r="G32" s="4"/>
      <c r="K32" s="51"/>
    </row>
    <row r="33" spans="2:11" s="3" customFormat="1" x14ac:dyDescent="0.3">
      <c r="B33" s="44">
        <v>45920</v>
      </c>
      <c r="C33" s="3" t="s">
        <v>416</v>
      </c>
      <c r="D33" s="3" t="s">
        <v>492</v>
      </c>
      <c r="E33" s="101"/>
      <c r="F33" s="3" t="s">
        <v>161</v>
      </c>
      <c r="G33" s="4">
        <v>3352509</v>
      </c>
      <c r="H33" s="4" t="s">
        <v>157</v>
      </c>
      <c r="I33" s="4">
        <v>3358503</v>
      </c>
      <c r="K33" s="51"/>
    </row>
    <row r="34" spans="2:11" s="3" customFormat="1" x14ac:dyDescent="0.3">
      <c r="B34" s="44">
        <v>45920</v>
      </c>
      <c r="C34" s="3" t="s">
        <v>416</v>
      </c>
      <c r="D34" s="3" t="s">
        <v>492</v>
      </c>
      <c r="E34" s="101"/>
      <c r="F34" s="3" t="s">
        <v>159</v>
      </c>
      <c r="G34" s="4">
        <v>3354403</v>
      </c>
      <c r="H34" s="4" t="s">
        <v>165</v>
      </c>
      <c r="I34" s="4">
        <v>3349006</v>
      </c>
      <c r="K34" s="51"/>
    </row>
    <row r="35" spans="2:11" s="3" customFormat="1" x14ac:dyDescent="0.3">
      <c r="B35" s="44">
        <v>45920</v>
      </c>
      <c r="C35" s="3" t="s">
        <v>416</v>
      </c>
      <c r="D35" s="3" t="s">
        <v>492</v>
      </c>
      <c r="E35" s="101"/>
      <c r="F35" s="3" t="s">
        <v>162</v>
      </c>
      <c r="G35" s="4">
        <v>3348903</v>
      </c>
      <c r="H35" s="4" t="s">
        <v>134</v>
      </c>
      <c r="I35" s="4">
        <v>3347102</v>
      </c>
      <c r="K35" s="51"/>
    </row>
    <row r="36" spans="2:11" s="3" customFormat="1" x14ac:dyDescent="0.3">
      <c r="B36" s="44">
        <v>45920</v>
      </c>
      <c r="C36" s="3" t="s">
        <v>416</v>
      </c>
      <c r="D36" s="3" t="s">
        <v>492</v>
      </c>
      <c r="E36" s="101"/>
      <c r="F36" s="3" t="s">
        <v>155</v>
      </c>
      <c r="G36" s="4">
        <v>3361600</v>
      </c>
      <c r="H36" s="4" t="s">
        <v>145</v>
      </c>
      <c r="I36" s="4">
        <v>3347404</v>
      </c>
      <c r="K36" s="51"/>
    </row>
    <row r="37" spans="2:11" s="3" customFormat="1" x14ac:dyDescent="0.3">
      <c r="B37" s="44">
        <v>45920</v>
      </c>
      <c r="C37" s="3" t="s">
        <v>416</v>
      </c>
      <c r="D37" s="3" t="s">
        <v>492</v>
      </c>
      <c r="E37" s="101"/>
      <c r="F37" s="3" t="s">
        <v>154</v>
      </c>
      <c r="G37" s="4">
        <v>3362109</v>
      </c>
      <c r="H37" s="4" t="s">
        <v>194</v>
      </c>
      <c r="I37" s="4">
        <v>3354205</v>
      </c>
      <c r="K37" s="51"/>
    </row>
    <row r="38" spans="2:11" s="3" customFormat="1" x14ac:dyDescent="0.3">
      <c r="B38" s="44">
        <v>45920</v>
      </c>
      <c r="C38" s="3" t="s">
        <v>416</v>
      </c>
      <c r="D38" s="3" t="s">
        <v>492</v>
      </c>
      <c r="E38" s="101"/>
      <c r="F38" s="3" t="s">
        <v>158</v>
      </c>
      <c r="G38" s="4">
        <v>3356901</v>
      </c>
      <c r="H38" s="4" t="s">
        <v>201</v>
      </c>
      <c r="I38" s="4">
        <v>3362203</v>
      </c>
      <c r="K38" s="51"/>
    </row>
    <row r="39" spans="2:11" s="3" customFormat="1" x14ac:dyDescent="0.3">
      <c r="B39" s="4"/>
      <c r="E39" s="101"/>
      <c r="F39" s="4"/>
      <c r="G39" s="4"/>
      <c r="K39" s="51"/>
    </row>
    <row r="40" spans="2:11" s="3" customFormat="1" x14ac:dyDescent="0.3">
      <c r="B40" s="44">
        <v>45927</v>
      </c>
      <c r="C40" s="3" t="s">
        <v>416</v>
      </c>
      <c r="D40" s="3" t="s">
        <v>492</v>
      </c>
      <c r="E40" s="101"/>
      <c r="F40" s="3" t="s">
        <v>161</v>
      </c>
      <c r="G40" s="4">
        <v>3352509</v>
      </c>
      <c r="H40" s="3" t="s">
        <v>162</v>
      </c>
      <c r="I40" s="4">
        <v>3348903</v>
      </c>
      <c r="K40" s="51"/>
    </row>
    <row r="41" spans="2:11" s="3" customFormat="1" x14ac:dyDescent="0.3">
      <c r="B41" s="44">
        <v>45927</v>
      </c>
      <c r="C41" s="3" t="s">
        <v>416</v>
      </c>
      <c r="D41" s="3" t="s">
        <v>492</v>
      </c>
      <c r="E41" s="101"/>
      <c r="F41" s="4" t="s">
        <v>201</v>
      </c>
      <c r="G41" s="4">
        <v>3362203</v>
      </c>
      <c r="H41" s="4" t="s">
        <v>157</v>
      </c>
      <c r="I41" s="4">
        <v>3358503</v>
      </c>
      <c r="K41" s="51"/>
    </row>
    <row r="42" spans="2:11" s="3" customFormat="1" x14ac:dyDescent="0.3">
      <c r="B42" s="44">
        <v>45927</v>
      </c>
      <c r="C42" s="3" t="s">
        <v>416</v>
      </c>
      <c r="D42" s="3" t="s">
        <v>492</v>
      </c>
      <c r="E42" s="101"/>
      <c r="F42" s="4" t="s">
        <v>194</v>
      </c>
      <c r="G42" s="4">
        <v>3354205</v>
      </c>
      <c r="H42" s="3" t="s">
        <v>158</v>
      </c>
      <c r="I42" s="4">
        <v>3356901</v>
      </c>
      <c r="K42" s="51"/>
    </row>
    <row r="43" spans="2:11" s="3" customFormat="1" x14ac:dyDescent="0.3">
      <c r="B43" s="44">
        <v>45927</v>
      </c>
      <c r="C43" s="3" t="s">
        <v>416</v>
      </c>
      <c r="D43" s="3" t="s">
        <v>492</v>
      </c>
      <c r="E43" s="101"/>
      <c r="F43" s="4" t="s">
        <v>145</v>
      </c>
      <c r="G43" s="4">
        <v>3347404</v>
      </c>
      <c r="H43" s="3" t="s">
        <v>159</v>
      </c>
      <c r="I43" s="4">
        <v>3354403</v>
      </c>
      <c r="K43" s="51"/>
    </row>
    <row r="44" spans="2:11" s="3" customFormat="1" x14ac:dyDescent="0.3">
      <c r="B44" s="44">
        <v>45927</v>
      </c>
      <c r="C44" s="3" t="s">
        <v>416</v>
      </c>
      <c r="D44" s="3" t="s">
        <v>492</v>
      </c>
      <c r="E44" s="101"/>
      <c r="F44" s="4" t="s">
        <v>165</v>
      </c>
      <c r="G44" s="4">
        <v>3349006</v>
      </c>
      <c r="H44" s="3" t="s">
        <v>154</v>
      </c>
      <c r="I44" s="4">
        <v>3362109</v>
      </c>
      <c r="K44" s="51"/>
    </row>
    <row r="45" spans="2:11" s="3" customFormat="1" x14ac:dyDescent="0.3">
      <c r="B45" s="44">
        <v>45927</v>
      </c>
      <c r="C45" s="3" t="s">
        <v>416</v>
      </c>
      <c r="D45" s="3" t="s">
        <v>492</v>
      </c>
      <c r="E45" s="101"/>
      <c r="F45" s="4" t="s">
        <v>134</v>
      </c>
      <c r="G45" s="4">
        <v>3347102</v>
      </c>
      <c r="H45" s="3" t="s">
        <v>155</v>
      </c>
      <c r="I45" s="4">
        <v>3361600</v>
      </c>
      <c r="K45" s="51"/>
    </row>
    <row r="46" spans="2:11" s="3" customFormat="1" x14ac:dyDescent="0.3">
      <c r="B46" s="4"/>
      <c r="E46" s="101"/>
      <c r="F46" s="4" t="s">
        <v>418</v>
      </c>
      <c r="G46" s="4"/>
      <c r="K46" s="51"/>
    </row>
    <row r="47" spans="2:11" s="3" customFormat="1" x14ac:dyDescent="0.3">
      <c r="B47" s="44">
        <v>45934</v>
      </c>
      <c r="C47" s="3" t="s">
        <v>416</v>
      </c>
      <c r="D47" s="3" t="s">
        <v>492</v>
      </c>
      <c r="E47" s="101"/>
      <c r="F47" s="4" t="s">
        <v>201</v>
      </c>
      <c r="G47" s="4">
        <v>3362203</v>
      </c>
      <c r="H47" s="3" t="s">
        <v>161</v>
      </c>
      <c r="I47" s="4">
        <v>3352509</v>
      </c>
      <c r="K47" s="51"/>
    </row>
    <row r="48" spans="2:11" s="3" customFormat="1" x14ac:dyDescent="0.3">
      <c r="B48" s="44">
        <v>45934</v>
      </c>
      <c r="C48" s="3" t="s">
        <v>416</v>
      </c>
      <c r="D48" s="3" t="s">
        <v>492</v>
      </c>
      <c r="E48" s="101"/>
      <c r="F48" s="4" t="s">
        <v>157</v>
      </c>
      <c r="G48" s="4">
        <v>3358503</v>
      </c>
      <c r="H48" s="4" t="s">
        <v>194</v>
      </c>
      <c r="I48" s="4">
        <v>3354205</v>
      </c>
      <c r="K48" s="51"/>
    </row>
    <row r="49" spans="2:11" s="3" customFormat="1" x14ac:dyDescent="0.3">
      <c r="B49" s="44">
        <v>45934</v>
      </c>
      <c r="C49" s="3" t="s">
        <v>416</v>
      </c>
      <c r="D49" s="3" t="s">
        <v>492</v>
      </c>
      <c r="E49" s="101"/>
      <c r="F49" s="3" t="s">
        <v>159</v>
      </c>
      <c r="G49" s="4">
        <v>3354403</v>
      </c>
      <c r="H49" s="4" t="s">
        <v>134</v>
      </c>
      <c r="I49" s="4">
        <v>3347102</v>
      </c>
      <c r="K49" s="51"/>
    </row>
    <row r="50" spans="2:11" s="3" customFormat="1" x14ac:dyDescent="0.3">
      <c r="B50" s="44">
        <v>45934</v>
      </c>
      <c r="C50" s="3" t="s">
        <v>416</v>
      </c>
      <c r="D50" s="3" t="s">
        <v>492</v>
      </c>
      <c r="E50" s="101"/>
      <c r="F50" s="3" t="s">
        <v>155</v>
      </c>
      <c r="G50" s="4">
        <v>3361600</v>
      </c>
      <c r="H50" s="3" t="s">
        <v>162</v>
      </c>
      <c r="I50" s="4">
        <v>3348903</v>
      </c>
      <c r="K50" s="51"/>
    </row>
    <row r="51" spans="2:11" s="3" customFormat="1" x14ac:dyDescent="0.3">
      <c r="B51" s="44">
        <v>45934</v>
      </c>
      <c r="C51" s="3" t="s">
        <v>416</v>
      </c>
      <c r="D51" s="3" t="s">
        <v>492</v>
      </c>
      <c r="E51" s="101"/>
      <c r="F51" s="3" t="s">
        <v>154</v>
      </c>
      <c r="G51" s="4">
        <v>3362109</v>
      </c>
      <c r="H51" s="4" t="s">
        <v>145</v>
      </c>
      <c r="I51" s="4">
        <v>3347404</v>
      </c>
      <c r="K51" s="51"/>
    </row>
    <row r="52" spans="2:11" s="3" customFormat="1" x14ac:dyDescent="0.3">
      <c r="B52" s="44">
        <v>45934</v>
      </c>
      <c r="C52" s="3" t="s">
        <v>416</v>
      </c>
      <c r="D52" s="3" t="s">
        <v>492</v>
      </c>
      <c r="E52" s="101"/>
      <c r="F52" s="3" t="s">
        <v>158</v>
      </c>
      <c r="G52" s="4">
        <v>3356901</v>
      </c>
      <c r="H52" s="4" t="s">
        <v>165</v>
      </c>
      <c r="I52" s="4">
        <v>3349006</v>
      </c>
      <c r="K52" s="51"/>
    </row>
    <row r="53" spans="2:11" s="3" customFormat="1" x14ac:dyDescent="0.3">
      <c r="B53" s="4"/>
      <c r="E53" s="101"/>
      <c r="F53" s="4" t="s">
        <v>418</v>
      </c>
      <c r="G53" s="4"/>
      <c r="K53" s="51"/>
    </row>
    <row r="54" spans="2:11" s="3" customFormat="1" x14ac:dyDescent="0.3">
      <c r="B54" s="44">
        <v>45941</v>
      </c>
      <c r="C54" s="3" t="s">
        <v>416</v>
      </c>
      <c r="D54" s="3" t="s">
        <v>492</v>
      </c>
      <c r="E54" s="101"/>
      <c r="F54" s="3" t="s">
        <v>161</v>
      </c>
      <c r="G54" s="4">
        <v>3352509</v>
      </c>
      <c r="H54" s="3" t="s">
        <v>155</v>
      </c>
      <c r="I54" s="4">
        <v>3361600</v>
      </c>
      <c r="K54" s="51"/>
    </row>
    <row r="55" spans="2:11" s="3" customFormat="1" x14ac:dyDescent="0.3">
      <c r="B55" s="44">
        <v>45941</v>
      </c>
      <c r="C55" s="3" t="s">
        <v>416</v>
      </c>
      <c r="D55" s="3" t="s">
        <v>492</v>
      </c>
      <c r="E55" s="101"/>
      <c r="F55" s="4" t="s">
        <v>194</v>
      </c>
      <c r="G55" s="4">
        <v>3354205</v>
      </c>
      <c r="H55" s="4" t="s">
        <v>201</v>
      </c>
      <c r="I55" s="4">
        <v>3362203</v>
      </c>
      <c r="K55" s="51"/>
    </row>
    <row r="56" spans="2:11" s="3" customFormat="1" x14ac:dyDescent="0.3">
      <c r="B56" s="44">
        <v>45941</v>
      </c>
      <c r="C56" s="3" t="s">
        <v>416</v>
      </c>
      <c r="D56" s="3" t="s">
        <v>492</v>
      </c>
      <c r="E56" s="101"/>
      <c r="F56" s="4" t="s">
        <v>145</v>
      </c>
      <c r="G56" s="4">
        <v>3347404</v>
      </c>
      <c r="H56" s="3" t="s">
        <v>158</v>
      </c>
      <c r="I56" s="4">
        <v>3356901</v>
      </c>
      <c r="K56" s="51"/>
    </row>
    <row r="57" spans="2:11" s="3" customFormat="1" x14ac:dyDescent="0.3">
      <c r="B57" s="44">
        <v>45941</v>
      </c>
      <c r="C57" s="3" t="s">
        <v>416</v>
      </c>
      <c r="D57" s="3" t="s">
        <v>492</v>
      </c>
      <c r="E57" s="101"/>
      <c r="F57" s="3" t="s">
        <v>162</v>
      </c>
      <c r="G57" s="4">
        <v>3348903</v>
      </c>
      <c r="H57" s="3" t="s">
        <v>159</v>
      </c>
      <c r="I57" s="4">
        <v>3354403</v>
      </c>
      <c r="K57" s="51"/>
    </row>
    <row r="58" spans="2:11" s="3" customFormat="1" x14ac:dyDescent="0.3">
      <c r="B58" s="44">
        <v>45941</v>
      </c>
      <c r="C58" s="3" t="s">
        <v>416</v>
      </c>
      <c r="D58" s="3" t="s">
        <v>492</v>
      </c>
      <c r="E58" s="101"/>
      <c r="F58" s="4" t="s">
        <v>165</v>
      </c>
      <c r="G58" s="4">
        <v>3349006</v>
      </c>
      <c r="H58" s="4" t="s">
        <v>157</v>
      </c>
      <c r="I58" s="4">
        <v>3358503</v>
      </c>
      <c r="K58" s="51"/>
    </row>
    <row r="59" spans="2:11" s="3" customFormat="1" x14ac:dyDescent="0.3">
      <c r="B59" s="44">
        <v>45941</v>
      </c>
      <c r="C59" s="3" t="s">
        <v>416</v>
      </c>
      <c r="D59" s="3" t="s">
        <v>492</v>
      </c>
      <c r="E59" s="101"/>
      <c r="F59" s="4" t="s">
        <v>134</v>
      </c>
      <c r="G59" s="4">
        <v>3347102</v>
      </c>
      <c r="H59" s="3" t="s">
        <v>154</v>
      </c>
      <c r="I59" s="4">
        <v>3362109</v>
      </c>
      <c r="K59" s="51"/>
    </row>
    <row r="60" spans="2:11" s="3" customFormat="1" x14ac:dyDescent="0.3">
      <c r="B60" s="4"/>
      <c r="E60" s="101"/>
      <c r="F60" s="4" t="s">
        <v>418</v>
      </c>
      <c r="G60" s="4"/>
      <c r="K60" s="51"/>
    </row>
    <row r="61" spans="2:11" s="3" customFormat="1" x14ac:dyDescent="0.3">
      <c r="B61" s="44">
        <v>45948</v>
      </c>
      <c r="C61" s="3" t="s">
        <v>416</v>
      </c>
      <c r="D61" s="3" t="s">
        <v>492</v>
      </c>
      <c r="E61" s="101"/>
      <c r="F61" s="4" t="s">
        <v>201</v>
      </c>
      <c r="G61" s="4">
        <v>3362203</v>
      </c>
      <c r="H61" s="4" t="s">
        <v>165</v>
      </c>
      <c r="I61" s="4">
        <v>3349006</v>
      </c>
      <c r="K61" s="51"/>
    </row>
    <row r="62" spans="2:11" s="3" customFormat="1" x14ac:dyDescent="0.3">
      <c r="B62" s="44">
        <v>45948</v>
      </c>
      <c r="C62" s="3" t="s">
        <v>416</v>
      </c>
      <c r="D62" s="3" t="s">
        <v>492</v>
      </c>
      <c r="E62" s="101"/>
      <c r="F62" s="4" t="s">
        <v>157</v>
      </c>
      <c r="G62" s="4">
        <v>3358503</v>
      </c>
      <c r="H62" s="4" t="s">
        <v>145</v>
      </c>
      <c r="I62" s="4">
        <v>3347404</v>
      </c>
      <c r="K62" s="51"/>
    </row>
    <row r="63" spans="2:11" s="3" customFormat="1" x14ac:dyDescent="0.3">
      <c r="B63" s="44">
        <v>45948</v>
      </c>
      <c r="C63" s="3" t="s">
        <v>416</v>
      </c>
      <c r="D63" s="3" t="s">
        <v>492</v>
      </c>
      <c r="E63" s="101"/>
      <c r="F63" s="4" t="s">
        <v>194</v>
      </c>
      <c r="G63" s="4">
        <v>3354205</v>
      </c>
      <c r="H63" s="3" t="s">
        <v>161</v>
      </c>
      <c r="I63" s="4">
        <v>3352509</v>
      </c>
      <c r="K63" s="51"/>
    </row>
    <row r="64" spans="2:11" s="3" customFormat="1" x14ac:dyDescent="0.3">
      <c r="B64" s="44">
        <v>45948</v>
      </c>
      <c r="C64" s="3" t="s">
        <v>416</v>
      </c>
      <c r="D64" s="3" t="s">
        <v>492</v>
      </c>
      <c r="E64" s="101"/>
      <c r="F64" s="3" t="s">
        <v>159</v>
      </c>
      <c r="G64" s="4">
        <v>3354403</v>
      </c>
      <c r="H64" s="3" t="s">
        <v>155</v>
      </c>
      <c r="I64" s="4">
        <v>3361600</v>
      </c>
      <c r="K64" s="51"/>
    </row>
    <row r="65" spans="2:11" s="3" customFormat="1" x14ac:dyDescent="0.3">
      <c r="B65" s="44">
        <v>45948</v>
      </c>
      <c r="C65" s="3" t="s">
        <v>416</v>
      </c>
      <c r="D65" s="3" t="s">
        <v>492</v>
      </c>
      <c r="E65" s="101"/>
      <c r="F65" s="3" t="s">
        <v>154</v>
      </c>
      <c r="G65" s="4">
        <v>3362109</v>
      </c>
      <c r="H65" s="3" t="s">
        <v>162</v>
      </c>
      <c r="I65" s="4">
        <v>3348903</v>
      </c>
      <c r="K65" s="51"/>
    </row>
    <row r="66" spans="2:11" s="3" customFormat="1" x14ac:dyDescent="0.3">
      <c r="B66" s="44">
        <v>45948</v>
      </c>
      <c r="C66" s="3" t="s">
        <v>416</v>
      </c>
      <c r="D66" s="3" t="s">
        <v>492</v>
      </c>
      <c r="E66" s="101"/>
      <c r="F66" s="3" t="s">
        <v>158</v>
      </c>
      <c r="G66" s="4">
        <v>3356901</v>
      </c>
      <c r="H66" s="4" t="s">
        <v>134</v>
      </c>
      <c r="I66" s="4">
        <v>3347102</v>
      </c>
      <c r="K66" s="51"/>
    </row>
    <row r="67" spans="2:11" s="3" customFormat="1" x14ac:dyDescent="0.3">
      <c r="B67" s="4"/>
      <c r="E67" s="101"/>
      <c r="F67" s="4" t="s">
        <v>418</v>
      </c>
      <c r="G67" s="4"/>
      <c r="K67" s="51"/>
    </row>
    <row r="68" spans="2:11" s="3" customFormat="1" x14ac:dyDescent="0.3">
      <c r="B68" s="44">
        <v>45962</v>
      </c>
      <c r="C68" s="3" t="s">
        <v>416</v>
      </c>
      <c r="D68" s="3" t="s">
        <v>492</v>
      </c>
      <c r="E68" s="101"/>
      <c r="F68" s="3" t="s">
        <v>161</v>
      </c>
      <c r="G68" s="4">
        <v>3352509</v>
      </c>
      <c r="H68" s="3" t="s">
        <v>159</v>
      </c>
      <c r="I68" s="4">
        <v>3354403</v>
      </c>
      <c r="K68" s="51"/>
    </row>
    <row r="69" spans="2:11" s="3" customFormat="1" x14ac:dyDescent="0.3">
      <c r="B69" s="44">
        <v>45962</v>
      </c>
      <c r="C69" s="3" t="s">
        <v>416</v>
      </c>
      <c r="D69" s="3" t="s">
        <v>492</v>
      </c>
      <c r="E69" s="101"/>
      <c r="F69" s="4" t="s">
        <v>145</v>
      </c>
      <c r="G69" s="4">
        <v>3347404</v>
      </c>
      <c r="H69" s="4" t="s">
        <v>201</v>
      </c>
      <c r="I69" s="4">
        <v>3362203</v>
      </c>
      <c r="K69" s="51"/>
    </row>
    <row r="70" spans="2:11" s="3" customFormat="1" x14ac:dyDescent="0.3">
      <c r="B70" s="44">
        <v>45962</v>
      </c>
      <c r="C70" s="3" t="s">
        <v>416</v>
      </c>
      <c r="D70" s="3" t="s">
        <v>492</v>
      </c>
      <c r="E70" s="101"/>
      <c r="F70" s="3" t="s">
        <v>162</v>
      </c>
      <c r="G70" s="4">
        <v>3348903</v>
      </c>
      <c r="H70" s="3" t="s">
        <v>158</v>
      </c>
      <c r="I70" s="4">
        <v>3356901</v>
      </c>
      <c r="K70" s="51"/>
    </row>
    <row r="71" spans="2:11" s="3" customFormat="1" x14ac:dyDescent="0.3">
      <c r="B71" s="44">
        <v>45962</v>
      </c>
      <c r="C71" s="3" t="s">
        <v>416</v>
      </c>
      <c r="D71" s="3" t="s">
        <v>492</v>
      </c>
      <c r="E71" s="101"/>
      <c r="F71" s="3" t="s">
        <v>155</v>
      </c>
      <c r="G71" s="4">
        <v>3361600</v>
      </c>
      <c r="H71" s="3" t="s">
        <v>154</v>
      </c>
      <c r="I71" s="4">
        <v>3362109</v>
      </c>
      <c r="K71" s="51"/>
    </row>
    <row r="72" spans="2:11" s="3" customFormat="1" x14ac:dyDescent="0.3">
      <c r="B72" s="44">
        <v>45962</v>
      </c>
      <c r="C72" s="3" t="s">
        <v>416</v>
      </c>
      <c r="D72" s="3" t="s">
        <v>492</v>
      </c>
      <c r="E72" s="101"/>
      <c r="F72" s="4" t="s">
        <v>165</v>
      </c>
      <c r="G72" s="4">
        <v>3349006</v>
      </c>
      <c r="H72" s="4" t="s">
        <v>194</v>
      </c>
      <c r="I72" s="4">
        <v>3354205</v>
      </c>
      <c r="K72" s="51"/>
    </row>
    <row r="73" spans="2:11" s="3" customFormat="1" x14ac:dyDescent="0.3">
      <c r="B73" s="44">
        <v>45962</v>
      </c>
      <c r="C73" s="3" t="s">
        <v>416</v>
      </c>
      <c r="D73" s="3" t="s">
        <v>492</v>
      </c>
      <c r="E73" s="101"/>
      <c r="F73" s="4" t="s">
        <v>134</v>
      </c>
      <c r="G73" s="4">
        <v>3347102</v>
      </c>
      <c r="H73" s="4" t="s">
        <v>157</v>
      </c>
      <c r="I73" s="4">
        <v>3358503</v>
      </c>
      <c r="K73" s="51"/>
    </row>
    <row r="74" spans="2:11" s="3" customFormat="1" x14ac:dyDescent="0.3">
      <c r="B74" s="4"/>
      <c r="E74" s="101"/>
      <c r="F74" s="4" t="s">
        <v>418</v>
      </c>
      <c r="G74" s="4"/>
      <c r="K74" s="51"/>
    </row>
    <row r="75" spans="2:11" s="3" customFormat="1" x14ac:dyDescent="0.3">
      <c r="B75" s="44">
        <v>45969</v>
      </c>
      <c r="C75" s="3" t="s">
        <v>416</v>
      </c>
      <c r="D75" s="3" t="s">
        <v>492</v>
      </c>
      <c r="E75" s="101"/>
      <c r="F75" s="4" t="s">
        <v>201</v>
      </c>
      <c r="G75" s="4">
        <v>3362203</v>
      </c>
      <c r="H75" s="4" t="s">
        <v>134</v>
      </c>
      <c r="I75" s="4">
        <v>3347102</v>
      </c>
      <c r="K75" s="51"/>
    </row>
    <row r="76" spans="2:11" s="3" customFormat="1" x14ac:dyDescent="0.3">
      <c r="B76" s="44">
        <v>45969</v>
      </c>
      <c r="C76" s="3" t="s">
        <v>416</v>
      </c>
      <c r="D76" s="3" t="s">
        <v>492</v>
      </c>
      <c r="E76" s="101"/>
      <c r="F76" s="4" t="s">
        <v>157</v>
      </c>
      <c r="G76" s="4">
        <v>3358503</v>
      </c>
      <c r="H76" s="3" t="s">
        <v>162</v>
      </c>
      <c r="I76" s="4">
        <v>3348903</v>
      </c>
      <c r="K76" s="51"/>
    </row>
    <row r="77" spans="2:11" s="3" customFormat="1" x14ac:dyDescent="0.3">
      <c r="B77" s="44">
        <v>45969</v>
      </c>
      <c r="C77" s="3" t="s">
        <v>416</v>
      </c>
      <c r="D77" s="3" t="s">
        <v>492</v>
      </c>
      <c r="E77" s="101"/>
      <c r="F77" s="4" t="s">
        <v>194</v>
      </c>
      <c r="G77" s="4">
        <v>3354205</v>
      </c>
      <c r="H77" s="4" t="s">
        <v>145</v>
      </c>
      <c r="I77" s="4">
        <v>3347404</v>
      </c>
      <c r="K77" s="51"/>
    </row>
    <row r="78" spans="2:11" s="3" customFormat="1" x14ac:dyDescent="0.3">
      <c r="B78" s="44">
        <v>45969</v>
      </c>
      <c r="C78" s="3" t="s">
        <v>416</v>
      </c>
      <c r="D78" s="3" t="s">
        <v>492</v>
      </c>
      <c r="E78" s="101"/>
      <c r="F78" s="4" t="s">
        <v>165</v>
      </c>
      <c r="G78" s="4">
        <v>3349006</v>
      </c>
      <c r="H78" s="3" t="s">
        <v>161</v>
      </c>
      <c r="I78" s="4">
        <v>3352509</v>
      </c>
      <c r="K78" s="51"/>
    </row>
    <row r="79" spans="2:11" s="3" customFormat="1" x14ac:dyDescent="0.3">
      <c r="B79" s="44">
        <v>45969</v>
      </c>
      <c r="C79" s="3" t="s">
        <v>416</v>
      </c>
      <c r="D79" s="3" t="s">
        <v>492</v>
      </c>
      <c r="E79" s="101"/>
      <c r="F79" s="3" t="s">
        <v>154</v>
      </c>
      <c r="G79" s="4">
        <v>3362109</v>
      </c>
      <c r="H79" s="3" t="s">
        <v>159</v>
      </c>
      <c r="I79" s="4">
        <v>3354403</v>
      </c>
      <c r="K79" s="51"/>
    </row>
    <row r="80" spans="2:11" s="3" customFormat="1" x14ac:dyDescent="0.3">
      <c r="B80" s="44">
        <v>45969</v>
      </c>
      <c r="C80" s="3" t="s">
        <v>416</v>
      </c>
      <c r="D80" s="3" t="s">
        <v>492</v>
      </c>
      <c r="E80" s="101"/>
      <c r="F80" s="3" t="s">
        <v>158</v>
      </c>
      <c r="G80" s="4">
        <v>3356901</v>
      </c>
      <c r="H80" s="3" t="s">
        <v>155</v>
      </c>
      <c r="I80" s="4">
        <v>3361600</v>
      </c>
      <c r="K80" s="51"/>
    </row>
    <row r="81" spans="2:11" s="3" customFormat="1" x14ac:dyDescent="0.3">
      <c r="B81" s="4"/>
      <c r="E81" s="101"/>
      <c r="F81" s="4" t="s">
        <v>418</v>
      </c>
      <c r="G81" s="4"/>
      <c r="K81" s="51"/>
    </row>
    <row r="82" spans="2:11" s="3" customFormat="1" x14ac:dyDescent="0.3">
      <c r="B82" s="44">
        <v>45976</v>
      </c>
      <c r="C82" s="3" t="s">
        <v>416</v>
      </c>
      <c r="D82" s="3" t="s">
        <v>492</v>
      </c>
      <c r="E82" s="101"/>
      <c r="F82" s="3" t="s">
        <v>161</v>
      </c>
      <c r="G82" s="4">
        <v>3352509</v>
      </c>
      <c r="H82" s="3" t="s">
        <v>154</v>
      </c>
      <c r="I82" s="4">
        <v>3362109</v>
      </c>
      <c r="K82" s="51"/>
    </row>
    <row r="83" spans="2:11" s="3" customFormat="1" x14ac:dyDescent="0.3">
      <c r="B83" s="44">
        <v>45976</v>
      </c>
      <c r="C83" s="3" t="s">
        <v>416</v>
      </c>
      <c r="D83" s="3" t="s">
        <v>492</v>
      </c>
      <c r="E83" s="101"/>
      <c r="F83" s="3" t="s">
        <v>159</v>
      </c>
      <c r="G83" s="4">
        <v>3354403</v>
      </c>
      <c r="H83" s="3" t="s">
        <v>158</v>
      </c>
      <c r="I83" s="4">
        <v>3356901</v>
      </c>
      <c r="K83" s="51"/>
    </row>
    <row r="84" spans="2:11" s="3" customFormat="1" x14ac:dyDescent="0.3">
      <c r="B84" s="44">
        <v>45976</v>
      </c>
      <c r="C84" s="3" t="s">
        <v>416</v>
      </c>
      <c r="D84" s="3" t="s">
        <v>492</v>
      </c>
      <c r="E84" s="101"/>
      <c r="F84" s="4" t="s">
        <v>145</v>
      </c>
      <c r="G84" s="4">
        <v>3347404</v>
      </c>
      <c r="H84" s="4" t="s">
        <v>165</v>
      </c>
      <c r="I84" s="4">
        <v>3349006</v>
      </c>
      <c r="K84" s="51"/>
    </row>
    <row r="85" spans="2:11" s="3" customFormat="1" x14ac:dyDescent="0.3">
      <c r="B85" s="44">
        <v>45976</v>
      </c>
      <c r="C85" s="3" t="s">
        <v>416</v>
      </c>
      <c r="D85" s="3" t="s">
        <v>492</v>
      </c>
      <c r="E85" s="101"/>
      <c r="F85" s="3" t="s">
        <v>162</v>
      </c>
      <c r="G85" s="4">
        <v>3348903</v>
      </c>
      <c r="H85" s="4" t="s">
        <v>201</v>
      </c>
      <c r="I85" s="4">
        <v>3362203</v>
      </c>
      <c r="K85" s="51"/>
    </row>
    <row r="86" spans="2:11" s="3" customFormat="1" x14ac:dyDescent="0.3">
      <c r="B86" s="44">
        <v>45976</v>
      </c>
      <c r="C86" s="3" t="s">
        <v>416</v>
      </c>
      <c r="D86" s="3" t="s">
        <v>492</v>
      </c>
      <c r="E86" s="101"/>
      <c r="F86" s="3" t="s">
        <v>155</v>
      </c>
      <c r="G86" s="4">
        <v>3361600</v>
      </c>
      <c r="H86" s="4" t="s">
        <v>157</v>
      </c>
      <c r="I86" s="4">
        <v>3358503</v>
      </c>
      <c r="K86" s="51"/>
    </row>
    <row r="87" spans="2:11" s="3" customFormat="1" x14ac:dyDescent="0.3">
      <c r="B87" s="44">
        <v>45976</v>
      </c>
      <c r="C87" s="3" t="s">
        <v>416</v>
      </c>
      <c r="D87" s="3" t="s">
        <v>492</v>
      </c>
      <c r="E87" s="101"/>
      <c r="F87" s="4" t="s">
        <v>134</v>
      </c>
      <c r="G87" s="4">
        <v>3347102</v>
      </c>
      <c r="H87" s="4" t="s">
        <v>194</v>
      </c>
      <c r="I87" s="4">
        <v>3354205</v>
      </c>
      <c r="K87" s="51"/>
    </row>
    <row r="88" spans="2:11" s="3" customFormat="1" x14ac:dyDescent="0.3">
      <c r="B88" s="4"/>
      <c r="E88" s="101"/>
      <c r="F88" s="4" t="s">
        <v>418</v>
      </c>
      <c r="G88" s="4"/>
      <c r="K88" s="51"/>
    </row>
    <row r="89" spans="2:11" s="3" customFormat="1" x14ac:dyDescent="0.3">
      <c r="B89" s="44">
        <v>45983</v>
      </c>
      <c r="C89" s="3" t="s">
        <v>416</v>
      </c>
      <c r="D89" s="3" t="s">
        <v>492</v>
      </c>
      <c r="E89" s="101"/>
      <c r="F89" s="4" t="s">
        <v>201</v>
      </c>
      <c r="G89" s="4">
        <v>3362203</v>
      </c>
      <c r="H89" s="3" t="s">
        <v>155</v>
      </c>
      <c r="I89" s="4">
        <v>3361600</v>
      </c>
      <c r="K89" s="51"/>
    </row>
    <row r="90" spans="2:11" s="3" customFormat="1" x14ac:dyDescent="0.3">
      <c r="B90" s="44">
        <v>45983</v>
      </c>
      <c r="C90" s="3" t="s">
        <v>416</v>
      </c>
      <c r="D90" s="3" t="s">
        <v>492</v>
      </c>
      <c r="E90" s="101"/>
      <c r="F90" s="4" t="s">
        <v>157</v>
      </c>
      <c r="G90" s="4">
        <v>3358503</v>
      </c>
      <c r="H90" s="3" t="s">
        <v>159</v>
      </c>
      <c r="I90" s="4">
        <v>3354403</v>
      </c>
      <c r="K90" s="51"/>
    </row>
    <row r="91" spans="2:11" s="3" customFormat="1" x14ac:dyDescent="0.3">
      <c r="B91" s="44">
        <v>45983</v>
      </c>
      <c r="C91" s="3" t="s">
        <v>416</v>
      </c>
      <c r="D91" s="3" t="s">
        <v>492</v>
      </c>
      <c r="E91" s="101"/>
      <c r="F91" s="4" t="s">
        <v>194</v>
      </c>
      <c r="G91" s="4">
        <v>3354205</v>
      </c>
      <c r="H91" s="3" t="s">
        <v>162</v>
      </c>
      <c r="I91" s="4">
        <v>3348903</v>
      </c>
      <c r="K91" s="51"/>
    </row>
    <row r="92" spans="2:11" s="3" customFormat="1" x14ac:dyDescent="0.3">
      <c r="B92" s="44">
        <v>45983</v>
      </c>
      <c r="C92" s="3" t="s">
        <v>416</v>
      </c>
      <c r="D92" s="3" t="s">
        <v>492</v>
      </c>
      <c r="E92" s="101"/>
      <c r="F92" s="4" t="s">
        <v>145</v>
      </c>
      <c r="G92" s="4">
        <v>3347404</v>
      </c>
      <c r="H92" s="3" t="s">
        <v>161</v>
      </c>
      <c r="I92" s="4">
        <v>3352509</v>
      </c>
      <c r="K92" s="51"/>
    </row>
    <row r="93" spans="2:11" s="3" customFormat="1" x14ac:dyDescent="0.3">
      <c r="B93" s="44">
        <v>45983</v>
      </c>
      <c r="C93" s="3" t="s">
        <v>416</v>
      </c>
      <c r="D93" s="3" t="s">
        <v>492</v>
      </c>
      <c r="E93" s="101"/>
      <c r="F93" s="4" t="s">
        <v>165</v>
      </c>
      <c r="G93" s="4">
        <v>3349006</v>
      </c>
      <c r="H93" s="4" t="s">
        <v>134</v>
      </c>
      <c r="I93" s="4">
        <v>3347102</v>
      </c>
      <c r="K93" s="51"/>
    </row>
    <row r="94" spans="2:11" s="3" customFormat="1" x14ac:dyDescent="0.3">
      <c r="B94" s="44">
        <v>45983</v>
      </c>
      <c r="C94" s="3" t="s">
        <v>416</v>
      </c>
      <c r="D94" s="3" t="s">
        <v>492</v>
      </c>
      <c r="E94" s="101"/>
      <c r="F94" s="3" t="s">
        <v>158</v>
      </c>
      <c r="G94" s="4">
        <v>3356901</v>
      </c>
      <c r="H94" s="3" t="s">
        <v>154</v>
      </c>
      <c r="I94" s="4">
        <v>3362109</v>
      </c>
      <c r="K94" s="51"/>
    </row>
    <row r="95" spans="2:11" s="3" customFormat="1" x14ac:dyDescent="0.3">
      <c r="B95" s="4"/>
      <c r="E95" s="101"/>
      <c r="F95" s="4" t="s">
        <v>418</v>
      </c>
      <c r="G95" s="4"/>
      <c r="K95" s="51"/>
    </row>
    <row r="96" spans="2:11" s="3" customFormat="1" x14ac:dyDescent="0.3">
      <c r="B96" s="44">
        <v>45990</v>
      </c>
      <c r="C96" s="3" t="s">
        <v>416</v>
      </c>
      <c r="D96" s="3" t="s">
        <v>492</v>
      </c>
      <c r="E96" s="101"/>
      <c r="F96" s="3" t="s">
        <v>161</v>
      </c>
      <c r="G96" s="4">
        <v>3352509</v>
      </c>
      <c r="H96" s="3" t="s">
        <v>158</v>
      </c>
      <c r="I96" s="4">
        <v>3356901</v>
      </c>
      <c r="K96" s="51"/>
    </row>
    <row r="97" spans="2:11" s="3" customFormat="1" x14ac:dyDescent="0.3">
      <c r="B97" s="44">
        <v>45990</v>
      </c>
      <c r="C97" s="3" t="s">
        <v>416</v>
      </c>
      <c r="D97" s="3" t="s">
        <v>492</v>
      </c>
      <c r="E97" s="101"/>
      <c r="F97" s="3" t="s">
        <v>159</v>
      </c>
      <c r="G97" s="4">
        <v>3354403</v>
      </c>
      <c r="H97" s="4" t="s">
        <v>201</v>
      </c>
      <c r="I97" s="4">
        <v>3362203</v>
      </c>
      <c r="K97" s="51"/>
    </row>
    <row r="98" spans="2:11" s="3" customFormat="1" x14ac:dyDescent="0.3">
      <c r="B98" s="44">
        <v>45990</v>
      </c>
      <c r="C98" s="3" t="s">
        <v>416</v>
      </c>
      <c r="D98" s="3" t="s">
        <v>492</v>
      </c>
      <c r="E98" s="101"/>
      <c r="F98" s="3" t="s">
        <v>162</v>
      </c>
      <c r="G98" s="4">
        <v>3348903</v>
      </c>
      <c r="H98" s="4" t="s">
        <v>165</v>
      </c>
      <c r="I98" s="4">
        <v>3349006</v>
      </c>
      <c r="K98" s="51"/>
    </row>
    <row r="99" spans="2:11" s="3" customFormat="1" x14ac:dyDescent="0.3">
      <c r="B99" s="44">
        <v>45990</v>
      </c>
      <c r="C99" s="3" t="s">
        <v>416</v>
      </c>
      <c r="D99" s="3" t="s">
        <v>492</v>
      </c>
      <c r="E99" s="101"/>
      <c r="F99" s="3" t="s">
        <v>155</v>
      </c>
      <c r="G99" s="4">
        <v>3361600</v>
      </c>
      <c r="H99" s="4" t="s">
        <v>194</v>
      </c>
      <c r="I99" s="4">
        <v>3354205</v>
      </c>
      <c r="K99" s="51"/>
    </row>
    <row r="100" spans="2:11" s="3" customFormat="1" x14ac:dyDescent="0.3">
      <c r="B100" s="44">
        <v>45990</v>
      </c>
      <c r="C100" s="3" t="s">
        <v>416</v>
      </c>
      <c r="D100" s="3" t="s">
        <v>492</v>
      </c>
      <c r="E100" s="101"/>
      <c r="F100" s="3" t="s">
        <v>154</v>
      </c>
      <c r="G100" s="4">
        <v>3362109</v>
      </c>
      <c r="H100" s="4" t="s">
        <v>157</v>
      </c>
      <c r="I100" s="4">
        <v>3358503</v>
      </c>
      <c r="K100" s="51"/>
    </row>
    <row r="101" spans="2:11" s="3" customFormat="1" x14ac:dyDescent="0.3">
      <c r="B101" s="44">
        <v>45990</v>
      </c>
      <c r="C101" s="3" t="s">
        <v>416</v>
      </c>
      <c r="D101" s="3" t="s">
        <v>492</v>
      </c>
      <c r="E101" s="101"/>
      <c r="F101" s="4" t="s">
        <v>134</v>
      </c>
      <c r="G101" s="4">
        <v>3347102</v>
      </c>
      <c r="H101" s="4" t="s">
        <v>145</v>
      </c>
      <c r="I101" s="4">
        <v>3347404</v>
      </c>
      <c r="K101" s="51"/>
    </row>
    <row r="102" spans="2:11" s="3" customFormat="1" x14ac:dyDescent="0.3">
      <c r="B102" s="4"/>
      <c r="E102" s="101"/>
      <c r="F102" s="4" t="s">
        <v>418</v>
      </c>
      <c r="G102" s="4"/>
      <c r="K102" s="51"/>
    </row>
    <row r="103" spans="2:11" s="3" customFormat="1" x14ac:dyDescent="0.3">
      <c r="B103" s="44">
        <v>46032</v>
      </c>
      <c r="C103" s="3" t="s">
        <v>416</v>
      </c>
      <c r="D103" s="3" t="s">
        <v>492</v>
      </c>
      <c r="E103" s="101"/>
      <c r="F103" s="3" t="s">
        <v>161</v>
      </c>
      <c r="G103" s="4">
        <v>3352509</v>
      </c>
      <c r="H103" s="4" t="s">
        <v>134</v>
      </c>
      <c r="I103" s="4">
        <v>3347102</v>
      </c>
      <c r="K103" s="51"/>
    </row>
    <row r="104" spans="2:11" s="3" customFormat="1" x14ac:dyDescent="0.3">
      <c r="B104" s="44">
        <v>46032</v>
      </c>
      <c r="C104" s="3" t="s">
        <v>416</v>
      </c>
      <c r="D104" s="3" t="s">
        <v>492</v>
      </c>
      <c r="E104" s="101"/>
      <c r="F104" s="3" t="s">
        <v>159</v>
      </c>
      <c r="G104" s="4">
        <v>3354403</v>
      </c>
      <c r="H104" s="4" t="s">
        <v>194</v>
      </c>
      <c r="I104" s="4">
        <v>3354205</v>
      </c>
      <c r="K104" s="51"/>
    </row>
    <row r="105" spans="2:11" s="3" customFormat="1" x14ac:dyDescent="0.3">
      <c r="B105" s="44">
        <v>46032</v>
      </c>
      <c r="C105" s="3" t="s">
        <v>416</v>
      </c>
      <c r="D105" s="3" t="s">
        <v>492</v>
      </c>
      <c r="E105" s="101"/>
      <c r="F105" s="3" t="s">
        <v>162</v>
      </c>
      <c r="G105" s="4">
        <v>3348903</v>
      </c>
      <c r="H105" s="4" t="s">
        <v>145</v>
      </c>
      <c r="I105" s="4">
        <v>3347404</v>
      </c>
      <c r="K105" s="51"/>
    </row>
    <row r="106" spans="2:11" s="3" customFormat="1" x14ac:dyDescent="0.3">
      <c r="B106" s="44">
        <v>46032</v>
      </c>
      <c r="C106" s="3" t="s">
        <v>416</v>
      </c>
      <c r="D106" s="3" t="s">
        <v>492</v>
      </c>
      <c r="E106" s="101"/>
      <c r="F106" s="3" t="s">
        <v>155</v>
      </c>
      <c r="G106" s="4">
        <v>3361600</v>
      </c>
      <c r="H106" s="4" t="s">
        <v>165</v>
      </c>
      <c r="I106" s="4">
        <v>3349006</v>
      </c>
      <c r="K106" s="51"/>
    </row>
    <row r="107" spans="2:11" s="3" customFormat="1" x14ac:dyDescent="0.3">
      <c r="B107" s="44">
        <v>46032</v>
      </c>
      <c r="C107" s="3" t="s">
        <v>416</v>
      </c>
      <c r="D107" s="3" t="s">
        <v>492</v>
      </c>
      <c r="E107" s="101"/>
      <c r="F107" s="3" t="s">
        <v>154</v>
      </c>
      <c r="G107" s="4">
        <v>3362109</v>
      </c>
      <c r="H107" s="4" t="s">
        <v>201</v>
      </c>
      <c r="I107" s="4">
        <v>3362203</v>
      </c>
      <c r="K107" s="51"/>
    </row>
    <row r="108" spans="2:11" s="3" customFormat="1" x14ac:dyDescent="0.3">
      <c r="B108" s="44">
        <v>46032</v>
      </c>
      <c r="C108" s="3" t="s">
        <v>416</v>
      </c>
      <c r="D108" s="3" t="s">
        <v>492</v>
      </c>
      <c r="E108" s="101"/>
      <c r="F108" s="3" t="s">
        <v>158</v>
      </c>
      <c r="G108" s="4">
        <v>3356901</v>
      </c>
      <c r="H108" s="4" t="s">
        <v>157</v>
      </c>
      <c r="I108" s="4">
        <v>3358503</v>
      </c>
      <c r="K108" s="51"/>
    </row>
    <row r="109" spans="2:11" s="3" customFormat="1" x14ac:dyDescent="0.3">
      <c r="B109" s="4"/>
      <c r="E109" s="101"/>
      <c r="F109" s="4" t="s">
        <v>418</v>
      </c>
      <c r="G109" s="4"/>
      <c r="K109" s="51"/>
    </row>
    <row r="110" spans="2:11" s="3" customFormat="1" x14ac:dyDescent="0.3">
      <c r="B110" s="44">
        <v>46039</v>
      </c>
      <c r="C110" s="3" t="s">
        <v>416</v>
      </c>
      <c r="D110" s="3" t="s">
        <v>492</v>
      </c>
      <c r="E110" s="101"/>
      <c r="F110" s="4" t="s">
        <v>201</v>
      </c>
      <c r="G110" s="4">
        <v>3362203</v>
      </c>
      <c r="H110" s="3" t="s">
        <v>158</v>
      </c>
      <c r="I110" s="4">
        <v>3356901</v>
      </c>
      <c r="K110" s="51"/>
    </row>
    <row r="111" spans="2:11" s="3" customFormat="1" x14ac:dyDescent="0.3">
      <c r="B111" s="44">
        <v>46039</v>
      </c>
      <c r="C111" s="3" t="s">
        <v>416</v>
      </c>
      <c r="D111" s="3" t="s">
        <v>492</v>
      </c>
      <c r="E111" s="101"/>
      <c r="F111" s="4" t="s">
        <v>157</v>
      </c>
      <c r="G111" s="4">
        <v>3358503</v>
      </c>
      <c r="H111" s="3" t="s">
        <v>161</v>
      </c>
      <c r="I111" s="4">
        <v>3352509</v>
      </c>
      <c r="K111" s="51"/>
    </row>
    <row r="112" spans="2:11" s="3" customFormat="1" x14ac:dyDescent="0.3">
      <c r="B112" s="44">
        <v>46039</v>
      </c>
      <c r="C112" s="3" t="s">
        <v>416</v>
      </c>
      <c r="D112" s="3" t="s">
        <v>492</v>
      </c>
      <c r="E112" s="101"/>
      <c r="F112" s="4" t="s">
        <v>194</v>
      </c>
      <c r="G112" s="4">
        <v>3354205</v>
      </c>
      <c r="H112" s="3" t="s">
        <v>154</v>
      </c>
      <c r="I112" s="4">
        <v>3362109</v>
      </c>
      <c r="K112" s="51"/>
    </row>
    <row r="113" spans="2:11" s="3" customFormat="1" x14ac:dyDescent="0.3">
      <c r="B113" s="44">
        <v>46039</v>
      </c>
      <c r="C113" s="3" t="s">
        <v>416</v>
      </c>
      <c r="D113" s="3" t="s">
        <v>492</v>
      </c>
      <c r="E113" s="101"/>
      <c r="F113" s="4" t="s">
        <v>145</v>
      </c>
      <c r="G113" s="4">
        <v>3347404</v>
      </c>
      <c r="H113" s="3" t="s">
        <v>155</v>
      </c>
      <c r="I113" s="4">
        <v>3361600</v>
      </c>
      <c r="K113" s="51"/>
    </row>
    <row r="114" spans="2:11" s="3" customFormat="1" x14ac:dyDescent="0.3">
      <c r="B114" s="44">
        <v>46039</v>
      </c>
      <c r="C114" s="3" t="s">
        <v>416</v>
      </c>
      <c r="D114" s="3" t="s">
        <v>492</v>
      </c>
      <c r="E114" s="101"/>
      <c r="F114" s="4" t="s">
        <v>165</v>
      </c>
      <c r="G114" s="4">
        <v>3349006</v>
      </c>
      <c r="H114" s="3" t="s">
        <v>159</v>
      </c>
      <c r="I114" s="4">
        <v>3354403</v>
      </c>
      <c r="K114" s="51"/>
    </row>
    <row r="115" spans="2:11" s="3" customFormat="1" x14ac:dyDescent="0.3">
      <c r="B115" s="44">
        <v>46039</v>
      </c>
      <c r="C115" s="3" t="s">
        <v>416</v>
      </c>
      <c r="D115" s="3" t="s">
        <v>492</v>
      </c>
      <c r="E115" s="101"/>
      <c r="F115" s="4" t="s">
        <v>134</v>
      </c>
      <c r="G115" s="4">
        <v>3347102</v>
      </c>
      <c r="H115" s="3" t="s">
        <v>162</v>
      </c>
      <c r="I115" s="4">
        <v>3348903</v>
      </c>
      <c r="K115" s="51"/>
    </row>
    <row r="116" spans="2:11" s="3" customFormat="1" x14ac:dyDescent="0.3">
      <c r="B116" s="4"/>
      <c r="E116" s="101"/>
      <c r="F116" s="4" t="s">
        <v>418</v>
      </c>
      <c r="G116" s="4"/>
      <c r="K116" s="51"/>
    </row>
    <row r="117" spans="2:11" s="3" customFormat="1" x14ac:dyDescent="0.3">
      <c r="B117" s="44">
        <v>46046</v>
      </c>
      <c r="C117" s="3" t="s">
        <v>416</v>
      </c>
      <c r="D117" s="3" t="s">
        <v>492</v>
      </c>
      <c r="E117" s="101"/>
      <c r="F117" s="4" t="s">
        <v>157</v>
      </c>
      <c r="G117" s="4">
        <v>3358503</v>
      </c>
      <c r="H117" s="4" t="s">
        <v>201</v>
      </c>
      <c r="I117" s="4">
        <v>3362203</v>
      </c>
      <c r="K117" s="51"/>
    </row>
    <row r="118" spans="2:11" s="3" customFormat="1" x14ac:dyDescent="0.3">
      <c r="B118" s="44">
        <v>46046</v>
      </c>
      <c r="C118" s="3" t="s">
        <v>416</v>
      </c>
      <c r="D118" s="3" t="s">
        <v>492</v>
      </c>
      <c r="E118" s="101"/>
      <c r="F118" s="3" t="s">
        <v>159</v>
      </c>
      <c r="G118" s="4">
        <v>3354403</v>
      </c>
      <c r="H118" s="4" t="s">
        <v>145</v>
      </c>
      <c r="I118" s="4">
        <v>3347404</v>
      </c>
      <c r="K118" s="51"/>
    </row>
    <row r="119" spans="2:11" s="3" customFormat="1" x14ac:dyDescent="0.3">
      <c r="B119" s="44">
        <v>46046</v>
      </c>
      <c r="C119" s="3" t="s">
        <v>416</v>
      </c>
      <c r="D119" s="3" t="s">
        <v>492</v>
      </c>
      <c r="E119" s="101"/>
      <c r="F119" s="3" t="s">
        <v>162</v>
      </c>
      <c r="G119" s="4">
        <v>3348903</v>
      </c>
      <c r="H119" s="3" t="s">
        <v>161</v>
      </c>
      <c r="I119" s="4">
        <v>3352509</v>
      </c>
      <c r="K119" s="51"/>
    </row>
    <row r="120" spans="2:11" s="3" customFormat="1" x14ac:dyDescent="0.3">
      <c r="B120" s="44">
        <v>46046</v>
      </c>
      <c r="C120" s="3" t="s">
        <v>416</v>
      </c>
      <c r="D120" s="3" t="s">
        <v>492</v>
      </c>
      <c r="E120" s="101"/>
      <c r="F120" s="3" t="s">
        <v>155</v>
      </c>
      <c r="G120" s="4">
        <v>3361600</v>
      </c>
      <c r="H120" s="4" t="s">
        <v>134</v>
      </c>
      <c r="I120" s="4">
        <v>3347102</v>
      </c>
      <c r="K120" s="51"/>
    </row>
    <row r="121" spans="2:11" s="3" customFormat="1" x14ac:dyDescent="0.3">
      <c r="B121" s="44">
        <v>46046</v>
      </c>
      <c r="C121" s="3" t="s">
        <v>416</v>
      </c>
      <c r="D121" s="3" t="s">
        <v>492</v>
      </c>
      <c r="E121" s="101"/>
      <c r="F121" s="3" t="s">
        <v>154</v>
      </c>
      <c r="G121" s="4">
        <v>3362109</v>
      </c>
      <c r="H121" s="4" t="s">
        <v>165</v>
      </c>
      <c r="I121" s="4">
        <v>3349006</v>
      </c>
      <c r="K121" s="51"/>
    </row>
    <row r="122" spans="2:11" s="3" customFormat="1" x14ac:dyDescent="0.3">
      <c r="B122" s="44">
        <v>46046</v>
      </c>
      <c r="C122" s="3" t="s">
        <v>416</v>
      </c>
      <c r="D122" s="3" t="s">
        <v>492</v>
      </c>
      <c r="E122" s="101"/>
      <c r="F122" s="3" t="s">
        <v>158</v>
      </c>
      <c r="G122" s="4">
        <v>3356901</v>
      </c>
      <c r="H122" s="4" t="s">
        <v>194</v>
      </c>
      <c r="I122" s="4">
        <v>3354205</v>
      </c>
      <c r="K122" s="51"/>
    </row>
    <row r="123" spans="2:11" s="3" customFormat="1" x14ac:dyDescent="0.3">
      <c r="B123" s="4"/>
      <c r="E123" s="101"/>
      <c r="F123" s="4" t="s">
        <v>418</v>
      </c>
      <c r="G123" s="4"/>
      <c r="K123" s="51"/>
    </row>
    <row r="124" spans="2:11" s="3" customFormat="1" x14ac:dyDescent="0.3">
      <c r="B124" s="44">
        <v>46053</v>
      </c>
      <c r="C124" s="3" t="s">
        <v>416</v>
      </c>
      <c r="D124" s="3" t="s">
        <v>492</v>
      </c>
      <c r="E124" s="101"/>
      <c r="F124" s="3" t="s">
        <v>161</v>
      </c>
      <c r="G124" s="4">
        <v>3352509</v>
      </c>
      <c r="H124" s="4" t="s">
        <v>201</v>
      </c>
      <c r="I124" s="4">
        <v>3362203</v>
      </c>
      <c r="K124" s="51"/>
    </row>
    <row r="125" spans="2:11" s="3" customFormat="1" x14ac:dyDescent="0.3">
      <c r="B125" s="44">
        <v>46053</v>
      </c>
      <c r="C125" s="3" t="s">
        <v>416</v>
      </c>
      <c r="D125" s="3" t="s">
        <v>492</v>
      </c>
      <c r="E125" s="101"/>
      <c r="F125" s="4" t="s">
        <v>194</v>
      </c>
      <c r="G125" s="4">
        <v>3354205</v>
      </c>
      <c r="H125" s="4" t="s">
        <v>157</v>
      </c>
      <c r="I125" s="4">
        <v>3358503</v>
      </c>
      <c r="K125" s="51"/>
    </row>
    <row r="126" spans="2:11" s="3" customFormat="1" x14ac:dyDescent="0.3">
      <c r="B126" s="44">
        <v>46053</v>
      </c>
      <c r="C126" s="3" t="s">
        <v>416</v>
      </c>
      <c r="D126" s="3" t="s">
        <v>492</v>
      </c>
      <c r="E126" s="101"/>
      <c r="F126" s="4" t="s">
        <v>145</v>
      </c>
      <c r="G126" s="4">
        <v>3347404</v>
      </c>
      <c r="H126" s="3" t="s">
        <v>154</v>
      </c>
      <c r="I126" s="4">
        <v>3362109</v>
      </c>
      <c r="K126" s="51"/>
    </row>
    <row r="127" spans="2:11" s="3" customFormat="1" x14ac:dyDescent="0.3">
      <c r="B127" s="44">
        <v>46053</v>
      </c>
      <c r="C127" s="3" t="s">
        <v>416</v>
      </c>
      <c r="D127" s="3" t="s">
        <v>492</v>
      </c>
      <c r="E127" s="101"/>
      <c r="F127" s="3" t="s">
        <v>162</v>
      </c>
      <c r="G127" s="4">
        <v>3348903</v>
      </c>
      <c r="H127" s="3" t="s">
        <v>155</v>
      </c>
      <c r="I127" s="4">
        <v>3361600</v>
      </c>
      <c r="K127" s="51"/>
    </row>
    <row r="128" spans="2:11" s="3" customFormat="1" x14ac:dyDescent="0.3">
      <c r="B128" s="44">
        <v>46053</v>
      </c>
      <c r="C128" s="3" t="s">
        <v>416</v>
      </c>
      <c r="D128" s="3" t="s">
        <v>492</v>
      </c>
      <c r="E128" s="101"/>
      <c r="F128" s="4" t="s">
        <v>165</v>
      </c>
      <c r="G128" s="4">
        <v>3349006</v>
      </c>
      <c r="H128" s="3" t="s">
        <v>158</v>
      </c>
      <c r="I128" s="4">
        <v>3356901</v>
      </c>
      <c r="K128" s="51"/>
    </row>
    <row r="129" spans="2:11" s="3" customFormat="1" x14ac:dyDescent="0.3">
      <c r="B129" s="44">
        <v>46053</v>
      </c>
      <c r="C129" s="3" t="s">
        <v>416</v>
      </c>
      <c r="D129" s="3" t="s">
        <v>492</v>
      </c>
      <c r="E129" s="101"/>
      <c r="F129" s="4" t="s">
        <v>134</v>
      </c>
      <c r="G129" s="4">
        <v>3347102</v>
      </c>
      <c r="H129" s="3" t="s">
        <v>159</v>
      </c>
      <c r="I129" s="4">
        <v>3354403</v>
      </c>
      <c r="K129" s="51"/>
    </row>
    <row r="130" spans="2:11" s="3" customFormat="1" x14ac:dyDescent="0.3">
      <c r="B130" s="4"/>
      <c r="E130" s="101"/>
      <c r="F130" s="4"/>
      <c r="G130" s="4"/>
      <c r="K130" s="51"/>
    </row>
    <row r="131" spans="2:11" s="3" customFormat="1" x14ac:dyDescent="0.3">
      <c r="B131" s="44">
        <v>46060</v>
      </c>
      <c r="C131" s="3" t="s">
        <v>416</v>
      </c>
      <c r="D131" s="3" t="s">
        <v>492</v>
      </c>
      <c r="E131" s="101"/>
      <c r="F131" s="4" t="s">
        <v>201</v>
      </c>
      <c r="G131" s="4">
        <v>3362203</v>
      </c>
      <c r="H131" s="4" t="s">
        <v>194</v>
      </c>
      <c r="I131" s="4">
        <v>3354205</v>
      </c>
      <c r="K131" s="51"/>
    </row>
    <row r="132" spans="2:11" s="3" customFormat="1" x14ac:dyDescent="0.3">
      <c r="B132" s="44">
        <v>46060</v>
      </c>
      <c r="C132" s="3" t="s">
        <v>416</v>
      </c>
      <c r="D132" s="3" t="s">
        <v>492</v>
      </c>
      <c r="E132" s="101"/>
      <c r="F132" s="4" t="s">
        <v>157</v>
      </c>
      <c r="G132" s="4">
        <v>3358503</v>
      </c>
      <c r="H132" s="4" t="s">
        <v>165</v>
      </c>
      <c r="I132" s="4">
        <v>3349006</v>
      </c>
      <c r="K132" s="51"/>
    </row>
    <row r="133" spans="2:11" s="3" customFormat="1" x14ac:dyDescent="0.3">
      <c r="B133" s="44">
        <v>46060</v>
      </c>
      <c r="C133" s="3" t="s">
        <v>416</v>
      </c>
      <c r="D133" s="3" t="s">
        <v>492</v>
      </c>
      <c r="E133" s="101"/>
      <c r="F133" s="3" t="s">
        <v>159</v>
      </c>
      <c r="G133" s="4">
        <v>3354403</v>
      </c>
      <c r="H133" s="3" t="s">
        <v>162</v>
      </c>
      <c r="I133" s="4">
        <v>3348903</v>
      </c>
      <c r="K133" s="51"/>
    </row>
    <row r="134" spans="2:11" s="3" customFormat="1" x14ac:dyDescent="0.3">
      <c r="B134" s="44">
        <v>46060</v>
      </c>
      <c r="C134" s="3" t="s">
        <v>416</v>
      </c>
      <c r="D134" s="3" t="s">
        <v>492</v>
      </c>
      <c r="E134" s="101"/>
      <c r="F134" s="3" t="s">
        <v>155</v>
      </c>
      <c r="G134" s="4">
        <v>3361600</v>
      </c>
      <c r="H134" s="3" t="s">
        <v>161</v>
      </c>
      <c r="I134" s="4">
        <v>3352509</v>
      </c>
      <c r="K134" s="51"/>
    </row>
    <row r="135" spans="2:11" s="3" customFormat="1" x14ac:dyDescent="0.3">
      <c r="B135" s="44">
        <v>46060</v>
      </c>
      <c r="C135" s="3" t="s">
        <v>416</v>
      </c>
      <c r="D135" s="3" t="s">
        <v>492</v>
      </c>
      <c r="E135" s="101"/>
      <c r="F135" s="3" t="s">
        <v>154</v>
      </c>
      <c r="G135" s="4">
        <v>3362109</v>
      </c>
      <c r="H135" s="4" t="s">
        <v>134</v>
      </c>
      <c r="I135" s="4">
        <v>3347102</v>
      </c>
      <c r="K135" s="51"/>
    </row>
    <row r="136" spans="2:11" s="3" customFormat="1" x14ac:dyDescent="0.3">
      <c r="B136" s="44">
        <v>46060</v>
      </c>
      <c r="C136" s="3" t="s">
        <v>416</v>
      </c>
      <c r="D136" s="3" t="s">
        <v>492</v>
      </c>
      <c r="E136" s="101"/>
      <c r="F136" s="3" t="s">
        <v>158</v>
      </c>
      <c r="G136" s="4">
        <v>3356901</v>
      </c>
      <c r="H136" s="4" t="s">
        <v>145</v>
      </c>
      <c r="I136" s="4">
        <v>3347404</v>
      </c>
      <c r="K136" s="51"/>
    </row>
    <row r="137" spans="2:11" s="3" customFormat="1" x14ac:dyDescent="0.3">
      <c r="B137" s="4"/>
      <c r="E137" s="101"/>
      <c r="F137" s="4" t="s">
        <v>418</v>
      </c>
      <c r="G137" s="4"/>
      <c r="K137" s="51"/>
    </row>
    <row r="138" spans="2:11" s="3" customFormat="1" x14ac:dyDescent="0.3">
      <c r="B138" s="44">
        <v>46074</v>
      </c>
      <c r="C138" s="3" t="s">
        <v>416</v>
      </c>
      <c r="D138" s="3" t="s">
        <v>492</v>
      </c>
      <c r="E138" s="101"/>
      <c r="F138" s="3" t="s">
        <v>161</v>
      </c>
      <c r="G138" s="4">
        <v>3352509</v>
      </c>
      <c r="H138" s="4" t="s">
        <v>194</v>
      </c>
      <c r="I138" s="4">
        <v>3354205</v>
      </c>
      <c r="K138" s="51"/>
    </row>
    <row r="139" spans="2:11" s="3" customFormat="1" x14ac:dyDescent="0.3">
      <c r="B139" s="44">
        <v>46074</v>
      </c>
      <c r="C139" s="3" t="s">
        <v>416</v>
      </c>
      <c r="D139" s="3" t="s">
        <v>492</v>
      </c>
      <c r="E139" s="101"/>
      <c r="F139" s="4" t="s">
        <v>145</v>
      </c>
      <c r="G139" s="4">
        <v>3347404</v>
      </c>
      <c r="H139" s="4" t="s">
        <v>157</v>
      </c>
      <c r="I139" s="4">
        <v>3358503</v>
      </c>
      <c r="K139" s="51"/>
    </row>
    <row r="140" spans="2:11" s="3" customFormat="1" x14ac:dyDescent="0.3">
      <c r="B140" s="44">
        <v>46074</v>
      </c>
      <c r="C140" s="3" t="s">
        <v>416</v>
      </c>
      <c r="D140" s="3" t="s">
        <v>492</v>
      </c>
      <c r="E140" s="101"/>
      <c r="F140" s="3" t="s">
        <v>162</v>
      </c>
      <c r="G140" s="4">
        <v>3348903</v>
      </c>
      <c r="H140" s="3" t="s">
        <v>154</v>
      </c>
      <c r="I140" s="4">
        <v>3362109</v>
      </c>
      <c r="K140" s="51"/>
    </row>
    <row r="141" spans="2:11" s="3" customFormat="1" x14ac:dyDescent="0.3">
      <c r="B141" s="44">
        <v>46074</v>
      </c>
      <c r="C141" s="3" t="s">
        <v>416</v>
      </c>
      <c r="D141" s="3" t="s">
        <v>492</v>
      </c>
      <c r="E141" s="101"/>
      <c r="F141" s="3" t="s">
        <v>155</v>
      </c>
      <c r="G141" s="4">
        <v>3361600</v>
      </c>
      <c r="H141" s="3" t="s">
        <v>159</v>
      </c>
      <c r="I141" s="4">
        <v>3354403</v>
      </c>
      <c r="K141" s="51"/>
    </row>
    <row r="142" spans="2:11" s="3" customFormat="1" x14ac:dyDescent="0.3">
      <c r="B142" s="44">
        <v>46074</v>
      </c>
      <c r="C142" s="3" t="s">
        <v>416</v>
      </c>
      <c r="D142" s="3" t="s">
        <v>492</v>
      </c>
      <c r="E142" s="101"/>
      <c r="F142" s="4" t="s">
        <v>165</v>
      </c>
      <c r="G142" s="4">
        <v>3349006</v>
      </c>
      <c r="H142" s="4" t="s">
        <v>201</v>
      </c>
      <c r="I142" s="4">
        <v>3362203</v>
      </c>
      <c r="K142" s="51"/>
    </row>
    <row r="143" spans="2:11" s="3" customFormat="1" x14ac:dyDescent="0.3">
      <c r="B143" s="44">
        <v>46074</v>
      </c>
      <c r="C143" s="3" t="s">
        <v>416</v>
      </c>
      <c r="D143" s="3" t="s">
        <v>492</v>
      </c>
      <c r="E143" s="101"/>
      <c r="F143" s="4" t="s">
        <v>134</v>
      </c>
      <c r="G143" s="4">
        <v>3347102</v>
      </c>
      <c r="H143" s="3" t="s">
        <v>158</v>
      </c>
      <c r="I143" s="4">
        <v>3356901</v>
      </c>
      <c r="K143" s="51"/>
    </row>
    <row r="144" spans="2:11" s="3" customFormat="1" x14ac:dyDescent="0.3">
      <c r="B144" s="4"/>
      <c r="E144" s="101"/>
      <c r="F144" s="4" t="s">
        <v>418</v>
      </c>
      <c r="G144" s="4"/>
      <c r="K144" s="51"/>
    </row>
    <row r="145" spans="2:11" s="3" customFormat="1" x14ac:dyDescent="0.3">
      <c r="B145" s="44">
        <v>46081</v>
      </c>
      <c r="C145" s="3" t="s">
        <v>416</v>
      </c>
      <c r="D145" s="3" t="s">
        <v>492</v>
      </c>
      <c r="E145" s="101"/>
      <c r="F145" s="4" t="s">
        <v>201</v>
      </c>
      <c r="G145" s="4">
        <v>3362203</v>
      </c>
      <c r="H145" s="4" t="s">
        <v>145</v>
      </c>
      <c r="I145" s="4">
        <v>3347404</v>
      </c>
      <c r="K145" s="51"/>
    </row>
    <row r="146" spans="2:11" s="3" customFormat="1" x14ac:dyDescent="0.3">
      <c r="B146" s="44">
        <v>46081</v>
      </c>
      <c r="C146" s="3" t="s">
        <v>416</v>
      </c>
      <c r="D146" s="3" t="s">
        <v>492</v>
      </c>
      <c r="E146" s="101"/>
      <c r="F146" s="4" t="s">
        <v>157</v>
      </c>
      <c r="G146" s="4">
        <v>3358503</v>
      </c>
      <c r="H146" s="4" t="s">
        <v>134</v>
      </c>
      <c r="I146" s="4">
        <v>3347102</v>
      </c>
      <c r="K146" s="51"/>
    </row>
    <row r="147" spans="2:11" s="3" customFormat="1" x14ac:dyDescent="0.3">
      <c r="B147" s="44">
        <v>46081</v>
      </c>
      <c r="C147" s="3" t="s">
        <v>416</v>
      </c>
      <c r="D147" s="3" t="s">
        <v>492</v>
      </c>
      <c r="E147" s="101"/>
      <c r="F147" s="4" t="s">
        <v>194</v>
      </c>
      <c r="G147" s="4">
        <v>3354205</v>
      </c>
      <c r="H147" s="4" t="s">
        <v>165</v>
      </c>
      <c r="I147" s="4">
        <v>3349006</v>
      </c>
      <c r="K147" s="51"/>
    </row>
    <row r="148" spans="2:11" s="3" customFormat="1" x14ac:dyDescent="0.3">
      <c r="B148" s="44">
        <v>46081</v>
      </c>
      <c r="C148" s="3" t="s">
        <v>416</v>
      </c>
      <c r="D148" s="3" t="s">
        <v>492</v>
      </c>
      <c r="E148" s="101"/>
      <c r="F148" s="3" t="s">
        <v>159</v>
      </c>
      <c r="G148" s="4">
        <v>3354403</v>
      </c>
      <c r="H148" s="3" t="s">
        <v>161</v>
      </c>
      <c r="I148" s="4">
        <v>3352509</v>
      </c>
      <c r="K148" s="51"/>
    </row>
    <row r="149" spans="2:11" s="3" customFormat="1" x14ac:dyDescent="0.3">
      <c r="B149" s="44">
        <v>46081</v>
      </c>
      <c r="C149" s="3" t="s">
        <v>416</v>
      </c>
      <c r="D149" s="3" t="s">
        <v>492</v>
      </c>
      <c r="E149" s="101"/>
      <c r="F149" s="3" t="s">
        <v>154</v>
      </c>
      <c r="G149" s="4">
        <v>3362109</v>
      </c>
      <c r="H149" s="3" t="s">
        <v>155</v>
      </c>
      <c r="I149" s="4">
        <v>3361600</v>
      </c>
      <c r="K149" s="51"/>
    </row>
    <row r="150" spans="2:11" s="3" customFormat="1" x14ac:dyDescent="0.3">
      <c r="B150" s="44">
        <v>46081</v>
      </c>
      <c r="C150" s="3" t="s">
        <v>416</v>
      </c>
      <c r="D150" s="3" t="s">
        <v>492</v>
      </c>
      <c r="E150" s="101"/>
      <c r="F150" s="3" t="s">
        <v>158</v>
      </c>
      <c r="G150" s="4">
        <v>3356901</v>
      </c>
      <c r="H150" s="3" t="s">
        <v>162</v>
      </c>
      <c r="I150" s="4">
        <v>3348903</v>
      </c>
      <c r="K150" s="51"/>
    </row>
    <row r="151" spans="2:11" s="3" customFormat="1" x14ac:dyDescent="0.3">
      <c r="B151" s="4"/>
      <c r="E151" s="101"/>
      <c r="F151" s="4" t="s">
        <v>418</v>
      </c>
      <c r="G151" s="4"/>
      <c r="K151" s="51"/>
    </row>
    <row r="152" spans="2:11" s="3" customFormat="1" x14ac:dyDescent="0.3">
      <c r="B152" s="44">
        <v>46088</v>
      </c>
      <c r="C152" s="3" t="s">
        <v>416</v>
      </c>
      <c r="D152" s="3" t="s">
        <v>492</v>
      </c>
      <c r="E152" s="101"/>
      <c r="F152" s="3" t="s">
        <v>161</v>
      </c>
      <c r="G152" s="4">
        <v>3352509</v>
      </c>
      <c r="H152" s="4" t="s">
        <v>165</v>
      </c>
      <c r="I152" s="4">
        <v>3349006</v>
      </c>
      <c r="K152" s="51"/>
    </row>
    <row r="153" spans="2:11" s="3" customFormat="1" x14ac:dyDescent="0.3">
      <c r="B153" s="44">
        <v>46088</v>
      </c>
      <c r="C153" s="3" t="s">
        <v>416</v>
      </c>
      <c r="D153" s="3" t="s">
        <v>492</v>
      </c>
      <c r="E153" s="101"/>
      <c r="F153" s="3" t="s">
        <v>159</v>
      </c>
      <c r="G153" s="4">
        <v>3354403</v>
      </c>
      <c r="H153" s="3" t="s">
        <v>154</v>
      </c>
      <c r="I153" s="4">
        <v>3362109</v>
      </c>
      <c r="K153" s="51"/>
    </row>
    <row r="154" spans="2:11" s="3" customFormat="1" x14ac:dyDescent="0.3">
      <c r="B154" s="44">
        <v>46088</v>
      </c>
      <c r="C154" s="3" t="s">
        <v>416</v>
      </c>
      <c r="D154" s="3" t="s">
        <v>492</v>
      </c>
      <c r="E154" s="101"/>
      <c r="F154" s="4" t="s">
        <v>145</v>
      </c>
      <c r="G154" s="4">
        <v>3347404</v>
      </c>
      <c r="H154" s="4" t="s">
        <v>194</v>
      </c>
      <c r="I154" s="4">
        <v>3354205</v>
      </c>
      <c r="K154" s="51"/>
    </row>
    <row r="155" spans="2:11" s="3" customFormat="1" x14ac:dyDescent="0.3">
      <c r="B155" s="44">
        <v>46088</v>
      </c>
      <c r="C155" s="3" t="s">
        <v>416</v>
      </c>
      <c r="D155" s="3" t="s">
        <v>492</v>
      </c>
      <c r="E155" s="101"/>
      <c r="F155" s="3" t="s">
        <v>162</v>
      </c>
      <c r="G155" s="4">
        <v>3348903</v>
      </c>
      <c r="H155" s="4" t="s">
        <v>157</v>
      </c>
      <c r="I155" s="4">
        <v>3358503</v>
      </c>
      <c r="K155" s="51"/>
    </row>
    <row r="156" spans="2:11" s="3" customFormat="1" x14ac:dyDescent="0.3">
      <c r="B156" s="44">
        <v>46088</v>
      </c>
      <c r="C156" s="3" t="s">
        <v>416</v>
      </c>
      <c r="D156" s="3" t="s">
        <v>492</v>
      </c>
      <c r="E156" s="101"/>
      <c r="F156" s="3" t="s">
        <v>155</v>
      </c>
      <c r="G156" s="4">
        <v>3361600</v>
      </c>
      <c r="H156" s="3" t="s">
        <v>158</v>
      </c>
      <c r="I156" s="4">
        <v>3356901</v>
      </c>
      <c r="K156" s="51"/>
    </row>
    <row r="157" spans="2:11" s="3" customFormat="1" x14ac:dyDescent="0.3">
      <c r="B157" s="44">
        <v>46088</v>
      </c>
      <c r="C157" s="3" t="s">
        <v>416</v>
      </c>
      <c r="D157" s="3" t="s">
        <v>492</v>
      </c>
      <c r="E157" s="101"/>
      <c r="F157" s="4" t="s">
        <v>134</v>
      </c>
      <c r="G157" s="4">
        <v>3347102</v>
      </c>
      <c r="H157" s="4" t="s">
        <v>201</v>
      </c>
      <c r="I157" s="4">
        <v>3362203</v>
      </c>
      <c r="K157" s="51"/>
    </row>
    <row r="158" spans="2:11" s="3" customFormat="1" x14ac:dyDescent="0.3">
      <c r="B158" s="4"/>
      <c r="E158" s="101"/>
      <c r="F158" s="4" t="s">
        <v>418</v>
      </c>
      <c r="G158" s="4"/>
      <c r="K158" s="51"/>
    </row>
    <row r="159" spans="2:11" s="3" customFormat="1" x14ac:dyDescent="0.3">
      <c r="B159" s="44">
        <v>46095</v>
      </c>
      <c r="C159" s="3" t="s">
        <v>416</v>
      </c>
      <c r="D159" s="3" t="s">
        <v>492</v>
      </c>
      <c r="E159" s="101"/>
      <c r="F159" s="4" t="s">
        <v>201</v>
      </c>
      <c r="G159" s="4">
        <v>3362203</v>
      </c>
      <c r="H159" s="3" t="s">
        <v>162</v>
      </c>
      <c r="I159" s="4">
        <v>3348903</v>
      </c>
      <c r="K159" s="51"/>
    </row>
    <row r="160" spans="2:11" s="3" customFormat="1" x14ac:dyDescent="0.3">
      <c r="B160" s="44">
        <v>46095</v>
      </c>
      <c r="C160" s="3" t="s">
        <v>416</v>
      </c>
      <c r="D160" s="3" t="s">
        <v>492</v>
      </c>
      <c r="E160" s="101"/>
      <c r="F160" s="4" t="s">
        <v>157</v>
      </c>
      <c r="G160" s="4">
        <v>3358503</v>
      </c>
      <c r="H160" s="3" t="s">
        <v>155</v>
      </c>
      <c r="I160" s="4">
        <v>3361600</v>
      </c>
      <c r="K160" s="51"/>
    </row>
    <row r="161" spans="2:11" s="3" customFormat="1" x14ac:dyDescent="0.3">
      <c r="B161" s="44">
        <v>46095</v>
      </c>
      <c r="C161" s="3" t="s">
        <v>416</v>
      </c>
      <c r="D161" s="3" t="s">
        <v>492</v>
      </c>
      <c r="E161" s="101"/>
      <c r="F161" s="4" t="s">
        <v>194</v>
      </c>
      <c r="G161" s="4">
        <v>3354205</v>
      </c>
      <c r="H161" s="4" t="s">
        <v>134</v>
      </c>
      <c r="I161" s="4">
        <v>3347102</v>
      </c>
      <c r="K161" s="51"/>
    </row>
    <row r="162" spans="2:11" s="3" customFormat="1" x14ac:dyDescent="0.3">
      <c r="B162" s="44">
        <v>46095</v>
      </c>
      <c r="C162" s="3" t="s">
        <v>416</v>
      </c>
      <c r="D162" s="3" t="s">
        <v>492</v>
      </c>
      <c r="E162" s="101"/>
      <c r="F162" s="4" t="s">
        <v>165</v>
      </c>
      <c r="G162" s="4">
        <v>3349006</v>
      </c>
      <c r="H162" s="4" t="s">
        <v>145</v>
      </c>
      <c r="I162" s="4">
        <v>3347404</v>
      </c>
      <c r="K162" s="51"/>
    </row>
    <row r="163" spans="2:11" s="3" customFormat="1" x14ac:dyDescent="0.3">
      <c r="B163" s="44">
        <v>46095</v>
      </c>
      <c r="C163" s="3" t="s">
        <v>416</v>
      </c>
      <c r="D163" s="3" t="s">
        <v>492</v>
      </c>
      <c r="E163" s="101"/>
      <c r="F163" s="3" t="s">
        <v>154</v>
      </c>
      <c r="G163" s="4">
        <v>3362109</v>
      </c>
      <c r="H163" s="3" t="s">
        <v>161</v>
      </c>
      <c r="I163" s="4">
        <v>3352509</v>
      </c>
      <c r="K163" s="51"/>
    </row>
    <row r="164" spans="2:11" s="3" customFormat="1" x14ac:dyDescent="0.3">
      <c r="B164" s="44">
        <v>46095</v>
      </c>
      <c r="C164" s="3" t="s">
        <v>416</v>
      </c>
      <c r="D164" s="3" t="s">
        <v>492</v>
      </c>
      <c r="E164" s="101"/>
      <c r="F164" s="3" t="s">
        <v>158</v>
      </c>
      <c r="G164" s="4">
        <v>3356901</v>
      </c>
      <c r="H164" s="3" t="s">
        <v>159</v>
      </c>
      <c r="I164" s="4">
        <v>3354403</v>
      </c>
      <c r="K164" s="51"/>
    </row>
    <row r="165" spans="2:11" s="3" customFormat="1" x14ac:dyDescent="0.3">
      <c r="B165" s="4"/>
      <c r="E165" s="101"/>
      <c r="F165" s="4" t="s">
        <v>418</v>
      </c>
      <c r="G165" s="4"/>
      <c r="K165" s="51"/>
    </row>
    <row r="166" spans="2:11" s="3" customFormat="1" x14ac:dyDescent="0.3">
      <c r="B166" s="44">
        <v>46102</v>
      </c>
      <c r="C166" s="3" t="s">
        <v>416</v>
      </c>
      <c r="D166" s="3" t="s">
        <v>492</v>
      </c>
      <c r="E166" s="101"/>
      <c r="F166" s="3" t="s">
        <v>161</v>
      </c>
      <c r="G166" s="4">
        <v>3352509</v>
      </c>
      <c r="H166" s="4" t="s">
        <v>145</v>
      </c>
      <c r="I166" s="4">
        <v>3347404</v>
      </c>
      <c r="K166" s="51"/>
    </row>
    <row r="167" spans="2:11" s="3" customFormat="1" x14ac:dyDescent="0.3">
      <c r="B167" s="44">
        <v>46102</v>
      </c>
      <c r="C167" s="3" t="s">
        <v>416</v>
      </c>
      <c r="D167" s="3" t="s">
        <v>492</v>
      </c>
      <c r="E167" s="101"/>
      <c r="F167" s="3" t="s">
        <v>159</v>
      </c>
      <c r="G167" s="4">
        <v>3354403</v>
      </c>
      <c r="H167" s="4" t="s">
        <v>157</v>
      </c>
      <c r="I167" s="4">
        <v>3358503</v>
      </c>
      <c r="K167" s="51"/>
    </row>
    <row r="168" spans="2:11" s="3" customFormat="1" x14ac:dyDescent="0.3">
      <c r="B168" s="44">
        <v>46102</v>
      </c>
      <c r="C168" s="3" t="s">
        <v>416</v>
      </c>
      <c r="D168" s="3" t="s">
        <v>492</v>
      </c>
      <c r="E168" s="101"/>
      <c r="F168" s="3" t="s">
        <v>162</v>
      </c>
      <c r="G168" s="4">
        <v>3348903</v>
      </c>
      <c r="H168" s="4" t="s">
        <v>194</v>
      </c>
      <c r="I168" s="4">
        <v>3354205</v>
      </c>
      <c r="K168" s="51"/>
    </row>
    <row r="169" spans="2:11" s="3" customFormat="1" x14ac:dyDescent="0.3">
      <c r="B169" s="44">
        <v>46102</v>
      </c>
      <c r="C169" s="3" t="s">
        <v>416</v>
      </c>
      <c r="D169" s="3" t="s">
        <v>492</v>
      </c>
      <c r="E169" s="101"/>
      <c r="F169" s="3" t="s">
        <v>155</v>
      </c>
      <c r="G169" s="4">
        <v>3361600</v>
      </c>
      <c r="H169" s="4" t="s">
        <v>201</v>
      </c>
      <c r="I169" s="4">
        <v>3362203</v>
      </c>
      <c r="K169" s="51"/>
    </row>
    <row r="170" spans="2:11" s="3" customFormat="1" x14ac:dyDescent="0.3">
      <c r="B170" s="44">
        <v>46102</v>
      </c>
      <c r="C170" s="3" t="s">
        <v>416</v>
      </c>
      <c r="D170" s="3" t="s">
        <v>492</v>
      </c>
      <c r="E170" s="101"/>
      <c r="F170" s="3" t="s">
        <v>154</v>
      </c>
      <c r="G170" s="4">
        <v>3362109</v>
      </c>
      <c r="H170" s="3" t="s">
        <v>158</v>
      </c>
      <c r="I170" s="4">
        <v>3356901</v>
      </c>
      <c r="K170" s="51"/>
    </row>
    <row r="171" spans="2:11" s="3" customFormat="1" x14ac:dyDescent="0.3">
      <c r="B171" s="44">
        <v>46102</v>
      </c>
      <c r="C171" s="3" t="s">
        <v>416</v>
      </c>
      <c r="D171" s="3" t="s">
        <v>492</v>
      </c>
      <c r="E171" s="101"/>
      <c r="F171" s="4" t="s">
        <v>134</v>
      </c>
      <c r="G171" s="4">
        <v>3347102</v>
      </c>
      <c r="H171" s="4" t="s">
        <v>165</v>
      </c>
      <c r="I171" s="4">
        <v>3349006</v>
      </c>
      <c r="K171" s="51"/>
    </row>
    <row r="172" spans="2:11" s="3" customFormat="1" x14ac:dyDescent="0.3">
      <c r="B172" s="4"/>
      <c r="E172" s="101"/>
      <c r="F172" s="4" t="s">
        <v>418</v>
      </c>
      <c r="G172" s="4"/>
      <c r="K172" s="51"/>
    </row>
    <row r="173" spans="2:11" s="3" customFormat="1" x14ac:dyDescent="0.3">
      <c r="B173" s="44">
        <v>46109</v>
      </c>
      <c r="C173" s="3" t="s">
        <v>416</v>
      </c>
      <c r="D173" s="3" t="s">
        <v>492</v>
      </c>
      <c r="E173" s="101"/>
      <c r="F173" s="4" t="s">
        <v>201</v>
      </c>
      <c r="G173" s="4">
        <v>3362203</v>
      </c>
      <c r="H173" s="3" t="s">
        <v>159</v>
      </c>
      <c r="I173" s="4">
        <v>3354403</v>
      </c>
      <c r="K173" s="51"/>
    </row>
    <row r="174" spans="2:11" s="3" customFormat="1" x14ac:dyDescent="0.3">
      <c r="B174" s="44">
        <v>46109</v>
      </c>
      <c r="C174" s="3" t="s">
        <v>416</v>
      </c>
      <c r="D174" s="3" t="s">
        <v>492</v>
      </c>
      <c r="E174" s="101"/>
      <c r="F174" s="4" t="s">
        <v>194</v>
      </c>
      <c r="G174" s="4">
        <v>3354205</v>
      </c>
      <c r="H174" s="3" t="s">
        <v>155</v>
      </c>
      <c r="I174" s="4">
        <v>3361600</v>
      </c>
      <c r="K174" s="51"/>
    </row>
    <row r="175" spans="2:11" s="3" customFormat="1" x14ac:dyDescent="0.3">
      <c r="B175" s="44">
        <v>46109</v>
      </c>
      <c r="C175" s="3" t="s">
        <v>416</v>
      </c>
      <c r="D175" s="3" t="s">
        <v>492</v>
      </c>
      <c r="E175" s="101"/>
      <c r="F175" s="4" t="s">
        <v>145</v>
      </c>
      <c r="G175" s="4">
        <v>3347404</v>
      </c>
      <c r="H175" s="4" t="s">
        <v>134</v>
      </c>
      <c r="I175" s="4">
        <v>3347102</v>
      </c>
      <c r="K175" s="51"/>
    </row>
    <row r="176" spans="2:11" s="3" customFormat="1" x14ac:dyDescent="0.3">
      <c r="B176" s="44">
        <v>46109</v>
      </c>
      <c r="C176" s="3" t="s">
        <v>416</v>
      </c>
      <c r="D176" s="3" t="s">
        <v>492</v>
      </c>
      <c r="E176" s="101"/>
      <c r="F176" s="4" t="s">
        <v>165</v>
      </c>
      <c r="G176" s="4">
        <v>3349006</v>
      </c>
      <c r="H176" s="3" t="s">
        <v>162</v>
      </c>
      <c r="I176" s="4">
        <v>3348903</v>
      </c>
      <c r="K176" s="51"/>
    </row>
    <row r="177" spans="2:11" s="3" customFormat="1" x14ac:dyDescent="0.3">
      <c r="B177" s="44">
        <v>46109</v>
      </c>
      <c r="C177" s="3" t="s">
        <v>416</v>
      </c>
      <c r="D177" s="3" t="s">
        <v>492</v>
      </c>
      <c r="E177" s="101"/>
      <c r="F177" s="3" t="s">
        <v>158</v>
      </c>
      <c r="G177" s="4">
        <v>3356901</v>
      </c>
      <c r="H177" s="3" t="s">
        <v>161</v>
      </c>
      <c r="I177" s="4">
        <v>3352509</v>
      </c>
      <c r="K177" s="51"/>
    </row>
    <row r="178" spans="2:11" s="3" customFormat="1" x14ac:dyDescent="0.3">
      <c r="B178" s="44">
        <v>46109</v>
      </c>
      <c r="C178" s="3" t="s">
        <v>416</v>
      </c>
      <c r="D178" s="3" t="s">
        <v>492</v>
      </c>
      <c r="E178" s="101"/>
      <c r="F178" s="4" t="s">
        <v>157</v>
      </c>
      <c r="G178" s="4">
        <v>3358503</v>
      </c>
      <c r="H178" s="3" t="s">
        <v>154</v>
      </c>
      <c r="I178" s="4">
        <v>3362109</v>
      </c>
      <c r="K178" s="51"/>
    </row>
    <row r="179" spans="2:11" s="3" customFormat="1" x14ac:dyDescent="0.3">
      <c r="F179" s="4"/>
      <c r="G179" s="4"/>
      <c r="K179" s="51"/>
    </row>
    <row r="180" spans="2:11" s="3" customFormat="1" x14ac:dyDescent="0.3">
      <c r="F180" s="4"/>
      <c r="G180" s="4"/>
      <c r="K180" s="51"/>
    </row>
    <row r="181" spans="2:11" s="3" customFormat="1" x14ac:dyDescent="0.3">
      <c r="F181" s="4"/>
      <c r="G181" s="4"/>
      <c r="K181" s="51"/>
    </row>
    <row r="182" spans="2:11" s="3" customFormat="1" x14ac:dyDescent="0.3">
      <c r="F182" s="4"/>
      <c r="G182" s="4"/>
      <c r="K182" s="51"/>
    </row>
    <row r="183" spans="2:11" s="3" customFormat="1" x14ac:dyDescent="0.3">
      <c r="F183" s="4"/>
      <c r="G183" s="4"/>
      <c r="K183" s="51"/>
    </row>
    <row r="184" spans="2:11" s="3" customFormat="1" x14ac:dyDescent="0.3">
      <c r="F184" s="4"/>
      <c r="G184" s="4"/>
      <c r="K184" s="51"/>
    </row>
    <row r="185" spans="2:11" s="3" customFormat="1" x14ac:dyDescent="0.3">
      <c r="F185" s="4"/>
      <c r="G185" s="4"/>
      <c r="K185" s="51"/>
    </row>
    <row r="186" spans="2:11" s="3" customFormat="1" x14ac:dyDescent="0.3">
      <c r="F186" s="4"/>
      <c r="G186" s="4"/>
      <c r="K186" s="51"/>
    </row>
    <row r="187" spans="2:11" s="3" customFormat="1" x14ac:dyDescent="0.3">
      <c r="F187" s="4"/>
      <c r="G187" s="4"/>
      <c r="K187" s="51"/>
    </row>
    <row r="188" spans="2:11" s="3" customFormat="1" x14ac:dyDescent="0.3">
      <c r="F188" s="4"/>
      <c r="G188" s="4"/>
      <c r="K188" s="51"/>
    </row>
    <row r="189" spans="2:11" s="3" customFormat="1" x14ac:dyDescent="0.3">
      <c r="F189" s="4"/>
      <c r="G189" s="4"/>
      <c r="K189" s="51"/>
    </row>
    <row r="190" spans="2:11" s="3" customFormat="1" x14ac:dyDescent="0.3">
      <c r="F190" s="4"/>
      <c r="G190" s="4"/>
      <c r="K190" s="51"/>
    </row>
    <row r="191" spans="2:11" s="3" customFormat="1" x14ac:dyDescent="0.3">
      <c r="F191" s="4"/>
      <c r="G191" s="4"/>
      <c r="K191" s="51"/>
    </row>
    <row r="192" spans="2:11" s="3" customFormat="1" x14ac:dyDescent="0.3">
      <c r="F192" s="4"/>
      <c r="G192" s="4"/>
      <c r="K192" s="51"/>
    </row>
    <row r="193" spans="6:11" s="3" customFormat="1" x14ac:dyDescent="0.3">
      <c r="F193" s="4"/>
      <c r="G193" s="4"/>
      <c r="K193" s="51"/>
    </row>
    <row r="194" spans="6:11" s="3" customFormat="1" x14ac:dyDescent="0.3">
      <c r="F194" s="4"/>
      <c r="G194" s="4"/>
      <c r="K194" s="51"/>
    </row>
    <row r="195" spans="6:11" s="3" customFormat="1" x14ac:dyDescent="0.3">
      <c r="F195" s="4"/>
      <c r="G195" s="4"/>
      <c r="K195" s="51"/>
    </row>
    <row r="196" spans="6:11" s="3" customFormat="1" x14ac:dyDescent="0.3">
      <c r="F196" s="4"/>
      <c r="G196" s="4"/>
      <c r="K196" s="51"/>
    </row>
    <row r="197" spans="6:11" s="3" customFormat="1" x14ac:dyDescent="0.3">
      <c r="F197" s="4"/>
      <c r="G197" s="4"/>
      <c r="K197" s="51"/>
    </row>
    <row r="198" spans="6:11" s="3" customFormat="1" x14ac:dyDescent="0.3">
      <c r="F198" s="4"/>
      <c r="G198" s="4"/>
      <c r="K198" s="51"/>
    </row>
    <row r="199" spans="6:11" s="3" customFormat="1" x14ac:dyDescent="0.3">
      <c r="F199" s="4"/>
      <c r="G199" s="4"/>
      <c r="K199" s="51"/>
    </row>
    <row r="200" spans="6:11" s="3" customFormat="1" x14ac:dyDescent="0.3">
      <c r="F200" s="4"/>
      <c r="G200" s="4"/>
      <c r="K200" s="51"/>
    </row>
    <row r="201" spans="6:11" s="3" customFormat="1" x14ac:dyDescent="0.3">
      <c r="F201" s="4"/>
      <c r="G201" s="4"/>
      <c r="K201" s="51"/>
    </row>
    <row r="202" spans="6:11" s="3" customFormat="1" x14ac:dyDescent="0.3">
      <c r="F202" s="4"/>
      <c r="G202" s="4"/>
      <c r="K202" s="51"/>
    </row>
    <row r="203" spans="6:11" s="3" customFormat="1" x14ac:dyDescent="0.3">
      <c r="F203" s="4"/>
      <c r="G203" s="4"/>
      <c r="K203" s="51"/>
    </row>
    <row r="204" spans="6:11" s="3" customFormat="1" x14ac:dyDescent="0.3">
      <c r="F204" s="4"/>
      <c r="G204" s="4"/>
      <c r="K204" s="51"/>
    </row>
    <row r="205" spans="6:11" s="3" customFormat="1" x14ac:dyDescent="0.3">
      <c r="F205" s="4"/>
      <c r="G205" s="4"/>
      <c r="K205" s="51"/>
    </row>
    <row r="206" spans="6:11" s="3" customFormat="1" x14ac:dyDescent="0.3">
      <c r="F206" s="4"/>
      <c r="G206" s="4"/>
      <c r="K206" s="51"/>
    </row>
    <row r="207" spans="6:11" s="3" customFormat="1" x14ac:dyDescent="0.3">
      <c r="F207" s="4"/>
      <c r="G207" s="4"/>
      <c r="K207" s="51"/>
    </row>
    <row r="208" spans="6:11" s="3" customFormat="1" x14ac:dyDescent="0.3">
      <c r="F208" s="4"/>
      <c r="G208" s="4"/>
      <c r="K208" s="51"/>
    </row>
    <row r="209" spans="6:11" s="3" customFormat="1" x14ac:dyDescent="0.3">
      <c r="F209" s="4"/>
      <c r="G209" s="4"/>
      <c r="K209" s="51"/>
    </row>
    <row r="210" spans="6:11" s="3" customFormat="1" x14ac:dyDescent="0.3">
      <c r="F210" s="4"/>
      <c r="G210" s="4"/>
      <c r="K210" s="51"/>
    </row>
    <row r="211" spans="6:11" s="3" customFormat="1" x14ac:dyDescent="0.3">
      <c r="F211" s="4"/>
      <c r="G211" s="4"/>
      <c r="K211" s="51"/>
    </row>
    <row r="212" spans="6:11" s="3" customFormat="1" x14ac:dyDescent="0.3">
      <c r="F212" s="4"/>
      <c r="G212" s="4"/>
      <c r="K212" s="51"/>
    </row>
    <row r="213" spans="6:11" s="3" customFormat="1" x14ac:dyDescent="0.3">
      <c r="F213" s="4"/>
      <c r="G213" s="4"/>
      <c r="K213" s="51"/>
    </row>
    <row r="214" spans="6:11" s="3" customFormat="1" x14ac:dyDescent="0.3">
      <c r="F214" s="4"/>
      <c r="G214" s="4"/>
      <c r="K214" s="51"/>
    </row>
    <row r="215" spans="6:11" s="3" customFormat="1" x14ac:dyDescent="0.3">
      <c r="F215" s="4"/>
      <c r="G215" s="4"/>
      <c r="K215" s="51"/>
    </row>
    <row r="216" spans="6:11" s="3" customFormat="1" x14ac:dyDescent="0.3">
      <c r="F216" s="4"/>
      <c r="G216" s="4"/>
      <c r="K216" s="51"/>
    </row>
    <row r="217" spans="6:11" s="3" customFormat="1" x14ac:dyDescent="0.3">
      <c r="F217" s="4"/>
      <c r="G217" s="4"/>
      <c r="K217" s="51"/>
    </row>
    <row r="218" spans="6:11" s="3" customFormat="1" x14ac:dyDescent="0.3">
      <c r="F218" s="4"/>
      <c r="G218" s="4"/>
      <c r="K218" s="51"/>
    </row>
    <row r="219" spans="6:11" s="3" customFormat="1" x14ac:dyDescent="0.3">
      <c r="F219" s="4"/>
      <c r="G219" s="4"/>
      <c r="K219" s="51"/>
    </row>
    <row r="220" spans="6:11" s="3" customFormat="1" x14ac:dyDescent="0.3">
      <c r="F220" s="4"/>
      <c r="G220" s="4"/>
      <c r="K220" s="51"/>
    </row>
    <row r="221" spans="6:11" s="3" customFormat="1" x14ac:dyDescent="0.3">
      <c r="F221" s="4"/>
      <c r="G221" s="4"/>
      <c r="K221" s="51"/>
    </row>
    <row r="222" spans="6:11" s="3" customFormat="1" x14ac:dyDescent="0.3">
      <c r="F222" s="4"/>
      <c r="G222" s="4"/>
      <c r="K222" s="51"/>
    </row>
    <row r="223" spans="6:11" s="3" customFormat="1" x14ac:dyDescent="0.3">
      <c r="F223" s="4"/>
      <c r="G223" s="4"/>
      <c r="K223" s="51"/>
    </row>
    <row r="224" spans="6:11" s="3" customFormat="1" x14ac:dyDescent="0.3">
      <c r="F224" s="4"/>
      <c r="G224" s="4"/>
      <c r="K224" s="51"/>
    </row>
    <row r="225" spans="6:11" s="3" customFormat="1" x14ac:dyDescent="0.3">
      <c r="F225" s="4"/>
      <c r="G225" s="4"/>
      <c r="K225" s="51"/>
    </row>
    <row r="226" spans="6:11" s="3" customFormat="1" x14ac:dyDescent="0.3">
      <c r="F226" s="4"/>
      <c r="G226" s="4"/>
      <c r="K226" s="51"/>
    </row>
    <row r="227" spans="6:11" s="3" customFormat="1" x14ac:dyDescent="0.3">
      <c r="F227" s="4"/>
      <c r="G227" s="4"/>
      <c r="K227" s="51"/>
    </row>
    <row r="228" spans="6:11" s="3" customFormat="1" x14ac:dyDescent="0.3">
      <c r="F228" s="4"/>
      <c r="G228" s="4"/>
      <c r="K228" s="51"/>
    </row>
    <row r="229" spans="6:11" s="3" customFormat="1" x14ac:dyDescent="0.3">
      <c r="F229" s="4"/>
      <c r="G229" s="4"/>
      <c r="K229" s="51"/>
    </row>
    <row r="230" spans="6:11" s="3" customFormat="1" x14ac:dyDescent="0.3">
      <c r="F230" s="4"/>
      <c r="G230" s="4"/>
      <c r="K230" s="51"/>
    </row>
    <row r="231" spans="6:11" s="3" customFormat="1" x14ac:dyDescent="0.3">
      <c r="F231" s="4"/>
      <c r="G231" s="4"/>
      <c r="K231" s="51"/>
    </row>
    <row r="232" spans="6:11" s="3" customFormat="1" x14ac:dyDescent="0.3">
      <c r="F232" s="4"/>
      <c r="G232" s="4"/>
      <c r="K232" s="51"/>
    </row>
    <row r="233" spans="6:11" s="3" customFormat="1" x14ac:dyDescent="0.3">
      <c r="F233" s="4"/>
      <c r="G233" s="4"/>
      <c r="K233" s="51"/>
    </row>
    <row r="234" spans="6:11" s="3" customFormat="1" x14ac:dyDescent="0.3">
      <c r="F234" s="4"/>
      <c r="G234" s="4"/>
      <c r="K234" s="51"/>
    </row>
    <row r="235" spans="6:11" s="3" customFormat="1" x14ac:dyDescent="0.3">
      <c r="F235" s="4"/>
      <c r="G235" s="4"/>
      <c r="K235" s="51"/>
    </row>
    <row r="236" spans="6:11" s="3" customFormat="1" x14ac:dyDescent="0.3">
      <c r="F236" s="4"/>
      <c r="G236" s="4"/>
      <c r="K236" s="51"/>
    </row>
    <row r="237" spans="6:11" s="3" customFormat="1" x14ac:dyDescent="0.3">
      <c r="F237" s="4"/>
      <c r="G237" s="4"/>
      <c r="K237" s="51"/>
    </row>
    <row r="238" spans="6:11" s="3" customFormat="1" x14ac:dyDescent="0.3">
      <c r="F238" s="4"/>
      <c r="G238" s="4"/>
      <c r="K238" s="51"/>
    </row>
    <row r="239" spans="6:11" s="3" customFormat="1" x14ac:dyDescent="0.3">
      <c r="F239" s="4"/>
      <c r="G239" s="4"/>
      <c r="K239" s="51"/>
    </row>
    <row r="240" spans="6:11" s="3" customFormat="1" x14ac:dyDescent="0.3">
      <c r="F240" s="4"/>
      <c r="G240" s="4"/>
      <c r="K240" s="51"/>
    </row>
    <row r="241" spans="6:11" s="3" customFormat="1" x14ac:dyDescent="0.3">
      <c r="F241" s="4"/>
      <c r="G241" s="4"/>
      <c r="K241" s="51"/>
    </row>
    <row r="242" spans="6:11" s="3" customFormat="1" x14ac:dyDescent="0.3">
      <c r="F242" s="4"/>
      <c r="G242" s="4"/>
      <c r="K242" s="51"/>
    </row>
    <row r="243" spans="6:11" s="3" customFormat="1" x14ac:dyDescent="0.3">
      <c r="F243" s="4"/>
      <c r="G243" s="4"/>
      <c r="K243" s="51"/>
    </row>
    <row r="244" spans="6:11" s="3" customFormat="1" x14ac:dyDescent="0.3">
      <c r="F244" s="4"/>
      <c r="G244" s="4"/>
      <c r="K244" s="51"/>
    </row>
    <row r="245" spans="6:11" s="3" customFormat="1" x14ac:dyDescent="0.3">
      <c r="F245" s="4"/>
      <c r="G245" s="4"/>
      <c r="K245" s="51"/>
    </row>
    <row r="246" spans="6:11" s="3" customFormat="1" x14ac:dyDescent="0.3">
      <c r="F246" s="4"/>
      <c r="G246" s="4"/>
      <c r="K246" s="51"/>
    </row>
    <row r="247" spans="6:11" s="3" customFormat="1" x14ac:dyDescent="0.3">
      <c r="F247" s="4"/>
      <c r="G247" s="4"/>
      <c r="K247" s="51"/>
    </row>
    <row r="248" spans="6:11" s="3" customFormat="1" x14ac:dyDescent="0.3">
      <c r="F248" s="4"/>
      <c r="G248" s="4"/>
      <c r="K248" s="51"/>
    </row>
    <row r="249" spans="6:11" s="3" customFormat="1" x14ac:dyDescent="0.3">
      <c r="F249" s="4"/>
      <c r="G249" s="4"/>
      <c r="K249" s="51"/>
    </row>
    <row r="250" spans="6:11" s="3" customFormat="1" x14ac:dyDescent="0.3">
      <c r="F250" s="4"/>
      <c r="G250" s="4"/>
      <c r="K250" s="51"/>
    </row>
    <row r="251" spans="6:11" s="3" customFormat="1" x14ac:dyDescent="0.3">
      <c r="F251" s="4"/>
      <c r="G251" s="4"/>
      <c r="K251" s="51"/>
    </row>
    <row r="252" spans="6:11" s="3" customFormat="1" x14ac:dyDescent="0.3">
      <c r="F252" s="4"/>
      <c r="G252" s="4"/>
      <c r="K252" s="51"/>
    </row>
    <row r="253" spans="6:11" s="3" customFormat="1" x14ac:dyDescent="0.3">
      <c r="F253" s="4"/>
      <c r="G253" s="4"/>
      <c r="K253" s="51"/>
    </row>
    <row r="254" spans="6:11" s="3" customFormat="1" x14ac:dyDescent="0.3">
      <c r="F254" s="4"/>
      <c r="G254" s="4"/>
      <c r="K254" s="51"/>
    </row>
    <row r="255" spans="6:11" s="3" customFormat="1" x14ac:dyDescent="0.3">
      <c r="F255" s="4"/>
      <c r="G255" s="4"/>
      <c r="K255" s="51"/>
    </row>
    <row r="256" spans="6:11" s="3" customFormat="1" x14ac:dyDescent="0.3">
      <c r="F256" s="4"/>
      <c r="G256" s="4"/>
      <c r="K256" s="51"/>
    </row>
    <row r="257" spans="6:11" s="3" customFormat="1" x14ac:dyDescent="0.3">
      <c r="F257" s="4"/>
      <c r="G257" s="4"/>
      <c r="K257" s="51"/>
    </row>
    <row r="258" spans="6:11" s="3" customFormat="1" x14ac:dyDescent="0.3">
      <c r="F258" s="4"/>
      <c r="G258" s="4"/>
      <c r="K258" s="51"/>
    </row>
    <row r="259" spans="6:11" s="3" customFormat="1" x14ac:dyDescent="0.3">
      <c r="F259" s="4"/>
      <c r="G259" s="4"/>
      <c r="K259" s="51"/>
    </row>
    <row r="260" spans="6:11" s="3" customFormat="1" x14ac:dyDescent="0.3">
      <c r="F260" s="4"/>
      <c r="G260" s="4"/>
      <c r="K260" s="51"/>
    </row>
    <row r="261" spans="6:11" s="3" customFormat="1" x14ac:dyDescent="0.3">
      <c r="F261" s="4"/>
      <c r="G261" s="4"/>
      <c r="K261" s="51"/>
    </row>
    <row r="262" spans="6:11" s="3" customFormat="1" x14ac:dyDescent="0.3">
      <c r="F262" s="4"/>
      <c r="G262" s="4"/>
      <c r="K262" s="51"/>
    </row>
    <row r="263" spans="6:11" s="3" customFormat="1" x14ac:dyDescent="0.3">
      <c r="F263" s="4"/>
      <c r="G263" s="4"/>
      <c r="K263" s="51"/>
    </row>
    <row r="264" spans="6:11" s="3" customFormat="1" x14ac:dyDescent="0.3">
      <c r="F264" s="4"/>
      <c r="G264" s="4"/>
      <c r="K264" s="51"/>
    </row>
    <row r="265" spans="6:11" s="3" customFormat="1" x14ac:dyDescent="0.3">
      <c r="F265" s="4"/>
      <c r="G265" s="4"/>
      <c r="K265" s="51"/>
    </row>
    <row r="266" spans="6:11" s="3" customFormat="1" x14ac:dyDescent="0.3">
      <c r="F266" s="4"/>
      <c r="G266" s="4"/>
      <c r="K266" s="51"/>
    </row>
    <row r="267" spans="6:11" s="3" customFormat="1" x14ac:dyDescent="0.3">
      <c r="F267" s="4"/>
      <c r="G267" s="4"/>
      <c r="K267" s="51"/>
    </row>
    <row r="268" spans="6:11" s="3" customFormat="1" x14ac:dyDescent="0.3">
      <c r="F268" s="4"/>
      <c r="G268" s="4"/>
      <c r="K268" s="51"/>
    </row>
    <row r="269" spans="6:11" s="3" customFormat="1" x14ac:dyDescent="0.3">
      <c r="F269" s="4"/>
      <c r="G269" s="4"/>
      <c r="K269" s="51"/>
    </row>
    <row r="270" spans="6:11" s="3" customFormat="1" x14ac:dyDescent="0.3">
      <c r="F270" s="4"/>
      <c r="G270" s="4"/>
      <c r="K270" s="51"/>
    </row>
    <row r="271" spans="6:11" s="3" customFormat="1" x14ac:dyDescent="0.3">
      <c r="F271" s="4"/>
      <c r="G271" s="4"/>
      <c r="K271" s="51"/>
    </row>
    <row r="272" spans="6:11" s="3" customFormat="1" x14ac:dyDescent="0.3">
      <c r="F272" s="4"/>
      <c r="G272" s="4"/>
      <c r="K272" s="51"/>
    </row>
    <row r="273" spans="6:11" s="3" customFormat="1" x14ac:dyDescent="0.3">
      <c r="F273" s="4"/>
      <c r="G273" s="4"/>
      <c r="K273" s="51"/>
    </row>
    <row r="274" spans="6:11" s="3" customFormat="1" x14ac:dyDescent="0.3">
      <c r="F274" s="4"/>
      <c r="G274" s="4"/>
      <c r="K274" s="51"/>
    </row>
    <row r="275" spans="6:11" s="3" customFormat="1" x14ac:dyDescent="0.3">
      <c r="F275" s="4"/>
      <c r="G275" s="4"/>
      <c r="K275" s="51"/>
    </row>
    <row r="276" spans="6:11" s="3" customFormat="1" x14ac:dyDescent="0.3">
      <c r="F276" s="4"/>
      <c r="G276" s="4"/>
      <c r="K276" s="51"/>
    </row>
    <row r="277" spans="6:11" s="3" customFormat="1" x14ac:dyDescent="0.3">
      <c r="F277" s="4"/>
      <c r="G277" s="4"/>
      <c r="K277" s="51"/>
    </row>
    <row r="278" spans="6:11" s="3" customFormat="1" x14ac:dyDescent="0.3">
      <c r="F278" s="4"/>
      <c r="G278" s="4"/>
      <c r="K278" s="51"/>
    </row>
    <row r="279" spans="6:11" s="3" customFormat="1" x14ac:dyDescent="0.3">
      <c r="F279" s="4"/>
      <c r="G279" s="4"/>
      <c r="K279" s="51"/>
    </row>
    <row r="280" spans="6:11" s="3" customFormat="1" x14ac:dyDescent="0.3">
      <c r="F280" s="4"/>
      <c r="G280" s="4"/>
      <c r="K280" s="51"/>
    </row>
    <row r="281" spans="6:11" s="3" customFormat="1" x14ac:dyDescent="0.3">
      <c r="F281" s="4"/>
      <c r="G281" s="4"/>
      <c r="K281" s="51"/>
    </row>
    <row r="282" spans="6:11" s="3" customFormat="1" x14ac:dyDescent="0.3">
      <c r="F282" s="4"/>
      <c r="G282" s="4"/>
      <c r="K282" s="51"/>
    </row>
    <row r="283" spans="6:11" s="3" customFormat="1" x14ac:dyDescent="0.3">
      <c r="F283" s="4"/>
      <c r="G283" s="4"/>
      <c r="K283" s="51"/>
    </row>
    <row r="284" spans="6:11" s="3" customFormat="1" x14ac:dyDescent="0.3">
      <c r="F284" s="4"/>
      <c r="G284" s="4"/>
      <c r="K284" s="51"/>
    </row>
    <row r="285" spans="6:11" s="3" customFormat="1" x14ac:dyDescent="0.3">
      <c r="F285" s="4"/>
      <c r="G285" s="4"/>
      <c r="K285" s="51"/>
    </row>
    <row r="286" spans="6:11" s="3" customFormat="1" x14ac:dyDescent="0.3">
      <c r="F286" s="4"/>
      <c r="G286" s="4"/>
      <c r="K286" s="51"/>
    </row>
    <row r="287" spans="6:11" s="3" customFormat="1" x14ac:dyDescent="0.3">
      <c r="F287" s="4"/>
      <c r="G287" s="4"/>
      <c r="K287" s="51"/>
    </row>
    <row r="288" spans="6:11" s="3" customFormat="1" x14ac:dyDescent="0.3">
      <c r="F288" s="4"/>
      <c r="G288" s="4"/>
      <c r="K288" s="51"/>
    </row>
    <row r="289" spans="6:11" s="3" customFormat="1" x14ac:dyDescent="0.3">
      <c r="F289" s="4"/>
      <c r="G289" s="4"/>
      <c r="K289" s="51"/>
    </row>
    <row r="290" spans="6:11" s="3" customFormat="1" x14ac:dyDescent="0.3">
      <c r="F290" s="4"/>
      <c r="G290" s="4"/>
      <c r="K290" s="51"/>
    </row>
    <row r="291" spans="6:11" s="3" customFormat="1" x14ac:dyDescent="0.3">
      <c r="F291" s="4"/>
      <c r="G291" s="4"/>
      <c r="K291" s="51"/>
    </row>
    <row r="292" spans="6:11" s="3" customFormat="1" x14ac:dyDescent="0.3">
      <c r="F292" s="4"/>
      <c r="G292" s="4"/>
      <c r="K292" s="51"/>
    </row>
    <row r="293" spans="6:11" s="3" customFormat="1" x14ac:dyDescent="0.3">
      <c r="F293" s="4"/>
      <c r="G293" s="4"/>
      <c r="K293" s="51"/>
    </row>
    <row r="294" spans="6:11" s="3" customFormat="1" x14ac:dyDescent="0.3">
      <c r="F294" s="4"/>
      <c r="G294" s="4"/>
      <c r="K294" s="51"/>
    </row>
    <row r="295" spans="6:11" s="3" customFormat="1" x14ac:dyDescent="0.3">
      <c r="F295" s="4"/>
      <c r="G295" s="4"/>
      <c r="K295" s="51"/>
    </row>
    <row r="296" spans="6:11" s="3" customFormat="1" x14ac:dyDescent="0.3">
      <c r="F296" s="4"/>
      <c r="G296" s="4"/>
      <c r="K296" s="51"/>
    </row>
    <row r="297" spans="6:11" s="3" customFormat="1" x14ac:dyDescent="0.3">
      <c r="F297" s="4"/>
      <c r="G297" s="4"/>
      <c r="K297" s="51"/>
    </row>
    <row r="298" spans="6:11" s="3" customFormat="1" x14ac:dyDescent="0.3">
      <c r="F298" s="4"/>
      <c r="G298" s="4"/>
      <c r="K298" s="51"/>
    </row>
    <row r="299" spans="6:11" s="3" customFormat="1" x14ac:dyDescent="0.3">
      <c r="F299" s="4"/>
      <c r="G299" s="4"/>
      <c r="K299" s="51"/>
    </row>
    <row r="300" spans="6:11" s="3" customFormat="1" x14ac:dyDescent="0.3">
      <c r="F300" s="4"/>
      <c r="G300" s="4"/>
      <c r="K300" s="51"/>
    </row>
    <row r="301" spans="6:11" s="3" customFormat="1" x14ac:dyDescent="0.3">
      <c r="F301" s="4"/>
      <c r="G301" s="4"/>
      <c r="K301" s="51"/>
    </row>
    <row r="302" spans="6:11" s="3" customFormat="1" x14ac:dyDescent="0.3">
      <c r="F302" s="4"/>
      <c r="G302" s="4"/>
      <c r="K302" s="51"/>
    </row>
    <row r="303" spans="6:11" s="3" customFormat="1" x14ac:dyDescent="0.3">
      <c r="F303" s="4"/>
      <c r="G303" s="4"/>
      <c r="K303" s="51"/>
    </row>
    <row r="304" spans="6:11" s="3" customFormat="1" x14ac:dyDescent="0.3">
      <c r="F304" s="4"/>
      <c r="G304" s="4"/>
      <c r="K304" s="51"/>
    </row>
    <row r="305" spans="6:11" s="3" customFormat="1" x14ac:dyDescent="0.3">
      <c r="F305" s="4"/>
      <c r="G305" s="4"/>
      <c r="K305" s="51"/>
    </row>
    <row r="306" spans="6:11" s="3" customFormat="1" x14ac:dyDescent="0.3">
      <c r="F306" s="4"/>
      <c r="G306" s="4"/>
      <c r="K306" s="51"/>
    </row>
    <row r="307" spans="6:11" s="3" customFormat="1" x14ac:dyDescent="0.3">
      <c r="F307" s="4"/>
      <c r="G307" s="4"/>
      <c r="K307" s="51"/>
    </row>
    <row r="308" spans="6:11" s="3" customFormat="1" x14ac:dyDescent="0.3">
      <c r="F308" s="4"/>
      <c r="G308" s="4"/>
      <c r="K308" s="51"/>
    </row>
    <row r="309" spans="6:11" s="3" customFormat="1" x14ac:dyDescent="0.3">
      <c r="F309" s="4"/>
      <c r="G309" s="4"/>
      <c r="K309" s="51"/>
    </row>
    <row r="310" spans="6:11" s="3" customFormat="1" x14ac:dyDescent="0.3">
      <c r="F310" s="4"/>
      <c r="G310" s="4"/>
      <c r="K310" s="51"/>
    </row>
    <row r="311" spans="6:11" s="3" customFormat="1" x14ac:dyDescent="0.3">
      <c r="F311" s="4"/>
      <c r="G311" s="4"/>
      <c r="K311" s="51"/>
    </row>
    <row r="312" spans="6:11" s="3" customFormat="1" x14ac:dyDescent="0.3">
      <c r="F312" s="4"/>
      <c r="G312" s="4"/>
      <c r="K312" s="51"/>
    </row>
    <row r="313" spans="6:11" s="3" customFormat="1" x14ac:dyDescent="0.3">
      <c r="F313" s="4"/>
      <c r="G313" s="4"/>
      <c r="K313" s="51"/>
    </row>
    <row r="314" spans="6:11" x14ac:dyDescent="0.3">
      <c r="F314" s="4"/>
      <c r="G314" s="4"/>
    </row>
    <row r="315" spans="6:11" x14ac:dyDescent="0.3">
      <c r="F315" s="4"/>
      <c r="G315" s="4"/>
    </row>
    <row r="316" spans="6:11" x14ac:dyDescent="0.3">
      <c r="F316" s="4"/>
      <c r="G316" s="4"/>
    </row>
    <row r="317" spans="6:11" x14ac:dyDescent="0.3">
      <c r="F317" s="4"/>
      <c r="G317" s="4"/>
    </row>
    <row r="318" spans="6:11" x14ac:dyDescent="0.3">
      <c r="F318" s="4"/>
      <c r="G318" s="4"/>
    </row>
    <row r="319" spans="6:11" x14ac:dyDescent="0.3">
      <c r="F319" s="4"/>
      <c r="G319" s="4"/>
    </row>
    <row r="320" spans="6:11" x14ac:dyDescent="0.3">
      <c r="F320" s="4"/>
      <c r="G320" s="4"/>
    </row>
    <row r="321" spans="6:7" x14ac:dyDescent="0.3">
      <c r="F321" s="4"/>
      <c r="G321" s="4"/>
    </row>
    <row r="322" spans="6:7" x14ac:dyDescent="0.3">
      <c r="F322" s="4"/>
      <c r="G322" s="4"/>
    </row>
    <row r="323" spans="6:7" x14ac:dyDescent="0.3">
      <c r="F323" s="4"/>
      <c r="G323" s="4"/>
    </row>
    <row r="324" spans="6:7" x14ac:dyDescent="0.3">
      <c r="F324" s="4"/>
      <c r="G324" s="4"/>
    </row>
    <row r="325" spans="6:7" x14ac:dyDescent="0.3">
      <c r="F325" s="4"/>
      <c r="G325" s="4"/>
    </row>
    <row r="326" spans="6:7" x14ac:dyDescent="0.3">
      <c r="F326" s="4"/>
      <c r="G326" s="4"/>
    </row>
    <row r="327" spans="6:7" x14ac:dyDescent="0.3">
      <c r="F327" s="4"/>
      <c r="G327" s="4"/>
    </row>
    <row r="328" spans="6:7" x14ac:dyDescent="0.3">
      <c r="F328" s="4"/>
      <c r="G328" s="4"/>
    </row>
    <row r="329" spans="6:7" x14ac:dyDescent="0.3">
      <c r="F329" s="4"/>
      <c r="G329" s="4"/>
    </row>
    <row r="330" spans="6:7" x14ac:dyDescent="0.3">
      <c r="F330" s="4"/>
      <c r="G330" s="4"/>
    </row>
    <row r="331" spans="6:7" x14ac:dyDescent="0.3">
      <c r="F331" s="4"/>
      <c r="G331" s="4"/>
    </row>
    <row r="332" spans="6:7" x14ac:dyDescent="0.3">
      <c r="F332" s="4"/>
      <c r="G332" s="4"/>
    </row>
    <row r="333" spans="6:7" x14ac:dyDescent="0.3">
      <c r="F333" s="4"/>
      <c r="G333" s="4"/>
    </row>
    <row r="334" spans="6:7" x14ac:dyDescent="0.3">
      <c r="F334" s="4"/>
      <c r="G334" s="4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544" priority="15"/>
  </conditionalFormatting>
  <conditionalFormatting sqref="B10:B11 B13:B17 B19">
    <cfRule type="duplicateValues" dxfId="5543" priority="2962"/>
  </conditionalFormatting>
  <conditionalFormatting sqref="I5:I8">
    <cfRule type="duplicateValues" dxfId="5542" priority="2959"/>
  </conditionalFormatting>
  <conditionalFormatting sqref="I9:I21">
    <cfRule type="containsText" dxfId="5541" priority="6" operator="containsText" text="Code">
      <formula>NOT(ISERROR(SEARCH("Code",I9)))</formula>
    </cfRule>
    <cfRule type="containsText" dxfId="5540" priority="11" operator="containsText" text="c'[Fixtures All.xlsx]Women Filtered'!$F$2">
      <formula>NOT(ISERROR(SEARCH("c'[Fixtures All.xlsx]Women Filtered'!$F$2",I9)))</formula>
    </cfRule>
  </conditionalFormatting>
  <conditionalFormatting sqref="I10:L21">
    <cfRule type="cellIs" dxfId="5539" priority="4" operator="lessThan">
      <formula>5</formula>
    </cfRule>
    <cfRule type="cellIs" dxfId="5538" priority="5" operator="greaterThan">
      <formula>6</formula>
    </cfRule>
  </conditionalFormatting>
  <conditionalFormatting sqref="J10:J21">
    <cfRule type="containsText" dxfId="5537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536" priority="2961"/>
  </conditionalFormatting>
  <conditionalFormatting sqref="K5">
    <cfRule type="duplicateValues" dxfId="5535" priority="13"/>
  </conditionalFormatting>
  <conditionalFormatting sqref="K9:K21">
    <cfRule type="containsText" dxfId="5534" priority="3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533" priority="2" operator="containsText" text="Code">
      <formula>NOT(ISERROR(SEARCH("Code",K10)))</formula>
    </cfRule>
  </conditionalFormatting>
  <conditionalFormatting sqref="L10:L21">
    <cfRule type="containsText" dxfId="5532" priority="7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194CB894-A190-4BF5-9860-2359B4413F54}"/>
    <hyperlink ref="K5:K6" location="'All Fixtures'!A1" display="See all NW Fixtures" xr:uid="{2B6A932B-686C-4381-8853-91B0D4E7A8AD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AB495-FD14-40EB-8FB8-4ED5A70C06E5}">
  <dimension ref="A2:AQ178"/>
  <sheetViews>
    <sheetView zoomScaleNormal="100" workbookViewId="0"/>
  </sheetViews>
  <sheetFormatPr defaultRowHeight="14.4" x14ac:dyDescent="0.3"/>
  <cols>
    <col min="1" max="1" width="4.33203125" style="3" customWidth="1"/>
    <col min="2" max="2" width="32.6640625" style="3" customWidth="1"/>
    <col min="3" max="3" width="26.77734375" style="3" customWidth="1"/>
    <col min="4" max="4" width="34.109375" style="3" customWidth="1"/>
    <col min="5" max="5" width="14.6640625" style="3" customWidth="1"/>
    <col min="6" max="6" width="32.21875" style="3" customWidth="1"/>
    <col min="7" max="7" width="12.6640625" style="3" customWidth="1"/>
    <col min="8" max="8" width="32.6640625" style="3" customWidth="1"/>
    <col min="9" max="9" width="8.88671875" style="3"/>
    <col min="10" max="10" width="6.109375" style="3" customWidth="1"/>
    <col min="11" max="11" width="17.5546875" style="51" customWidth="1"/>
    <col min="12" max="12" width="2.33203125" style="3" customWidth="1"/>
    <col min="13" max="43" width="8.88671875" style="3"/>
  </cols>
  <sheetData>
    <row r="2" spans="1:12" ht="15" thickBot="1" x14ac:dyDescent="0.35"/>
    <row r="3" spans="1:12" ht="37.200000000000003" thickBot="1" x14ac:dyDescent="0.75">
      <c r="E3" s="16" t="s">
        <v>493</v>
      </c>
      <c r="F3" s="16"/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C8" s="59"/>
      <c r="D8" s="59"/>
      <c r="E8" s="59"/>
      <c r="F8" s="59"/>
      <c r="G8" s="59"/>
      <c r="H8" s="59"/>
      <c r="I8" s="59"/>
      <c r="J8" s="59"/>
    </row>
    <row r="9" spans="1:12" ht="15" customHeight="1" x14ac:dyDescent="0.4"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COUNTIF(F$26:H$178,"Bowdon 6")</f>
        <v>22</v>
      </c>
      <c r="B10" s="3" t="s">
        <v>210</v>
      </c>
      <c r="C10" s="74">
        <v>3361100</v>
      </c>
      <c r="D10" s="57">
        <f>COUNTIF(F$26:I$178,"3361100")</f>
        <v>22</v>
      </c>
      <c r="E10" s="47"/>
      <c r="F10" s="57">
        <f>COUNTIF(F$26:F$178,"Bowdon 6")</f>
        <v>11</v>
      </c>
      <c r="G10" s="47"/>
      <c r="H10" s="57">
        <f>COUNTIF(H$26:H$178,"Bowdon 6")</f>
        <v>11</v>
      </c>
      <c r="I10" s="57">
        <f>COUNTIF(F$26:F$101,"Bowdon 6")</f>
        <v>6</v>
      </c>
      <c r="J10" s="57">
        <f>COUNTIF(F$102:F$178,"Bowdon 6")</f>
        <v>5</v>
      </c>
      <c r="K10" s="57">
        <f>COUNTIF(H$26:H$101,"Bowdon 6")</f>
        <v>5</v>
      </c>
      <c r="L10" s="57">
        <f>COUNTIF(H$102:H$178,"Bowdon 6")</f>
        <v>6</v>
      </c>
    </row>
    <row r="11" spans="1:12" ht="15" customHeight="1" x14ac:dyDescent="0.3">
      <c r="A11" s="47">
        <f>COUNTIF(F$26:H$178,"Bowdon 7")</f>
        <v>22</v>
      </c>
      <c r="B11" s="3" t="s">
        <v>211</v>
      </c>
      <c r="C11" s="74">
        <v>3361204</v>
      </c>
      <c r="D11" s="57">
        <f>COUNTIF(F$26:I$178,"3361204")</f>
        <v>22</v>
      </c>
      <c r="E11" s="47"/>
      <c r="F11" s="57">
        <f>COUNTIF(F$26:F$178,"Bowdon 7")</f>
        <v>11</v>
      </c>
      <c r="G11" s="47"/>
      <c r="H11" s="57">
        <f>COUNTIF(H$26:H$178,"Bowdon 7")</f>
        <v>11</v>
      </c>
      <c r="I11" s="57">
        <f>COUNTIF(F$26:F$101,"Bowdon 7")</f>
        <v>5</v>
      </c>
      <c r="J11" s="57">
        <f>COUNTIF(F$102:F$178,"Bowdon 7")</f>
        <v>6</v>
      </c>
      <c r="K11" s="57">
        <f>COUNTIF(H$26:H$101,"Bowdon 7")</f>
        <v>6</v>
      </c>
      <c r="L11" s="57">
        <f>COUNTIF(H$102:H$178,"Bowdon 7")</f>
        <v>5</v>
      </c>
    </row>
    <row r="12" spans="1:12" ht="15" customHeight="1" x14ac:dyDescent="0.3">
      <c r="A12" s="47">
        <f>COUNTIF(F$26:H$178,"Brooklands Manchester University 5")</f>
        <v>22</v>
      </c>
      <c r="B12" s="3" t="s">
        <v>423</v>
      </c>
      <c r="C12" s="74">
        <v>3360403</v>
      </c>
      <c r="D12" s="57">
        <f>COUNTIF(F$26:I$178,"3360403")</f>
        <v>22</v>
      </c>
      <c r="E12" s="47"/>
      <c r="F12" s="57">
        <f>COUNTIF(F$26:F$178,"Brooklands Manchester University 5")</f>
        <v>11</v>
      </c>
      <c r="G12" s="47"/>
      <c r="H12" s="57">
        <f>COUNTIF(H$26:H$178,"Brooklands Manchester University 5")</f>
        <v>11</v>
      </c>
      <c r="I12" s="57">
        <f>COUNTIF(F$26:F$101,"Brooklands Manchester University 5")</f>
        <v>5</v>
      </c>
      <c r="J12" s="57">
        <f>COUNTIF(F$102:F$178,"Brooklands Manchester University 5")</f>
        <v>6</v>
      </c>
      <c r="K12" s="57">
        <f>COUNTIF(H$26:H$101,"Brooklands Manchester University 5")</f>
        <v>6</v>
      </c>
      <c r="L12" s="57">
        <f>COUNTIF(H$102:H$178,"Brooklands Manchester University 5")</f>
        <v>5</v>
      </c>
    </row>
    <row r="13" spans="1:12" ht="15" customHeight="1" x14ac:dyDescent="0.3">
      <c r="A13" s="47">
        <f>COUNTIF(F$26:H$178,"Buxton 2")</f>
        <v>22</v>
      </c>
      <c r="B13" s="3" t="s">
        <v>167</v>
      </c>
      <c r="C13" s="74">
        <v>3359804</v>
      </c>
      <c r="D13" s="57">
        <f>COUNTIF(F$26:I$178,"3359804")</f>
        <v>22</v>
      </c>
      <c r="E13" s="47"/>
      <c r="F13" s="57">
        <f>COUNTIF(F$26:F$178,"Buxton 2")</f>
        <v>11</v>
      </c>
      <c r="G13" s="47"/>
      <c r="H13" s="57">
        <f>COUNTIF(H$26:H$178,"Buxton 2")</f>
        <v>11</v>
      </c>
      <c r="I13" s="57">
        <f>COUNTIF(F$26:F$101,"Buxton 2")</f>
        <v>5</v>
      </c>
      <c r="J13" s="57">
        <f>COUNTIF(F$102:F$178,"Buxton 2")</f>
        <v>6</v>
      </c>
      <c r="K13" s="57">
        <f>COUNTIF(H$26:H$101,"Buxton 2")</f>
        <v>6</v>
      </c>
      <c r="L13" s="57">
        <f>COUNTIF(H$102:H$178,"Buxton 2")</f>
        <v>5</v>
      </c>
    </row>
    <row r="14" spans="1:12" ht="15" customHeight="1" x14ac:dyDescent="0.3">
      <c r="A14" s="47">
        <f>COUNTIF(F$26:H$178,"City of Manchester 3")</f>
        <v>22</v>
      </c>
      <c r="B14" s="17" t="s">
        <v>214</v>
      </c>
      <c r="C14" s="74">
        <v>3358805</v>
      </c>
      <c r="D14" s="57">
        <f>COUNTIF(F$26:I$178,"3358805")</f>
        <v>22</v>
      </c>
      <c r="F14" s="57">
        <f>COUNTIF(F$26:F$178,"City of Manchester 3")</f>
        <v>11</v>
      </c>
      <c r="G14" s="47"/>
      <c r="H14" s="57">
        <f>COUNTIF(H$26:H$178,"City of Manchester 3")</f>
        <v>11</v>
      </c>
      <c r="I14" s="57">
        <f>COUNTIF(F$26:F$101,"City of Manchester 3")</f>
        <v>5</v>
      </c>
      <c r="J14" s="57">
        <f>COUNTIF(F$102:F$178,"City of Manchester 3")</f>
        <v>6</v>
      </c>
      <c r="K14" s="57">
        <f>COUNTIF(H$26:H$101,"City of Manchester 3")</f>
        <v>6</v>
      </c>
      <c r="L14" s="57">
        <f>COUNTIF(H$102:H$178,"City of Manchester 3")</f>
        <v>5</v>
      </c>
    </row>
    <row r="15" spans="1:12" x14ac:dyDescent="0.3">
      <c r="A15" s="47">
        <f>COUNTIF(F$26:H$178,"Didsbury Northern 5")</f>
        <v>22</v>
      </c>
      <c r="B15" s="3" t="s">
        <v>169</v>
      </c>
      <c r="C15" s="74">
        <v>3356609</v>
      </c>
      <c r="D15" s="57">
        <f>COUNTIF(F$26:I$178,"3356609")</f>
        <v>22</v>
      </c>
      <c r="E15" s="47"/>
      <c r="F15" s="57">
        <f>COUNTIF(F$26:F$178,"Didsbury Northern 5")</f>
        <v>11</v>
      </c>
      <c r="G15" s="47"/>
      <c r="H15" s="57">
        <f>COUNTIF(H$26:H$178,"Didsbury Northern 5")</f>
        <v>11</v>
      </c>
      <c r="I15" s="57">
        <f>COUNTIF(F$26:F$101,"Didsbury Northern 5")</f>
        <v>6</v>
      </c>
      <c r="J15" s="57">
        <f>COUNTIF(F$102:F$178,"Didsbury Northern 5")</f>
        <v>5</v>
      </c>
      <c r="K15" s="57">
        <f>COUNTIF(H$26:H$101,"Didsbury Northern 5")</f>
        <v>5</v>
      </c>
      <c r="L15" s="57">
        <f>COUNTIF(H$102:H$178,"Didsbury Northern 5")</f>
        <v>6</v>
      </c>
    </row>
    <row r="16" spans="1:12" ht="15" customHeight="1" x14ac:dyDescent="0.3">
      <c r="A16" s="47">
        <f>COUNTIF(F$26:H$178,"Didsbury Northern 6")</f>
        <v>22</v>
      </c>
      <c r="B16" s="3" t="s">
        <v>170</v>
      </c>
      <c r="C16" s="74">
        <v>3356703</v>
      </c>
      <c r="D16" s="57">
        <f>COUNTIF(F$26:I$178,"3356703")</f>
        <v>22</v>
      </c>
      <c r="E16" s="47"/>
      <c r="F16" s="57">
        <f>COUNTIF(F$26:F$178,"Didsbury Northern 6")</f>
        <v>11</v>
      </c>
      <c r="G16" s="47"/>
      <c r="H16" s="57">
        <f>COUNTIF(H$26:H$178,"Didsbury Northern 6")</f>
        <v>11</v>
      </c>
      <c r="I16" s="57">
        <f>COUNTIF(F$26:F$101,"Didsbury Northern 6")</f>
        <v>6</v>
      </c>
      <c r="J16" s="57">
        <f>COUNTIF(F$102:F$178,"Didsbury Northern 6")</f>
        <v>5</v>
      </c>
      <c r="K16" s="57">
        <f>COUNTIF(H$26:H$101,"Didsbury Northern 6")</f>
        <v>5</v>
      </c>
      <c r="L16" s="57">
        <f>COUNTIF(H$102:H$178,"Didsbury Northern 6")</f>
        <v>6</v>
      </c>
    </row>
    <row r="17" spans="1:12" ht="15" customHeight="1" x14ac:dyDescent="0.3">
      <c r="A17" s="47">
        <f>COUNTIF(F$26:H$178,"Horwich 1")</f>
        <v>22</v>
      </c>
      <c r="B17" s="3" t="s">
        <v>171</v>
      </c>
      <c r="C17" s="74">
        <v>3355600</v>
      </c>
      <c r="D17" s="57">
        <f>COUNTIF(F$26:I$178,"3355600")</f>
        <v>22</v>
      </c>
      <c r="E17" s="47"/>
      <c r="F17" s="57">
        <f>COUNTIF(F$26:F$178,"Horwich 1")</f>
        <v>11</v>
      </c>
      <c r="G17" s="47"/>
      <c r="H17" s="57">
        <f>COUNTIF(H$26:H$178,"Horwich 1")</f>
        <v>11</v>
      </c>
      <c r="I17" s="57">
        <f>COUNTIF(F$26:F$101,"Horwich 1")</f>
        <v>6</v>
      </c>
      <c r="J17" s="57">
        <f>COUNTIF(F$102:F$178,"Horwich 1")</f>
        <v>5</v>
      </c>
      <c r="K17" s="57">
        <f>COUNTIF(H$26:H$101,"Horwich 1")</f>
        <v>5</v>
      </c>
      <c r="L17" s="57">
        <f>COUNTIF(H$102:H$178,"Horwich 1")</f>
        <v>6</v>
      </c>
    </row>
    <row r="18" spans="1:12" x14ac:dyDescent="0.3">
      <c r="A18" s="47">
        <f>COUNTIF(F$26:H$178,"Stockport Bramhall 2")</f>
        <v>22</v>
      </c>
      <c r="B18" s="3" t="s">
        <v>173</v>
      </c>
      <c r="C18" s="74">
        <v>3349308</v>
      </c>
      <c r="D18" s="57">
        <f>COUNTIF(F$26:I$178,"3349308")</f>
        <v>22</v>
      </c>
      <c r="E18" s="47"/>
      <c r="F18" s="57">
        <f>COUNTIF(F$26:F$178,"Stockport Bramhall 2")</f>
        <v>11</v>
      </c>
      <c r="G18" s="47"/>
      <c r="H18" s="57">
        <f>COUNTIF(H$26:H$178,"Stockport Bramhall 2")</f>
        <v>11</v>
      </c>
      <c r="I18" s="57">
        <f>COUNTIF(F$26:F$101,"Stockport Bramhall 2")</f>
        <v>6</v>
      </c>
      <c r="J18" s="57">
        <f>COUNTIF(F$102:F$178,"Stockport Bramhall 2")</f>
        <v>5</v>
      </c>
      <c r="K18" s="57">
        <f>COUNTIF(H$26:H$101,"Stockport Bramhall 2")</f>
        <v>5</v>
      </c>
      <c r="L18" s="57">
        <f>COUNTIF(H$102:H$178,"Stockport Bramhall 2")</f>
        <v>6</v>
      </c>
    </row>
    <row r="19" spans="1:12" x14ac:dyDescent="0.3">
      <c r="A19" s="47">
        <f>COUNTIF(F$26:H$178,"Timperley 4")</f>
        <v>22</v>
      </c>
      <c r="B19" s="3" t="s">
        <v>174</v>
      </c>
      <c r="C19" s="53">
        <v>3348101</v>
      </c>
      <c r="D19" s="57">
        <f>COUNTIF(F$26:I$178,"3348101")</f>
        <v>22</v>
      </c>
      <c r="E19" s="47"/>
      <c r="F19" s="57">
        <f>COUNTIF(F$26:F$178,"Timperley 4")</f>
        <v>11</v>
      </c>
      <c r="G19" s="47"/>
      <c r="H19" s="57">
        <f>COUNTIF(H$26:H$178,"Timperley 4")</f>
        <v>11</v>
      </c>
      <c r="I19" s="57">
        <f>COUNTIF(F$26:F$101,"Timperley 4")</f>
        <v>5</v>
      </c>
      <c r="J19" s="57">
        <f>COUNTIF(F$102:F$178,"Timperley 4")</f>
        <v>6</v>
      </c>
      <c r="K19" s="57">
        <f>COUNTIF(H$26:H$101,"Timperley 4")</f>
        <v>6</v>
      </c>
      <c r="L19" s="57">
        <f>COUNTIF(H$102:H$178,"Timperley 4")</f>
        <v>5</v>
      </c>
    </row>
    <row r="20" spans="1:12" x14ac:dyDescent="0.3">
      <c r="A20" s="47">
        <f>COUNTIF(F$26:H$178,"Timperley 5")</f>
        <v>22</v>
      </c>
      <c r="B20" s="3" t="s">
        <v>190</v>
      </c>
      <c r="C20" s="74">
        <v>3348205</v>
      </c>
      <c r="D20" s="57">
        <f>COUNTIF(F$26:I$178,"3348205")</f>
        <v>22</v>
      </c>
      <c r="E20" s="47"/>
      <c r="F20" s="57">
        <f>COUNTIF(F$26:F$178,"Timperley 5")</f>
        <v>11</v>
      </c>
      <c r="G20" s="47"/>
      <c r="H20" s="57">
        <f>COUNTIF(H$26:H$178,"Timperley 5")</f>
        <v>11</v>
      </c>
      <c r="I20" s="57">
        <f>COUNTIF(F$26:F$101,"Timperley 5")</f>
        <v>5</v>
      </c>
      <c r="J20" s="57">
        <f>COUNTIF(F$102:F$178,"Timperley 5")</f>
        <v>6</v>
      </c>
      <c r="K20" s="57">
        <f>COUNTIF(H$26:H$101,"Timperley 5")</f>
        <v>6</v>
      </c>
      <c r="L20" s="57">
        <f>COUNTIF(H$102:H$178,"Timperley 5")</f>
        <v>5</v>
      </c>
    </row>
    <row r="21" spans="1:12" x14ac:dyDescent="0.3">
      <c r="A21" s="47">
        <f>COUNTIF(F$26:H$178,"Timperley 6")</f>
        <v>22</v>
      </c>
      <c r="B21" s="3" t="s">
        <v>217</v>
      </c>
      <c r="C21" s="53">
        <v>3348309</v>
      </c>
      <c r="D21" s="57">
        <f>COUNTIF(F$26:I$178,"3348309")</f>
        <v>22</v>
      </c>
      <c r="E21" s="47"/>
      <c r="F21" s="57">
        <f>COUNTIF(F$26:F$178,"Timperley 6")</f>
        <v>11</v>
      </c>
      <c r="G21" s="57"/>
      <c r="H21" s="57">
        <f>COUNTIF(H$26:H$178,"Timperley 6")</f>
        <v>11</v>
      </c>
      <c r="I21" s="57">
        <f>COUNTIF(F$26:F$101,"Timperley 6")</f>
        <v>6</v>
      </c>
      <c r="J21" s="57">
        <f>COUNTIF(F$102:F$178,"Timperley 6")</f>
        <v>5</v>
      </c>
      <c r="K21" s="57">
        <f>COUNTIF(H$26:H$101,"Timperley 6")</f>
        <v>5</v>
      </c>
      <c r="L21" s="57">
        <f>COUNTIF(H$102:H$178,"Timperley 6")</f>
        <v>6</v>
      </c>
    </row>
    <row r="22" spans="1:12" x14ac:dyDescent="0.3">
      <c r="C22" s="59"/>
      <c r="D22" s="59"/>
      <c r="E22" s="59"/>
      <c r="F22" s="59"/>
      <c r="G22" s="59"/>
      <c r="H22" s="59"/>
      <c r="I22" s="59"/>
      <c r="J22" s="59"/>
    </row>
    <row r="23" spans="1:12" ht="21" x14ac:dyDescent="0.4">
      <c r="B23" s="22" t="s">
        <v>93</v>
      </c>
      <c r="C23" s="59"/>
      <c r="D23" s="59"/>
      <c r="E23" s="59"/>
      <c r="F23" s="59"/>
      <c r="G23" s="59"/>
      <c r="H23" s="59"/>
      <c r="I23" s="59"/>
      <c r="J23" s="59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6" spans="1:12" x14ac:dyDescent="0.3">
      <c r="B26" s="44">
        <v>45913</v>
      </c>
      <c r="C26" s="3" t="s">
        <v>416</v>
      </c>
      <c r="D26" s="3" t="s">
        <v>493</v>
      </c>
      <c r="E26" s="101"/>
      <c r="F26" s="3" t="s">
        <v>214</v>
      </c>
      <c r="G26" s="4">
        <v>3358805</v>
      </c>
      <c r="H26" s="4" t="s">
        <v>211</v>
      </c>
      <c r="I26" s="4">
        <v>3361204</v>
      </c>
    </row>
    <row r="27" spans="1:12" x14ac:dyDescent="0.3">
      <c r="B27" s="44">
        <v>45913</v>
      </c>
      <c r="C27" s="3" t="s">
        <v>416</v>
      </c>
      <c r="D27" s="3" t="s">
        <v>493</v>
      </c>
      <c r="E27" s="101"/>
      <c r="F27" s="3" t="s">
        <v>173</v>
      </c>
      <c r="G27" s="4">
        <v>3349308</v>
      </c>
      <c r="H27" s="4" t="s">
        <v>171</v>
      </c>
      <c r="I27" s="4">
        <v>3355600</v>
      </c>
      <c r="K27" s="4"/>
      <c r="L27" s="4"/>
    </row>
    <row r="28" spans="1:12" x14ac:dyDescent="0.3">
      <c r="B28" s="44">
        <v>45913</v>
      </c>
      <c r="C28" s="3" t="s">
        <v>416</v>
      </c>
      <c r="D28" s="3" t="s">
        <v>493</v>
      </c>
      <c r="E28" s="101"/>
      <c r="F28" s="3" t="s">
        <v>169</v>
      </c>
      <c r="G28" s="4">
        <v>3356609</v>
      </c>
      <c r="H28" s="4" t="s">
        <v>167</v>
      </c>
      <c r="I28" s="4">
        <v>3359804</v>
      </c>
      <c r="K28" s="3"/>
      <c r="L28" s="4"/>
    </row>
    <row r="29" spans="1:12" x14ac:dyDescent="0.3">
      <c r="B29" s="44">
        <v>45913</v>
      </c>
      <c r="C29" s="3" t="s">
        <v>416</v>
      </c>
      <c r="D29" s="3" t="s">
        <v>493</v>
      </c>
      <c r="E29" s="101"/>
      <c r="F29" s="3" t="s">
        <v>217</v>
      </c>
      <c r="G29" s="4">
        <v>3348309</v>
      </c>
      <c r="H29" s="4" t="s">
        <v>174</v>
      </c>
      <c r="I29" s="4">
        <v>3348101</v>
      </c>
    </row>
    <row r="30" spans="1:12" x14ac:dyDescent="0.3">
      <c r="B30" s="44">
        <v>45913</v>
      </c>
      <c r="C30" s="3" t="s">
        <v>416</v>
      </c>
      <c r="D30" s="3" t="s">
        <v>493</v>
      </c>
      <c r="E30" s="101"/>
      <c r="F30" s="3" t="s">
        <v>210</v>
      </c>
      <c r="G30" s="4">
        <v>3361100</v>
      </c>
      <c r="H30" s="4" t="s">
        <v>190</v>
      </c>
      <c r="I30" s="4">
        <v>3348205</v>
      </c>
    </row>
    <row r="31" spans="1:12" x14ac:dyDescent="0.3">
      <c r="B31" s="44">
        <v>45913</v>
      </c>
      <c r="C31" s="3" t="s">
        <v>416</v>
      </c>
      <c r="D31" s="3" t="s">
        <v>493</v>
      </c>
      <c r="E31" s="101"/>
      <c r="F31" s="3" t="s">
        <v>170</v>
      </c>
      <c r="G31" s="4">
        <v>3356703</v>
      </c>
      <c r="H31" s="4" t="s">
        <v>423</v>
      </c>
      <c r="I31" s="4">
        <v>3360403</v>
      </c>
    </row>
    <row r="32" spans="1:12" x14ac:dyDescent="0.3"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493</v>
      </c>
      <c r="E33" s="101"/>
      <c r="F33" s="3" t="s">
        <v>167</v>
      </c>
      <c r="G33" s="4">
        <v>3359804</v>
      </c>
      <c r="H33" s="4" t="s">
        <v>170</v>
      </c>
      <c r="I33" s="4">
        <v>3356703</v>
      </c>
    </row>
    <row r="34" spans="2:9" x14ac:dyDescent="0.3">
      <c r="B34" s="44">
        <v>45920</v>
      </c>
      <c r="C34" s="3" t="s">
        <v>416</v>
      </c>
      <c r="D34" s="3" t="s">
        <v>493</v>
      </c>
      <c r="E34" s="101"/>
      <c r="F34" s="3" t="s">
        <v>171</v>
      </c>
      <c r="G34" s="4">
        <v>3355600</v>
      </c>
      <c r="H34" s="4" t="s">
        <v>214</v>
      </c>
      <c r="I34" s="4">
        <v>3358805</v>
      </c>
    </row>
    <row r="35" spans="2:9" x14ac:dyDescent="0.3">
      <c r="B35" s="44">
        <v>45920</v>
      </c>
      <c r="C35" s="3" t="s">
        <v>416</v>
      </c>
      <c r="D35" s="3" t="s">
        <v>493</v>
      </c>
      <c r="E35" s="101"/>
      <c r="F35" s="3" t="s">
        <v>190</v>
      </c>
      <c r="G35" s="4">
        <v>3348205</v>
      </c>
      <c r="H35" s="4" t="s">
        <v>173</v>
      </c>
      <c r="I35" s="4">
        <v>3349308</v>
      </c>
    </row>
    <row r="36" spans="2:9" x14ac:dyDescent="0.3">
      <c r="B36" s="44">
        <v>45920</v>
      </c>
      <c r="C36" s="3" t="s">
        <v>416</v>
      </c>
      <c r="D36" s="3" t="s">
        <v>493</v>
      </c>
      <c r="E36" s="101"/>
      <c r="F36" s="3" t="s">
        <v>423</v>
      </c>
      <c r="G36" s="4">
        <v>3360403</v>
      </c>
      <c r="H36" s="4" t="s">
        <v>210</v>
      </c>
      <c r="I36" s="4">
        <v>3361100</v>
      </c>
    </row>
    <row r="37" spans="2:9" x14ac:dyDescent="0.3">
      <c r="B37" s="44">
        <v>45920</v>
      </c>
      <c r="C37" s="3" t="s">
        <v>416</v>
      </c>
      <c r="D37" s="3" t="s">
        <v>493</v>
      </c>
      <c r="E37" s="101"/>
      <c r="F37" s="3" t="s">
        <v>174</v>
      </c>
      <c r="G37" s="4">
        <v>3348101</v>
      </c>
      <c r="H37" s="4" t="s">
        <v>169</v>
      </c>
      <c r="I37" s="4">
        <v>3356609</v>
      </c>
    </row>
    <row r="38" spans="2:9" x14ac:dyDescent="0.3">
      <c r="B38" s="44">
        <v>45920</v>
      </c>
      <c r="C38" s="3" t="s">
        <v>416</v>
      </c>
      <c r="D38" s="3" t="s">
        <v>493</v>
      </c>
      <c r="E38" s="101"/>
      <c r="F38" s="3" t="s">
        <v>211</v>
      </c>
      <c r="G38" s="4">
        <v>3361204</v>
      </c>
      <c r="H38" s="4" t="s">
        <v>217</v>
      </c>
      <c r="I38" s="4">
        <v>3348309</v>
      </c>
    </row>
    <row r="39" spans="2:9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493</v>
      </c>
      <c r="E40" s="101"/>
      <c r="F40" s="3" t="s">
        <v>171</v>
      </c>
      <c r="G40" s="4">
        <v>3355600</v>
      </c>
      <c r="H40" s="4" t="s">
        <v>190</v>
      </c>
      <c r="I40" s="4">
        <v>3348205</v>
      </c>
    </row>
    <row r="41" spans="2:9" x14ac:dyDescent="0.3">
      <c r="B41" s="44">
        <v>45927</v>
      </c>
      <c r="C41" s="3" t="s">
        <v>416</v>
      </c>
      <c r="D41" s="3" t="s">
        <v>493</v>
      </c>
      <c r="E41" s="101"/>
      <c r="F41" s="3" t="s">
        <v>173</v>
      </c>
      <c r="G41" s="4">
        <v>3349308</v>
      </c>
      <c r="H41" s="4" t="s">
        <v>423</v>
      </c>
      <c r="I41" s="4">
        <v>3360403</v>
      </c>
    </row>
    <row r="42" spans="2:9" x14ac:dyDescent="0.3">
      <c r="B42" s="44">
        <v>45927</v>
      </c>
      <c r="C42" s="3" t="s">
        <v>416</v>
      </c>
      <c r="D42" s="3" t="s">
        <v>493</v>
      </c>
      <c r="E42" s="101"/>
      <c r="F42" s="3" t="s">
        <v>169</v>
      </c>
      <c r="G42" s="4">
        <v>3356609</v>
      </c>
      <c r="H42" s="4" t="s">
        <v>211</v>
      </c>
      <c r="I42" s="4">
        <v>3361204</v>
      </c>
    </row>
    <row r="43" spans="2:9" x14ac:dyDescent="0.3">
      <c r="B43" s="44">
        <v>45927</v>
      </c>
      <c r="C43" s="3" t="s">
        <v>416</v>
      </c>
      <c r="D43" s="3" t="s">
        <v>493</v>
      </c>
      <c r="E43" s="101"/>
      <c r="F43" s="3" t="s">
        <v>217</v>
      </c>
      <c r="G43" s="4">
        <v>3348309</v>
      </c>
      <c r="H43" s="4" t="s">
        <v>214</v>
      </c>
      <c r="I43" s="4">
        <v>3358805</v>
      </c>
    </row>
    <row r="44" spans="2:9" x14ac:dyDescent="0.3">
      <c r="B44" s="44">
        <v>45927</v>
      </c>
      <c r="C44" s="3" t="s">
        <v>416</v>
      </c>
      <c r="D44" s="3" t="s">
        <v>493</v>
      </c>
      <c r="E44" s="101"/>
      <c r="F44" s="3" t="s">
        <v>210</v>
      </c>
      <c r="G44" s="4">
        <v>3361100</v>
      </c>
      <c r="H44" s="4" t="s">
        <v>167</v>
      </c>
      <c r="I44" s="4">
        <v>3359804</v>
      </c>
    </row>
    <row r="45" spans="2:9" x14ac:dyDescent="0.3">
      <c r="B45" s="44">
        <v>45927</v>
      </c>
      <c r="C45" s="3" t="s">
        <v>416</v>
      </c>
      <c r="D45" s="3" t="s">
        <v>493</v>
      </c>
      <c r="E45" s="101"/>
      <c r="F45" s="3" t="s">
        <v>170</v>
      </c>
      <c r="G45" s="4">
        <v>3356703</v>
      </c>
      <c r="H45" s="4" t="s">
        <v>174</v>
      </c>
      <c r="I45" s="4">
        <v>3348101</v>
      </c>
    </row>
    <row r="46" spans="2:9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493</v>
      </c>
      <c r="E47" s="101"/>
      <c r="F47" s="3" t="s">
        <v>167</v>
      </c>
      <c r="G47" s="4">
        <v>3359804</v>
      </c>
      <c r="H47" s="4" t="s">
        <v>173</v>
      </c>
      <c r="I47" s="4">
        <v>3349308</v>
      </c>
    </row>
    <row r="48" spans="2:9" x14ac:dyDescent="0.3">
      <c r="B48" s="44">
        <v>45934</v>
      </c>
      <c r="C48" s="3" t="s">
        <v>416</v>
      </c>
      <c r="D48" s="3" t="s">
        <v>493</v>
      </c>
      <c r="E48" s="101"/>
      <c r="F48" s="3" t="s">
        <v>214</v>
      </c>
      <c r="G48" s="4">
        <v>3358805</v>
      </c>
      <c r="H48" s="4" t="s">
        <v>169</v>
      </c>
      <c r="I48" s="4">
        <v>3356609</v>
      </c>
    </row>
    <row r="49" spans="2:9" x14ac:dyDescent="0.3">
      <c r="B49" s="44">
        <v>45934</v>
      </c>
      <c r="C49" s="3" t="s">
        <v>416</v>
      </c>
      <c r="D49" s="3" t="s">
        <v>493</v>
      </c>
      <c r="E49" s="101"/>
      <c r="F49" s="3" t="s">
        <v>423</v>
      </c>
      <c r="G49" s="4">
        <v>3360403</v>
      </c>
      <c r="H49" s="4" t="s">
        <v>190</v>
      </c>
      <c r="I49" s="4">
        <v>3348205</v>
      </c>
    </row>
    <row r="50" spans="2:9" x14ac:dyDescent="0.3">
      <c r="B50" s="44">
        <v>45934</v>
      </c>
      <c r="C50" s="3" t="s">
        <v>416</v>
      </c>
      <c r="D50" s="3" t="s">
        <v>493</v>
      </c>
      <c r="E50" s="101"/>
      <c r="F50" s="3" t="s">
        <v>174</v>
      </c>
      <c r="G50" s="4">
        <v>3348101</v>
      </c>
      <c r="H50" s="4" t="s">
        <v>210</v>
      </c>
      <c r="I50" s="4">
        <v>3361100</v>
      </c>
    </row>
    <row r="51" spans="2:9" x14ac:dyDescent="0.3">
      <c r="B51" s="44">
        <v>45934</v>
      </c>
      <c r="C51" s="3" t="s">
        <v>416</v>
      </c>
      <c r="D51" s="3" t="s">
        <v>493</v>
      </c>
      <c r="E51" s="101"/>
      <c r="F51" s="3" t="s">
        <v>217</v>
      </c>
      <c r="G51" s="4">
        <v>3348309</v>
      </c>
      <c r="H51" s="4" t="s">
        <v>171</v>
      </c>
      <c r="I51" s="4">
        <v>3355600</v>
      </c>
    </row>
    <row r="52" spans="2:9" x14ac:dyDescent="0.3">
      <c r="B52" s="44">
        <v>45934</v>
      </c>
      <c r="C52" s="3" t="s">
        <v>416</v>
      </c>
      <c r="D52" s="3" t="s">
        <v>493</v>
      </c>
      <c r="E52" s="101"/>
      <c r="F52" s="3" t="s">
        <v>211</v>
      </c>
      <c r="G52" s="4">
        <v>3361204</v>
      </c>
      <c r="H52" s="4" t="s">
        <v>170</v>
      </c>
      <c r="I52" s="4">
        <v>3356703</v>
      </c>
    </row>
    <row r="53" spans="2:9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493</v>
      </c>
      <c r="E54" s="101"/>
      <c r="F54" s="3" t="s">
        <v>171</v>
      </c>
      <c r="G54" s="4">
        <v>3355600</v>
      </c>
      <c r="H54" s="4" t="s">
        <v>423</v>
      </c>
      <c r="I54" s="4">
        <v>3360403</v>
      </c>
    </row>
    <row r="55" spans="2:9" x14ac:dyDescent="0.3">
      <c r="B55" s="44">
        <v>45941</v>
      </c>
      <c r="C55" s="3" t="s">
        <v>416</v>
      </c>
      <c r="D55" s="3" t="s">
        <v>493</v>
      </c>
      <c r="E55" s="101"/>
      <c r="F55" s="3" t="s">
        <v>190</v>
      </c>
      <c r="G55" s="4">
        <v>3348205</v>
      </c>
      <c r="H55" s="4" t="s">
        <v>167</v>
      </c>
      <c r="I55" s="4">
        <v>3359804</v>
      </c>
    </row>
    <row r="56" spans="2:9" x14ac:dyDescent="0.3">
      <c r="B56" s="44">
        <v>45941</v>
      </c>
      <c r="C56" s="3" t="s">
        <v>416</v>
      </c>
      <c r="D56" s="3" t="s">
        <v>493</v>
      </c>
      <c r="E56" s="101"/>
      <c r="F56" s="3" t="s">
        <v>173</v>
      </c>
      <c r="G56" s="4">
        <v>3349308</v>
      </c>
      <c r="H56" s="4" t="s">
        <v>174</v>
      </c>
      <c r="I56" s="4">
        <v>3348101</v>
      </c>
    </row>
    <row r="57" spans="2:9" x14ac:dyDescent="0.3">
      <c r="B57" s="44">
        <v>45941</v>
      </c>
      <c r="C57" s="3" t="s">
        <v>416</v>
      </c>
      <c r="D57" s="3" t="s">
        <v>493</v>
      </c>
      <c r="E57" s="101"/>
      <c r="F57" s="3" t="s">
        <v>169</v>
      </c>
      <c r="G57" s="4">
        <v>3356609</v>
      </c>
      <c r="H57" s="4" t="s">
        <v>217</v>
      </c>
      <c r="I57" s="4">
        <v>3348309</v>
      </c>
    </row>
    <row r="58" spans="2:9" x14ac:dyDescent="0.3">
      <c r="B58" s="44">
        <v>45941</v>
      </c>
      <c r="C58" s="3" t="s">
        <v>416</v>
      </c>
      <c r="D58" s="3" t="s">
        <v>493</v>
      </c>
      <c r="E58" s="101"/>
      <c r="F58" s="3" t="s">
        <v>210</v>
      </c>
      <c r="G58" s="4">
        <v>3361100</v>
      </c>
      <c r="H58" s="4" t="s">
        <v>211</v>
      </c>
      <c r="I58" s="4">
        <v>3361204</v>
      </c>
    </row>
    <row r="59" spans="2:9" x14ac:dyDescent="0.3">
      <c r="B59" s="44">
        <v>45941</v>
      </c>
      <c r="C59" s="3" t="s">
        <v>416</v>
      </c>
      <c r="D59" s="3" t="s">
        <v>493</v>
      </c>
      <c r="E59" s="101"/>
      <c r="F59" s="3" t="s">
        <v>170</v>
      </c>
      <c r="G59" s="4">
        <v>3356703</v>
      </c>
      <c r="H59" s="4" t="s">
        <v>214</v>
      </c>
      <c r="I59" s="4">
        <v>3358805</v>
      </c>
    </row>
    <row r="60" spans="2:9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493</v>
      </c>
      <c r="E61" s="101"/>
      <c r="F61" s="3" t="s">
        <v>167</v>
      </c>
      <c r="G61" s="4">
        <v>3359804</v>
      </c>
      <c r="H61" s="4" t="s">
        <v>423</v>
      </c>
      <c r="I61" s="4">
        <v>3360403</v>
      </c>
    </row>
    <row r="62" spans="2:9" x14ac:dyDescent="0.3">
      <c r="B62" s="44">
        <v>45948</v>
      </c>
      <c r="C62" s="3" t="s">
        <v>416</v>
      </c>
      <c r="D62" s="3" t="s">
        <v>493</v>
      </c>
      <c r="E62" s="101"/>
      <c r="F62" s="3" t="s">
        <v>214</v>
      </c>
      <c r="G62" s="4">
        <v>3358805</v>
      </c>
      <c r="H62" s="4" t="s">
        <v>210</v>
      </c>
      <c r="I62" s="4">
        <v>3361100</v>
      </c>
    </row>
    <row r="63" spans="2:9" x14ac:dyDescent="0.3">
      <c r="B63" s="44">
        <v>45948</v>
      </c>
      <c r="C63" s="3" t="s">
        <v>416</v>
      </c>
      <c r="D63" s="3" t="s">
        <v>493</v>
      </c>
      <c r="E63" s="101"/>
      <c r="F63" s="3" t="s">
        <v>169</v>
      </c>
      <c r="G63" s="4">
        <v>3356609</v>
      </c>
      <c r="H63" s="4" t="s">
        <v>171</v>
      </c>
      <c r="I63" s="4">
        <v>3355600</v>
      </c>
    </row>
    <row r="64" spans="2:9" x14ac:dyDescent="0.3">
      <c r="B64" s="44">
        <v>45948</v>
      </c>
      <c r="C64" s="3" t="s">
        <v>416</v>
      </c>
      <c r="D64" s="3" t="s">
        <v>493</v>
      </c>
      <c r="E64" s="101"/>
      <c r="F64" s="3" t="s">
        <v>174</v>
      </c>
      <c r="G64" s="4">
        <v>3348101</v>
      </c>
      <c r="H64" s="4" t="s">
        <v>190</v>
      </c>
      <c r="I64" s="4">
        <v>3348205</v>
      </c>
    </row>
    <row r="65" spans="2:9" x14ac:dyDescent="0.3">
      <c r="B65" s="44">
        <v>45948</v>
      </c>
      <c r="C65" s="3" t="s">
        <v>416</v>
      </c>
      <c r="D65" s="3" t="s">
        <v>493</v>
      </c>
      <c r="E65" s="101"/>
      <c r="F65" s="3" t="s">
        <v>217</v>
      </c>
      <c r="G65" s="4">
        <v>3348309</v>
      </c>
      <c r="H65" s="4" t="s">
        <v>170</v>
      </c>
      <c r="I65" s="4">
        <v>3356703</v>
      </c>
    </row>
    <row r="66" spans="2:9" x14ac:dyDescent="0.3">
      <c r="B66" s="44">
        <v>45948</v>
      </c>
      <c r="C66" s="3" t="s">
        <v>416</v>
      </c>
      <c r="D66" s="3" t="s">
        <v>493</v>
      </c>
      <c r="E66" s="101"/>
      <c r="F66" s="3" t="s">
        <v>211</v>
      </c>
      <c r="G66" s="4">
        <v>3361204</v>
      </c>
      <c r="H66" s="4" t="s">
        <v>173</v>
      </c>
      <c r="I66" s="4">
        <v>3349308</v>
      </c>
    </row>
    <row r="67" spans="2:9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493</v>
      </c>
      <c r="E68" s="101"/>
      <c r="F68" s="3" t="s">
        <v>171</v>
      </c>
      <c r="G68" s="4">
        <v>3355600</v>
      </c>
      <c r="H68" s="4" t="s">
        <v>167</v>
      </c>
      <c r="I68" s="4">
        <v>3359804</v>
      </c>
    </row>
    <row r="69" spans="2:9" x14ac:dyDescent="0.3">
      <c r="B69" s="44">
        <v>45962</v>
      </c>
      <c r="C69" s="3" t="s">
        <v>416</v>
      </c>
      <c r="D69" s="3" t="s">
        <v>493</v>
      </c>
      <c r="E69" s="101"/>
      <c r="F69" s="3" t="s">
        <v>190</v>
      </c>
      <c r="G69" s="4">
        <v>3348205</v>
      </c>
      <c r="H69" s="4" t="s">
        <v>211</v>
      </c>
      <c r="I69" s="4">
        <v>3361204</v>
      </c>
    </row>
    <row r="70" spans="2:9" x14ac:dyDescent="0.3">
      <c r="B70" s="44">
        <v>45962</v>
      </c>
      <c r="C70" s="3" t="s">
        <v>416</v>
      </c>
      <c r="D70" s="3" t="s">
        <v>493</v>
      </c>
      <c r="E70" s="101"/>
      <c r="F70" s="3" t="s">
        <v>423</v>
      </c>
      <c r="G70" s="4">
        <v>3360403</v>
      </c>
      <c r="H70" s="4" t="s">
        <v>174</v>
      </c>
      <c r="I70" s="4">
        <v>3348101</v>
      </c>
    </row>
    <row r="71" spans="2:9" x14ac:dyDescent="0.3">
      <c r="B71" s="44">
        <v>45962</v>
      </c>
      <c r="C71" s="3" t="s">
        <v>416</v>
      </c>
      <c r="D71" s="3" t="s">
        <v>493</v>
      </c>
      <c r="E71" s="101"/>
      <c r="F71" s="3" t="s">
        <v>173</v>
      </c>
      <c r="G71" s="4">
        <v>3349308</v>
      </c>
      <c r="H71" s="4" t="s">
        <v>214</v>
      </c>
      <c r="I71" s="4">
        <v>3358805</v>
      </c>
    </row>
    <row r="72" spans="2:9" x14ac:dyDescent="0.3">
      <c r="B72" s="44">
        <v>45962</v>
      </c>
      <c r="C72" s="3" t="s">
        <v>416</v>
      </c>
      <c r="D72" s="3" t="s">
        <v>493</v>
      </c>
      <c r="E72" s="101"/>
      <c r="F72" s="3" t="s">
        <v>210</v>
      </c>
      <c r="G72" s="4">
        <v>3361100</v>
      </c>
      <c r="H72" s="4" t="s">
        <v>217</v>
      </c>
      <c r="I72" s="4">
        <v>3348309</v>
      </c>
    </row>
    <row r="73" spans="2:9" x14ac:dyDescent="0.3">
      <c r="B73" s="44">
        <v>45962</v>
      </c>
      <c r="C73" s="3" t="s">
        <v>416</v>
      </c>
      <c r="D73" s="3" t="s">
        <v>493</v>
      </c>
      <c r="E73" s="101"/>
      <c r="F73" s="3" t="s">
        <v>170</v>
      </c>
      <c r="G73" s="4">
        <v>3356703</v>
      </c>
      <c r="H73" s="4" t="s">
        <v>169</v>
      </c>
      <c r="I73" s="4">
        <v>3356609</v>
      </c>
    </row>
    <row r="74" spans="2:9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493</v>
      </c>
      <c r="E75" s="101"/>
      <c r="F75" s="3" t="s">
        <v>214</v>
      </c>
      <c r="G75" s="4">
        <v>3358805</v>
      </c>
      <c r="H75" s="4" t="s">
        <v>190</v>
      </c>
      <c r="I75" s="4">
        <v>3348205</v>
      </c>
    </row>
    <row r="76" spans="2:9" x14ac:dyDescent="0.3">
      <c r="B76" s="44">
        <v>45969</v>
      </c>
      <c r="C76" s="3" t="s">
        <v>416</v>
      </c>
      <c r="D76" s="3" t="s">
        <v>493</v>
      </c>
      <c r="E76" s="101"/>
      <c r="F76" s="3" t="s">
        <v>169</v>
      </c>
      <c r="G76" s="4">
        <v>3356609</v>
      </c>
      <c r="H76" s="4" t="s">
        <v>210</v>
      </c>
      <c r="I76" s="4">
        <v>3361100</v>
      </c>
    </row>
    <row r="77" spans="2:9" x14ac:dyDescent="0.3">
      <c r="B77" s="44">
        <v>45969</v>
      </c>
      <c r="C77" s="3" t="s">
        <v>416</v>
      </c>
      <c r="D77" s="3" t="s">
        <v>493</v>
      </c>
      <c r="E77" s="101"/>
      <c r="F77" s="3" t="s">
        <v>174</v>
      </c>
      <c r="G77" s="4">
        <v>3348101</v>
      </c>
      <c r="H77" s="4" t="s">
        <v>167</v>
      </c>
      <c r="I77" s="4">
        <v>3359804</v>
      </c>
    </row>
    <row r="78" spans="2:9" x14ac:dyDescent="0.3">
      <c r="B78" s="44">
        <v>45969</v>
      </c>
      <c r="C78" s="3" t="s">
        <v>416</v>
      </c>
      <c r="D78" s="3" t="s">
        <v>493</v>
      </c>
      <c r="E78" s="101"/>
      <c r="F78" s="3" t="s">
        <v>217</v>
      </c>
      <c r="G78" s="4">
        <v>3348309</v>
      </c>
      <c r="H78" s="4" t="s">
        <v>173</v>
      </c>
      <c r="I78" s="4">
        <v>3349308</v>
      </c>
    </row>
    <row r="79" spans="2:9" x14ac:dyDescent="0.3">
      <c r="B79" s="44">
        <v>45969</v>
      </c>
      <c r="C79" s="3" t="s">
        <v>416</v>
      </c>
      <c r="D79" s="3" t="s">
        <v>493</v>
      </c>
      <c r="E79" s="101"/>
      <c r="F79" s="3" t="s">
        <v>211</v>
      </c>
      <c r="G79" s="4">
        <v>3361204</v>
      </c>
      <c r="H79" s="4" t="s">
        <v>423</v>
      </c>
      <c r="I79" s="4">
        <v>3360403</v>
      </c>
    </row>
    <row r="80" spans="2:9" x14ac:dyDescent="0.3">
      <c r="B80" s="44">
        <v>45969</v>
      </c>
      <c r="C80" s="3" t="s">
        <v>416</v>
      </c>
      <c r="D80" s="3" t="s">
        <v>493</v>
      </c>
      <c r="E80" s="101"/>
      <c r="F80" s="3" t="s">
        <v>170</v>
      </c>
      <c r="G80" s="4">
        <v>3356703</v>
      </c>
      <c r="H80" s="4" t="s">
        <v>171</v>
      </c>
      <c r="I80" s="4">
        <v>3355600</v>
      </c>
    </row>
    <row r="81" spans="2:9" x14ac:dyDescent="0.3">
      <c r="B81" s="4"/>
      <c r="E81" s="101"/>
      <c r="G81" s="4"/>
      <c r="H81" s="4"/>
      <c r="I81" s="4"/>
    </row>
    <row r="82" spans="2:9" x14ac:dyDescent="0.3">
      <c r="B82" s="44">
        <v>45976</v>
      </c>
      <c r="C82" s="3" t="s">
        <v>416</v>
      </c>
      <c r="D82" s="3" t="s">
        <v>493</v>
      </c>
      <c r="E82" s="101"/>
      <c r="F82" s="3" t="s">
        <v>167</v>
      </c>
      <c r="G82" s="4">
        <v>3359804</v>
      </c>
      <c r="H82" s="4" t="s">
        <v>211</v>
      </c>
      <c r="I82" s="4">
        <v>3361204</v>
      </c>
    </row>
    <row r="83" spans="2:9" x14ac:dyDescent="0.3">
      <c r="B83" s="44">
        <v>45976</v>
      </c>
      <c r="C83" s="3" t="s">
        <v>416</v>
      </c>
      <c r="D83" s="3" t="s">
        <v>493</v>
      </c>
      <c r="E83" s="101"/>
      <c r="F83" s="3" t="s">
        <v>171</v>
      </c>
      <c r="G83" s="4">
        <v>3355600</v>
      </c>
      <c r="H83" s="4" t="s">
        <v>174</v>
      </c>
      <c r="I83" s="4">
        <v>3348101</v>
      </c>
    </row>
    <row r="84" spans="2:9" x14ac:dyDescent="0.3">
      <c r="B84" s="44">
        <v>45976</v>
      </c>
      <c r="C84" s="3" t="s">
        <v>416</v>
      </c>
      <c r="D84" s="3" t="s">
        <v>493</v>
      </c>
      <c r="E84" s="101"/>
      <c r="F84" s="3" t="s">
        <v>190</v>
      </c>
      <c r="G84" s="4">
        <v>3348205</v>
      </c>
      <c r="H84" s="4" t="s">
        <v>217</v>
      </c>
      <c r="I84" s="4">
        <v>3348309</v>
      </c>
    </row>
    <row r="85" spans="2:9" x14ac:dyDescent="0.3">
      <c r="B85" s="44">
        <v>45976</v>
      </c>
      <c r="C85" s="3" t="s">
        <v>416</v>
      </c>
      <c r="D85" s="3" t="s">
        <v>493</v>
      </c>
      <c r="E85" s="101"/>
      <c r="F85" s="3" t="s">
        <v>423</v>
      </c>
      <c r="G85" s="4">
        <v>3360403</v>
      </c>
      <c r="H85" s="4" t="s">
        <v>214</v>
      </c>
      <c r="I85" s="4">
        <v>3358805</v>
      </c>
    </row>
    <row r="86" spans="2:9" x14ac:dyDescent="0.3">
      <c r="B86" s="44">
        <v>45976</v>
      </c>
      <c r="C86" s="3" t="s">
        <v>416</v>
      </c>
      <c r="D86" s="3" t="s">
        <v>493</v>
      </c>
      <c r="E86" s="101"/>
      <c r="F86" s="3" t="s">
        <v>173</v>
      </c>
      <c r="G86" s="4">
        <v>3349308</v>
      </c>
      <c r="H86" s="4" t="s">
        <v>169</v>
      </c>
      <c r="I86" s="4">
        <v>3356609</v>
      </c>
    </row>
    <row r="87" spans="2:9" x14ac:dyDescent="0.3">
      <c r="B87" s="44">
        <v>45976</v>
      </c>
      <c r="C87" s="3" t="s">
        <v>416</v>
      </c>
      <c r="D87" s="3" t="s">
        <v>493</v>
      </c>
      <c r="E87" s="101"/>
      <c r="F87" s="3" t="s">
        <v>210</v>
      </c>
      <c r="G87" s="4">
        <v>3361100</v>
      </c>
      <c r="H87" s="4" t="s">
        <v>170</v>
      </c>
      <c r="I87" s="4">
        <v>3356703</v>
      </c>
    </row>
    <row r="88" spans="2:9" x14ac:dyDescent="0.3">
      <c r="B88" s="4"/>
      <c r="E88" s="101"/>
      <c r="G88" s="4"/>
      <c r="H88" s="4"/>
      <c r="I88" s="4"/>
    </row>
    <row r="89" spans="2:9" x14ac:dyDescent="0.3">
      <c r="B89" s="44">
        <v>45983</v>
      </c>
      <c r="C89" s="3" t="s">
        <v>416</v>
      </c>
      <c r="D89" s="3" t="s">
        <v>493</v>
      </c>
      <c r="E89" s="101"/>
      <c r="F89" s="3" t="s">
        <v>170</v>
      </c>
      <c r="G89" s="4">
        <v>3356703</v>
      </c>
      <c r="H89" s="4" t="s">
        <v>173</v>
      </c>
      <c r="I89" s="4">
        <v>3349308</v>
      </c>
    </row>
    <row r="90" spans="2:9" x14ac:dyDescent="0.3">
      <c r="B90" s="44">
        <v>45983</v>
      </c>
      <c r="C90" s="3" t="s">
        <v>416</v>
      </c>
      <c r="D90" s="3" t="s">
        <v>493</v>
      </c>
      <c r="E90" s="101"/>
      <c r="F90" s="3" t="s">
        <v>214</v>
      </c>
      <c r="G90" s="4">
        <v>3358805</v>
      </c>
      <c r="H90" s="4" t="s">
        <v>167</v>
      </c>
      <c r="I90" s="4">
        <v>3359804</v>
      </c>
    </row>
    <row r="91" spans="2:9" x14ac:dyDescent="0.3">
      <c r="B91" s="44">
        <v>45983</v>
      </c>
      <c r="C91" s="3" t="s">
        <v>416</v>
      </c>
      <c r="D91" s="3" t="s">
        <v>493</v>
      </c>
      <c r="E91" s="101"/>
      <c r="F91" s="3" t="s">
        <v>169</v>
      </c>
      <c r="G91" s="4">
        <v>3356609</v>
      </c>
      <c r="H91" s="4" t="s">
        <v>190</v>
      </c>
      <c r="I91" s="4">
        <v>3348205</v>
      </c>
    </row>
    <row r="92" spans="2:9" x14ac:dyDescent="0.3">
      <c r="B92" s="44">
        <v>45983</v>
      </c>
      <c r="C92" s="3" t="s">
        <v>416</v>
      </c>
      <c r="D92" s="3" t="s">
        <v>493</v>
      </c>
      <c r="E92" s="101"/>
      <c r="F92" s="3" t="s">
        <v>217</v>
      </c>
      <c r="G92" s="4">
        <v>3348309</v>
      </c>
      <c r="H92" s="4" t="s">
        <v>423</v>
      </c>
      <c r="I92" s="4">
        <v>3360403</v>
      </c>
    </row>
    <row r="93" spans="2:9" x14ac:dyDescent="0.3">
      <c r="B93" s="44">
        <v>45983</v>
      </c>
      <c r="C93" s="3" t="s">
        <v>416</v>
      </c>
      <c r="D93" s="3" t="s">
        <v>493</v>
      </c>
      <c r="E93" s="101"/>
      <c r="F93" s="3" t="s">
        <v>211</v>
      </c>
      <c r="G93" s="4">
        <v>3361204</v>
      </c>
      <c r="H93" s="4" t="s">
        <v>174</v>
      </c>
      <c r="I93" s="4">
        <v>3348101</v>
      </c>
    </row>
    <row r="94" spans="2:9" x14ac:dyDescent="0.3">
      <c r="B94" s="44">
        <v>45983</v>
      </c>
      <c r="C94" s="3" t="s">
        <v>416</v>
      </c>
      <c r="D94" s="3" t="s">
        <v>493</v>
      </c>
      <c r="E94" s="101"/>
      <c r="F94" s="3" t="s">
        <v>210</v>
      </c>
      <c r="G94" s="4">
        <v>3361100</v>
      </c>
      <c r="H94" s="4" t="s">
        <v>171</v>
      </c>
      <c r="I94" s="4">
        <v>3355600</v>
      </c>
    </row>
    <row r="95" spans="2:9" x14ac:dyDescent="0.3">
      <c r="B95" s="4"/>
      <c r="E95" s="101"/>
      <c r="G95" s="4"/>
      <c r="H95" s="4"/>
      <c r="I95" s="4"/>
    </row>
    <row r="96" spans="2:9" x14ac:dyDescent="0.3">
      <c r="B96" s="44">
        <v>45990</v>
      </c>
      <c r="C96" s="3" t="s">
        <v>416</v>
      </c>
      <c r="D96" s="3" t="s">
        <v>493</v>
      </c>
      <c r="E96" s="101"/>
      <c r="F96" s="3" t="s">
        <v>174</v>
      </c>
      <c r="G96" s="4">
        <v>3348101</v>
      </c>
      <c r="H96" s="4" t="s">
        <v>214</v>
      </c>
      <c r="I96" s="4">
        <v>3358805</v>
      </c>
    </row>
    <row r="97" spans="2:9" x14ac:dyDescent="0.3">
      <c r="B97" s="44">
        <v>45990</v>
      </c>
      <c r="C97" s="3" t="s">
        <v>416</v>
      </c>
      <c r="D97" s="3" t="s">
        <v>493</v>
      </c>
      <c r="E97" s="101"/>
      <c r="F97" s="3" t="s">
        <v>167</v>
      </c>
      <c r="G97" s="4">
        <v>3359804</v>
      </c>
      <c r="H97" s="4" t="s">
        <v>217</v>
      </c>
      <c r="I97" s="4">
        <v>3348309</v>
      </c>
    </row>
    <row r="98" spans="2:9" x14ac:dyDescent="0.3">
      <c r="B98" s="44">
        <v>45990</v>
      </c>
      <c r="C98" s="3" t="s">
        <v>416</v>
      </c>
      <c r="D98" s="3" t="s">
        <v>493</v>
      </c>
      <c r="E98" s="101"/>
      <c r="F98" s="3" t="s">
        <v>171</v>
      </c>
      <c r="G98" s="4">
        <v>3355600</v>
      </c>
      <c r="H98" s="4" t="s">
        <v>211</v>
      </c>
      <c r="I98" s="4">
        <v>3361204</v>
      </c>
    </row>
    <row r="99" spans="2:9" x14ac:dyDescent="0.3">
      <c r="B99" s="44">
        <v>45990</v>
      </c>
      <c r="C99" s="3" t="s">
        <v>416</v>
      </c>
      <c r="D99" s="3" t="s">
        <v>493</v>
      </c>
      <c r="E99" s="101"/>
      <c r="F99" s="3" t="s">
        <v>190</v>
      </c>
      <c r="G99" s="4">
        <v>3348205</v>
      </c>
      <c r="H99" s="4" t="s">
        <v>170</v>
      </c>
      <c r="I99" s="4">
        <v>3356703</v>
      </c>
    </row>
    <row r="100" spans="2:9" x14ac:dyDescent="0.3">
      <c r="B100" s="44">
        <v>45990</v>
      </c>
      <c r="C100" s="3" t="s">
        <v>416</v>
      </c>
      <c r="D100" s="3" t="s">
        <v>493</v>
      </c>
      <c r="E100" s="101"/>
      <c r="F100" s="3" t="s">
        <v>423</v>
      </c>
      <c r="G100" s="4">
        <v>3360403</v>
      </c>
      <c r="H100" s="4" t="s">
        <v>169</v>
      </c>
      <c r="I100" s="4">
        <v>3356609</v>
      </c>
    </row>
    <row r="101" spans="2:9" x14ac:dyDescent="0.3">
      <c r="B101" s="44">
        <v>45990</v>
      </c>
      <c r="C101" s="3" t="s">
        <v>416</v>
      </c>
      <c r="D101" s="3" t="s">
        <v>493</v>
      </c>
      <c r="E101" s="101"/>
      <c r="F101" s="3" t="s">
        <v>173</v>
      </c>
      <c r="G101" s="4">
        <v>3349308</v>
      </c>
      <c r="H101" s="4" t="s">
        <v>210</v>
      </c>
      <c r="I101" s="4">
        <v>3361100</v>
      </c>
    </row>
    <row r="102" spans="2:9" x14ac:dyDescent="0.3">
      <c r="B102" s="4"/>
      <c r="E102" s="101"/>
      <c r="G102" s="4"/>
      <c r="H102" s="4"/>
      <c r="I102" s="4"/>
    </row>
    <row r="103" spans="2:9" x14ac:dyDescent="0.3">
      <c r="B103" s="44">
        <v>46032</v>
      </c>
      <c r="C103" s="3" t="s">
        <v>416</v>
      </c>
      <c r="D103" s="3" t="s">
        <v>493</v>
      </c>
      <c r="E103" s="101"/>
      <c r="F103" s="3" t="s">
        <v>211</v>
      </c>
      <c r="G103" s="4">
        <v>3361204</v>
      </c>
      <c r="H103" s="4" t="s">
        <v>214</v>
      </c>
      <c r="I103" s="4">
        <v>3358805</v>
      </c>
    </row>
    <row r="104" spans="2:9" x14ac:dyDescent="0.3">
      <c r="B104" s="44">
        <v>46032</v>
      </c>
      <c r="C104" s="3" t="s">
        <v>416</v>
      </c>
      <c r="D104" s="3" t="s">
        <v>493</v>
      </c>
      <c r="E104" s="101"/>
      <c r="F104" s="3" t="s">
        <v>167</v>
      </c>
      <c r="G104" s="4">
        <v>3359804</v>
      </c>
      <c r="H104" s="4" t="s">
        <v>169</v>
      </c>
      <c r="I104" s="4">
        <v>3356609</v>
      </c>
    </row>
    <row r="105" spans="2:9" x14ac:dyDescent="0.3">
      <c r="B105" s="44">
        <v>46032</v>
      </c>
      <c r="C105" s="3" t="s">
        <v>416</v>
      </c>
      <c r="D105" s="3" t="s">
        <v>493</v>
      </c>
      <c r="E105" s="101"/>
      <c r="F105" s="3" t="s">
        <v>171</v>
      </c>
      <c r="G105" s="4">
        <v>3355600</v>
      </c>
      <c r="H105" s="4" t="s">
        <v>173</v>
      </c>
      <c r="I105" s="4">
        <v>3349308</v>
      </c>
    </row>
    <row r="106" spans="2:9" x14ac:dyDescent="0.3">
      <c r="B106" s="44">
        <v>46032</v>
      </c>
      <c r="C106" s="3" t="s">
        <v>416</v>
      </c>
      <c r="D106" s="3" t="s">
        <v>493</v>
      </c>
      <c r="E106" s="101"/>
      <c r="F106" s="3" t="s">
        <v>190</v>
      </c>
      <c r="G106" s="4">
        <v>3348205</v>
      </c>
      <c r="H106" s="4" t="s">
        <v>210</v>
      </c>
      <c r="I106" s="4">
        <v>3361100</v>
      </c>
    </row>
    <row r="107" spans="2:9" x14ac:dyDescent="0.3">
      <c r="B107" s="44">
        <v>46032</v>
      </c>
      <c r="C107" s="3" t="s">
        <v>416</v>
      </c>
      <c r="D107" s="3" t="s">
        <v>493</v>
      </c>
      <c r="E107" s="101"/>
      <c r="F107" s="3" t="s">
        <v>423</v>
      </c>
      <c r="G107" s="4">
        <v>3360403</v>
      </c>
      <c r="H107" s="4" t="s">
        <v>170</v>
      </c>
      <c r="I107" s="4">
        <v>3356703</v>
      </c>
    </row>
    <row r="108" spans="2:9" x14ac:dyDescent="0.3">
      <c r="B108" s="44">
        <v>46032</v>
      </c>
      <c r="C108" s="3" t="s">
        <v>416</v>
      </c>
      <c r="D108" s="3" t="s">
        <v>493</v>
      </c>
      <c r="E108" s="101"/>
      <c r="F108" s="3" t="s">
        <v>174</v>
      </c>
      <c r="G108" s="4">
        <v>3348101</v>
      </c>
      <c r="H108" s="4" t="s">
        <v>217</v>
      </c>
      <c r="I108" s="4">
        <v>3348309</v>
      </c>
    </row>
    <row r="109" spans="2:9" x14ac:dyDescent="0.3">
      <c r="B109" s="4"/>
      <c r="E109" s="101"/>
      <c r="G109" s="4"/>
      <c r="H109" s="4"/>
      <c r="I109" s="4"/>
    </row>
    <row r="110" spans="2:9" x14ac:dyDescent="0.3">
      <c r="B110" s="44">
        <v>46039</v>
      </c>
      <c r="C110" s="3" t="s">
        <v>416</v>
      </c>
      <c r="D110" s="3" t="s">
        <v>493</v>
      </c>
      <c r="E110" s="101"/>
      <c r="F110" s="3" t="s">
        <v>170</v>
      </c>
      <c r="G110" s="4">
        <v>3356703</v>
      </c>
      <c r="H110" s="4" t="s">
        <v>167</v>
      </c>
      <c r="I110" s="4">
        <v>3359804</v>
      </c>
    </row>
    <row r="111" spans="2:9" x14ac:dyDescent="0.3">
      <c r="B111" s="44">
        <v>46039</v>
      </c>
      <c r="C111" s="3" t="s">
        <v>416</v>
      </c>
      <c r="D111" s="3" t="s">
        <v>493</v>
      </c>
      <c r="E111" s="101"/>
      <c r="F111" s="3" t="s">
        <v>214</v>
      </c>
      <c r="G111" s="4">
        <v>3358805</v>
      </c>
      <c r="H111" s="4" t="s">
        <v>171</v>
      </c>
      <c r="I111" s="4">
        <v>3355600</v>
      </c>
    </row>
    <row r="112" spans="2:9" x14ac:dyDescent="0.3">
      <c r="B112" s="44">
        <v>46039</v>
      </c>
      <c r="C112" s="3" t="s">
        <v>416</v>
      </c>
      <c r="D112" s="3" t="s">
        <v>493</v>
      </c>
      <c r="E112" s="101"/>
      <c r="F112" s="3" t="s">
        <v>173</v>
      </c>
      <c r="G112" s="4">
        <v>3349308</v>
      </c>
      <c r="H112" s="4" t="s">
        <v>190</v>
      </c>
      <c r="I112" s="4">
        <v>3348205</v>
      </c>
    </row>
    <row r="113" spans="2:9" x14ac:dyDescent="0.3">
      <c r="B113" s="44">
        <v>46039</v>
      </c>
      <c r="C113" s="3" t="s">
        <v>416</v>
      </c>
      <c r="D113" s="3" t="s">
        <v>493</v>
      </c>
      <c r="E113" s="101"/>
      <c r="F113" s="3" t="s">
        <v>169</v>
      </c>
      <c r="G113" s="4">
        <v>3356609</v>
      </c>
      <c r="H113" s="4" t="s">
        <v>174</v>
      </c>
      <c r="I113" s="4">
        <v>3348101</v>
      </c>
    </row>
    <row r="114" spans="2:9" x14ac:dyDescent="0.3">
      <c r="B114" s="44">
        <v>46039</v>
      </c>
      <c r="C114" s="3" t="s">
        <v>416</v>
      </c>
      <c r="D114" s="3" t="s">
        <v>493</v>
      </c>
      <c r="E114" s="101"/>
      <c r="F114" s="3" t="s">
        <v>217</v>
      </c>
      <c r="G114" s="4">
        <v>3348309</v>
      </c>
      <c r="H114" s="4" t="s">
        <v>211</v>
      </c>
      <c r="I114" s="4">
        <v>3361204</v>
      </c>
    </row>
    <row r="115" spans="2:9" x14ac:dyDescent="0.3">
      <c r="B115" s="44">
        <v>46039</v>
      </c>
      <c r="C115" s="3" t="s">
        <v>416</v>
      </c>
      <c r="D115" s="3" t="s">
        <v>493</v>
      </c>
      <c r="E115" s="101"/>
      <c r="F115" s="3" t="s">
        <v>210</v>
      </c>
      <c r="G115" s="4">
        <v>3361100</v>
      </c>
      <c r="H115" s="4" t="s">
        <v>423</v>
      </c>
      <c r="I115" s="4">
        <v>3360403</v>
      </c>
    </row>
    <row r="116" spans="2:9" x14ac:dyDescent="0.3">
      <c r="B116" s="4"/>
      <c r="E116" s="101"/>
      <c r="G116" s="4"/>
      <c r="H116" s="4"/>
      <c r="I116" s="4"/>
    </row>
    <row r="117" spans="2:9" x14ac:dyDescent="0.3">
      <c r="B117" s="44">
        <v>46046</v>
      </c>
      <c r="C117" s="3" t="s">
        <v>416</v>
      </c>
      <c r="D117" s="3" t="s">
        <v>493</v>
      </c>
      <c r="E117" s="101"/>
      <c r="F117" s="3" t="s">
        <v>211</v>
      </c>
      <c r="G117" s="4">
        <v>3361204</v>
      </c>
      <c r="H117" s="4" t="s">
        <v>169</v>
      </c>
      <c r="I117" s="4">
        <v>3356609</v>
      </c>
    </row>
    <row r="118" spans="2:9" x14ac:dyDescent="0.3">
      <c r="B118" s="44">
        <v>46046</v>
      </c>
      <c r="C118" s="3" t="s">
        <v>416</v>
      </c>
      <c r="D118" s="3" t="s">
        <v>493</v>
      </c>
      <c r="E118" s="101"/>
      <c r="F118" s="3" t="s">
        <v>167</v>
      </c>
      <c r="G118" s="4">
        <v>3359804</v>
      </c>
      <c r="H118" s="4" t="s">
        <v>210</v>
      </c>
      <c r="I118" s="4">
        <v>3361100</v>
      </c>
    </row>
    <row r="119" spans="2:9" x14ac:dyDescent="0.3">
      <c r="B119" s="44">
        <v>46046</v>
      </c>
      <c r="C119" s="3" t="s">
        <v>416</v>
      </c>
      <c r="D119" s="3" t="s">
        <v>493</v>
      </c>
      <c r="E119" s="101"/>
      <c r="F119" s="3" t="s">
        <v>214</v>
      </c>
      <c r="G119" s="4">
        <v>3358805</v>
      </c>
      <c r="H119" s="4" t="s">
        <v>217</v>
      </c>
      <c r="I119" s="4">
        <v>3348309</v>
      </c>
    </row>
    <row r="120" spans="2:9" x14ac:dyDescent="0.3">
      <c r="B120" s="44">
        <v>46046</v>
      </c>
      <c r="C120" s="3" t="s">
        <v>416</v>
      </c>
      <c r="D120" s="3" t="s">
        <v>493</v>
      </c>
      <c r="E120" s="101"/>
      <c r="F120" s="3" t="s">
        <v>190</v>
      </c>
      <c r="G120" s="4">
        <v>3348205</v>
      </c>
      <c r="H120" s="4" t="s">
        <v>171</v>
      </c>
      <c r="I120" s="4">
        <v>3355600</v>
      </c>
    </row>
    <row r="121" spans="2:9" x14ac:dyDescent="0.3">
      <c r="B121" s="44">
        <v>46046</v>
      </c>
      <c r="C121" s="3" t="s">
        <v>416</v>
      </c>
      <c r="D121" s="3" t="s">
        <v>493</v>
      </c>
      <c r="E121" s="101"/>
      <c r="F121" s="3" t="s">
        <v>423</v>
      </c>
      <c r="G121" s="4">
        <v>3360403</v>
      </c>
      <c r="H121" s="4" t="s">
        <v>173</v>
      </c>
      <c r="I121" s="4">
        <v>3349308</v>
      </c>
    </row>
    <row r="122" spans="2:9" x14ac:dyDescent="0.3">
      <c r="B122" s="44">
        <v>46046</v>
      </c>
      <c r="C122" s="3" t="s">
        <v>416</v>
      </c>
      <c r="D122" s="3" t="s">
        <v>493</v>
      </c>
      <c r="E122" s="101"/>
      <c r="F122" s="3" t="s">
        <v>174</v>
      </c>
      <c r="G122" s="4">
        <v>3348101</v>
      </c>
      <c r="H122" s="4" t="s">
        <v>170</v>
      </c>
      <c r="I122" s="4">
        <v>3356703</v>
      </c>
    </row>
    <row r="123" spans="2:9" x14ac:dyDescent="0.3">
      <c r="B123" s="4"/>
      <c r="E123" s="101"/>
      <c r="G123" s="4"/>
      <c r="H123" s="4"/>
      <c r="I123" s="4"/>
    </row>
    <row r="124" spans="2:9" x14ac:dyDescent="0.3">
      <c r="B124" s="44">
        <v>46053</v>
      </c>
      <c r="C124" s="3" t="s">
        <v>416</v>
      </c>
      <c r="D124" s="3" t="s">
        <v>493</v>
      </c>
      <c r="E124" s="101"/>
      <c r="F124" s="3" t="s">
        <v>170</v>
      </c>
      <c r="G124" s="4">
        <v>3356703</v>
      </c>
      <c r="H124" s="4" t="s">
        <v>211</v>
      </c>
      <c r="I124" s="4">
        <v>3361204</v>
      </c>
    </row>
    <row r="125" spans="2:9" x14ac:dyDescent="0.3">
      <c r="B125" s="44">
        <v>46053</v>
      </c>
      <c r="C125" s="3" t="s">
        <v>416</v>
      </c>
      <c r="D125" s="3" t="s">
        <v>493</v>
      </c>
      <c r="E125" s="101"/>
      <c r="F125" s="3" t="s">
        <v>171</v>
      </c>
      <c r="G125" s="4">
        <v>3355600</v>
      </c>
      <c r="H125" s="4" t="s">
        <v>217</v>
      </c>
      <c r="I125" s="4">
        <v>3348309</v>
      </c>
    </row>
    <row r="126" spans="2:9" x14ac:dyDescent="0.3">
      <c r="B126" s="44">
        <v>46053</v>
      </c>
      <c r="C126" s="3" t="s">
        <v>416</v>
      </c>
      <c r="D126" s="3" t="s">
        <v>493</v>
      </c>
      <c r="E126" s="101"/>
      <c r="F126" s="3" t="s">
        <v>190</v>
      </c>
      <c r="G126" s="4">
        <v>3348205</v>
      </c>
      <c r="H126" s="4" t="s">
        <v>423</v>
      </c>
      <c r="I126" s="4">
        <v>3360403</v>
      </c>
    </row>
    <row r="127" spans="2:9" x14ac:dyDescent="0.3">
      <c r="B127" s="44">
        <v>46053</v>
      </c>
      <c r="C127" s="3" t="s">
        <v>416</v>
      </c>
      <c r="D127" s="3" t="s">
        <v>493</v>
      </c>
      <c r="E127" s="101"/>
      <c r="F127" s="3" t="s">
        <v>173</v>
      </c>
      <c r="G127" s="4">
        <v>3349308</v>
      </c>
      <c r="H127" s="4" t="s">
        <v>167</v>
      </c>
      <c r="I127" s="4">
        <v>3359804</v>
      </c>
    </row>
    <row r="128" spans="2:9" x14ac:dyDescent="0.3">
      <c r="B128" s="44">
        <v>46053</v>
      </c>
      <c r="C128" s="3" t="s">
        <v>416</v>
      </c>
      <c r="D128" s="3" t="s">
        <v>493</v>
      </c>
      <c r="E128" s="101"/>
      <c r="F128" s="3" t="s">
        <v>169</v>
      </c>
      <c r="G128" s="4">
        <v>3356609</v>
      </c>
      <c r="H128" s="4" t="s">
        <v>214</v>
      </c>
      <c r="I128" s="4">
        <v>3358805</v>
      </c>
    </row>
    <row r="129" spans="2:9" x14ac:dyDescent="0.3">
      <c r="B129" s="44">
        <v>46053</v>
      </c>
      <c r="C129" s="3" t="s">
        <v>416</v>
      </c>
      <c r="D129" s="3" t="s">
        <v>493</v>
      </c>
      <c r="E129" s="101"/>
      <c r="F129" s="3" t="s">
        <v>210</v>
      </c>
      <c r="G129" s="4">
        <v>3361100</v>
      </c>
      <c r="H129" s="4" t="s">
        <v>174</v>
      </c>
      <c r="I129" s="4">
        <v>3348101</v>
      </c>
    </row>
    <row r="130" spans="2:9" x14ac:dyDescent="0.3">
      <c r="B130" s="4"/>
      <c r="E130" s="101"/>
      <c r="G130" s="4"/>
      <c r="H130" s="4"/>
      <c r="I130" s="4"/>
    </row>
    <row r="131" spans="2:9" x14ac:dyDescent="0.3">
      <c r="B131" s="44">
        <v>46060</v>
      </c>
      <c r="C131" s="3" t="s">
        <v>416</v>
      </c>
      <c r="D131" s="3" t="s">
        <v>493</v>
      </c>
      <c r="E131" s="101"/>
      <c r="F131" s="3" t="s">
        <v>211</v>
      </c>
      <c r="G131" s="4">
        <v>3361204</v>
      </c>
      <c r="H131" s="4" t="s">
        <v>210</v>
      </c>
      <c r="I131" s="4">
        <v>3361100</v>
      </c>
    </row>
    <row r="132" spans="2:9" x14ac:dyDescent="0.3">
      <c r="B132" s="44">
        <v>46060</v>
      </c>
      <c r="C132" s="3" t="s">
        <v>416</v>
      </c>
      <c r="D132" s="3" t="s">
        <v>493</v>
      </c>
      <c r="E132" s="101"/>
      <c r="F132" s="3" t="s">
        <v>167</v>
      </c>
      <c r="G132" s="4">
        <v>3359804</v>
      </c>
      <c r="H132" s="4" t="s">
        <v>190</v>
      </c>
      <c r="I132" s="4">
        <v>3348205</v>
      </c>
    </row>
    <row r="133" spans="2:9" x14ac:dyDescent="0.3">
      <c r="B133" s="44">
        <v>46060</v>
      </c>
      <c r="C133" s="3" t="s">
        <v>416</v>
      </c>
      <c r="D133" s="3" t="s">
        <v>493</v>
      </c>
      <c r="E133" s="101"/>
      <c r="F133" s="3" t="s">
        <v>214</v>
      </c>
      <c r="G133" s="4">
        <v>3358805</v>
      </c>
      <c r="H133" s="4" t="s">
        <v>170</v>
      </c>
      <c r="I133" s="4">
        <v>3356703</v>
      </c>
    </row>
    <row r="134" spans="2:9" x14ac:dyDescent="0.3">
      <c r="B134" s="44">
        <v>46060</v>
      </c>
      <c r="C134" s="3" t="s">
        <v>416</v>
      </c>
      <c r="D134" s="3" t="s">
        <v>493</v>
      </c>
      <c r="E134" s="101"/>
      <c r="F134" s="3" t="s">
        <v>423</v>
      </c>
      <c r="G134" s="4">
        <v>3360403</v>
      </c>
      <c r="H134" s="4" t="s">
        <v>171</v>
      </c>
      <c r="I134" s="4">
        <v>3355600</v>
      </c>
    </row>
    <row r="135" spans="2:9" x14ac:dyDescent="0.3">
      <c r="B135" s="44">
        <v>46060</v>
      </c>
      <c r="C135" s="3" t="s">
        <v>416</v>
      </c>
      <c r="D135" s="3" t="s">
        <v>493</v>
      </c>
      <c r="E135" s="101"/>
      <c r="F135" s="3" t="s">
        <v>174</v>
      </c>
      <c r="G135" s="4">
        <v>3348101</v>
      </c>
      <c r="H135" s="4" t="s">
        <v>173</v>
      </c>
      <c r="I135" s="4">
        <v>3349308</v>
      </c>
    </row>
    <row r="136" spans="2:9" x14ac:dyDescent="0.3">
      <c r="B136" s="44">
        <v>46060</v>
      </c>
      <c r="C136" s="3" t="s">
        <v>416</v>
      </c>
      <c r="D136" s="3" t="s">
        <v>493</v>
      </c>
      <c r="E136" s="101"/>
      <c r="F136" s="3" t="s">
        <v>217</v>
      </c>
      <c r="G136" s="4">
        <v>3348309</v>
      </c>
      <c r="H136" s="4" t="s">
        <v>169</v>
      </c>
      <c r="I136" s="4">
        <v>3356609</v>
      </c>
    </row>
    <row r="137" spans="2:9" x14ac:dyDescent="0.3">
      <c r="B137" s="4"/>
      <c r="E137" s="101"/>
      <c r="G137" s="4"/>
      <c r="H137" s="4"/>
      <c r="I137" s="4"/>
    </row>
    <row r="138" spans="2:9" x14ac:dyDescent="0.3">
      <c r="B138" s="44">
        <v>46074</v>
      </c>
      <c r="C138" s="3" t="s">
        <v>416</v>
      </c>
      <c r="D138" s="3" t="s">
        <v>493</v>
      </c>
      <c r="E138" s="101"/>
      <c r="F138" s="3" t="s">
        <v>170</v>
      </c>
      <c r="G138" s="4">
        <v>3356703</v>
      </c>
      <c r="H138" s="4" t="s">
        <v>217</v>
      </c>
      <c r="I138" s="4">
        <v>3348309</v>
      </c>
    </row>
    <row r="139" spans="2:9" x14ac:dyDescent="0.3">
      <c r="B139" s="44">
        <v>46074</v>
      </c>
      <c r="C139" s="3" t="s">
        <v>416</v>
      </c>
      <c r="D139" s="3" t="s">
        <v>493</v>
      </c>
      <c r="E139" s="101"/>
      <c r="F139" s="3" t="s">
        <v>171</v>
      </c>
      <c r="G139" s="4">
        <v>3355600</v>
      </c>
      <c r="H139" s="4" t="s">
        <v>169</v>
      </c>
      <c r="I139" s="4">
        <v>3356609</v>
      </c>
    </row>
    <row r="140" spans="2:9" x14ac:dyDescent="0.3">
      <c r="B140" s="44">
        <v>46074</v>
      </c>
      <c r="C140" s="3" t="s">
        <v>416</v>
      </c>
      <c r="D140" s="3" t="s">
        <v>493</v>
      </c>
      <c r="E140" s="101"/>
      <c r="F140" s="3" t="s">
        <v>190</v>
      </c>
      <c r="G140" s="4">
        <v>3348205</v>
      </c>
      <c r="H140" s="4" t="s">
        <v>174</v>
      </c>
      <c r="I140" s="4">
        <v>3348101</v>
      </c>
    </row>
    <row r="141" spans="2:9" x14ac:dyDescent="0.3">
      <c r="B141" s="44">
        <v>46074</v>
      </c>
      <c r="C141" s="3" t="s">
        <v>416</v>
      </c>
      <c r="D141" s="3" t="s">
        <v>493</v>
      </c>
      <c r="E141" s="101"/>
      <c r="F141" s="3" t="s">
        <v>423</v>
      </c>
      <c r="G141" s="4">
        <v>3360403</v>
      </c>
      <c r="H141" s="4" t="s">
        <v>167</v>
      </c>
      <c r="I141" s="4">
        <v>3359804</v>
      </c>
    </row>
    <row r="142" spans="2:9" x14ac:dyDescent="0.3">
      <c r="B142" s="44">
        <v>46074</v>
      </c>
      <c r="C142" s="3" t="s">
        <v>416</v>
      </c>
      <c r="D142" s="3" t="s">
        <v>493</v>
      </c>
      <c r="E142" s="101"/>
      <c r="F142" s="3" t="s">
        <v>173</v>
      </c>
      <c r="G142" s="4">
        <v>3349308</v>
      </c>
      <c r="H142" s="4" t="s">
        <v>211</v>
      </c>
      <c r="I142" s="4">
        <v>3361204</v>
      </c>
    </row>
    <row r="143" spans="2:9" x14ac:dyDescent="0.3">
      <c r="B143" s="44">
        <v>46074</v>
      </c>
      <c r="C143" s="3" t="s">
        <v>416</v>
      </c>
      <c r="D143" s="3" t="s">
        <v>493</v>
      </c>
      <c r="E143" s="101"/>
      <c r="F143" s="3" t="s">
        <v>210</v>
      </c>
      <c r="G143" s="4">
        <v>3361100</v>
      </c>
      <c r="H143" s="4" t="s">
        <v>214</v>
      </c>
      <c r="I143" s="4">
        <v>3358805</v>
      </c>
    </row>
    <row r="144" spans="2:9" x14ac:dyDescent="0.3">
      <c r="B144" s="4"/>
      <c r="E144" s="101"/>
      <c r="G144" s="4"/>
      <c r="H144" s="4"/>
      <c r="I144" s="4"/>
    </row>
    <row r="145" spans="2:9" x14ac:dyDescent="0.3">
      <c r="B145" s="44">
        <v>46081</v>
      </c>
      <c r="C145" s="3" t="s">
        <v>416</v>
      </c>
      <c r="D145" s="3" t="s">
        <v>493</v>
      </c>
      <c r="E145" s="101"/>
      <c r="F145" s="3" t="s">
        <v>211</v>
      </c>
      <c r="G145" s="4">
        <v>3361204</v>
      </c>
      <c r="H145" s="4" t="s">
        <v>190</v>
      </c>
      <c r="I145" s="4">
        <v>3348205</v>
      </c>
    </row>
    <row r="146" spans="2:9" x14ac:dyDescent="0.3">
      <c r="B146" s="44">
        <v>46081</v>
      </c>
      <c r="C146" s="3" t="s">
        <v>416</v>
      </c>
      <c r="D146" s="3" t="s">
        <v>493</v>
      </c>
      <c r="E146" s="101"/>
      <c r="F146" s="3" t="s">
        <v>167</v>
      </c>
      <c r="G146" s="4">
        <v>3359804</v>
      </c>
      <c r="H146" s="4" t="s">
        <v>171</v>
      </c>
      <c r="I146" s="4">
        <v>3355600</v>
      </c>
    </row>
    <row r="147" spans="2:9" x14ac:dyDescent="0.3">
      <c r="B147" s="44">
        <v>46081</v>
      </c>
      <c r="C147" s="3" t="s">
        <v>416</v>
      </c>
      <c r="D147" s="3" t="s">
        <v>493</v>
      </c>
      <c r="E147" s="101"/>
      <c r="F147" s="3" t="s">
        <v>214</v>
      </c>
      <c r="G147" s="4">
        <v>3358805</v>
      </c>
      <c r="H147" s="4" t="s">
        <v>173</v>
      </c>
      <c r="I147" s="4">
        <v>3349308</v>
      </c>
    </row>
    <row r="148" spans="2:9" x14ac:dyDescent="0.3">
      <c r="B148" s="44">
        <v>46081</v>
      </c>
      <c r="C148" s="3" t="s">
        <v>416</v>
      </c>
      <c r="D148" s="3" t="s">
        <v>493</v>
      </c>
      <c r="E148" s="101"/>
      <c r="F148" s="3" t="s">
        <v>169</v>
      </c>
      <c r="G148" s="4">
        <v>3356609</v>
      </c>
      <c r="H148" s="4" t="s">
        <v>170</v>
      </c>
      <c r="I148" s="4">
        <v>3356703</v>
      </c>
    </row>
    <row r="149" spans="2:9" x14ac:dyDescent="0.3">
      <c r="B149" s="44">
        <v>46081</v>
      </c>
      <c r="C149" s="3" t="s">
        <v>416</v>
      </c>
      <c r="D149" s="3" t="s">
        <v>493</v>
      </c>
      <c r="E149" s="101"/>
      <c r="F149" s="3" t="s">
        <v>174</v>
      </c>
      <c r="G149" s="4">
        <v>3348101</v>
      </c>
      <c r="H149" s="4" t="s">
        <v>423</v>
      </c>
      <c r="I149" s="4">
        <v>3360403</v>
      </c>
    </row>
    <row r="150" spans="2:9" x14ac:dyDescent="0.3">
      <c r="B150" s="44">
        <v>46081</v>
      </c>
      <c r="C150" s="3" t="s">
        <v>416</v>
      </c>
      <c r="D150" s="3" t="s">
        <v>493</v>
      </c>
      <c r="E150" s="101"/>
      <c r="F150" s="3" t="s">
        <v>217</v>
      </c>
      <c r="G150" s="4">
        <v>3348309</v>
      </c>
      <c r="H150" s="4" t="s">
        <v>210</v>
      </c>
      <c r="I150" s="4">
        <v>3361100</v>
      </c>
    </row>
    <row r="151" spans="2:9" x14ac:dyDescent="0.3">
      <c r="B151" s="4"/>
      <c r="E151" s="101"/>
      <c r="G151" s="4"/>
      <c r="H151" s="4"/>
      <c r="I151" s="4"/>
    </row>
    <row r="152" spans="2:9" x14ac:dyDescent="0.3">
      <c r="B152" s="44">
        <v>46088</v>
      </c>
      <c r="C152" s="3" t="s">
        <v>416</v>
      </c>
      <c r="D152" s="3" t="s">
        <v>493</v>
      </c>
      <c r="E152" s="101"/>
      <c r="F152" s="3" t="s">
        <v>171</v>
      </c>
      <c r="G152" s="4">
        <v>3355600</v>
      </c>
      <c r="H152" s="4" t="s">
        <v>170</v>
      </c>
      <c r="I152" s="4">
        <v>3356703</v>
      </c>
    </row>
    <row r="153" spans="2:9" x14ac:dyDescent="0.3">
      <c r="B153" s="44">
        <v>46088</v>
      </c>
      <c r="C153" s="3" t="s">
        <v>416</v>
      </c>
      <c r="D153" s="3" t="s">
        <v>493</v>
      </c>
      <c r="E153" s="101"/>
      <c r="F153" s="3" t="s">
        <v>167</v>
      </c>
      <c r="G153" s="4">
        <v>3359804</v>
      </c>
      <c r="H153" s="4" t="s">
        <v>174</v>
      </c>
      <c r="I153" s="4">
        <v>3348101</v>
      </c>
    </row>
    <row r="154" spans="2:9" x14ac:dyDescent="0.3">
      <c r="B154" s="44">
        <v>46088</v>
      </c>
      <c r="C154" s="3" t="s">
        <v>416</v>
      </c>
      <c r="D154" s="3" t="s">
        <v>493</v>
      </c>
      <c r="E154" s="101"/>
      <c r="F154" s="3" t="s">
        <v>190</v>
      </c>
      <c r="G154" s="4">
        <v>3348205</v>
      </c>
      <c r="H154" s="4" t="s">
        <v>214</v>
      </c>
      <c r="I154" s="4">
        <v>3358805</v>
      </c>
    </row>
    <row r="155" spans="2:9" x14ac:dyDescent="0.3">
      <c r="B155" s="44">
        <v>46088</v>
      </c>
      <c r="C155" s="3" t="s">
        <v>416</v>
      </c>
      <c r="D155" s="3" t="s">
        <v>493</v>
      </c>
      <c r="E155" s="101"/>
      <c r="F155" s="3" t="s">
        <v>423</v>
      </c>
      <c r="G155" s="4">
        <v>3360403</v>
      </c>
      <c r="H155" s="4" t="s">
        <v>211</v>
      </c>
      <c r="I155" s="4">
        <v>3361204</v>
      </c>
    </row>
    <row r="156" spans="2:9" x14ac:dyDescent="0.3">
      <c r="B156" s="44">
        <v>46088</v>
      </c>
      <c r="C156" s="3" t="s">
        <v>416</v>
      </c>
      <c r="D156" s="3" t="s">
        <v>493</v>
      </c>
      <c r="E156" s="101"/>
      <c r="F156" s="3" t="s">
        <v>173</v>
      </c>
      <c r="G156" s="4">
        <v>3349308</v>
      </c>
      <c r="H156" s="4" t="s">
        <v>217</v>
      </c>
      <c r="I156" s="4">
        <v>3348309</v>
      </c>
    </row>
    <row r="157" spans="2:9" x14ac:dyDescent="0.3">
      <c r="B157" s="44">
        <v>46088</v>
      </c>
      <c r="C157" s="3" t="s">
        <v>416</v>
      </c>
      <c r="D157" s="3" t="s">
        <v>493</v>
      </c>
      <c r="E157" s="101"/>
      <c r="F157" s="3" t="s">
        <v>210</v>
      </c>
      <c r="G157" s="4">
        <v>3361100</v>
      </c>
      <c r="H157" s="4" t="s">
        <v>169</v>
      </c>
      <c r="I157" s="4">
        <v>3356609</v>
      </c>
    </row>
    <row r="158" spans="2:9" x14ac:dyDescent="0.3">
      <c r="B158" s="4"/>
      <c r="E158" s="101"/>
      <c r="G158" s="4"/>
      <c r="H158" s="4"/>
      <c r="I158" s="4"/>
    </row>
    <row r="159" spans="2:9" x14ac:dyDescent="0.3">
      <c r="B159" s="44">
        <v>46095</v>
      </c>
      <c r="C159" s="3" t="s">
        <v>416</v>
      </c>
      <c r="D159" s="3" t="s">
        <v>493</v>
      </c>
      <c r="E159" s="101"/>
      <c r="F159" s="3" t="s">
        <v>211</v>
      </c>
      <c r="G159" s="4">
        <v>3361204</v>
      </c>
      <c r="H159" s="4" t="s">
        <v>167</v>
      </c>
      <c r="I159" s="4">
        <v>3359804</v>
      </c>
    </row>
    <row r="160" spans="2:9" x14ac:dyDescent="0.3">
      <c r="B160" s="44">
        <v>46095</v>
      </c>
      <c r="C160" s="3" t="s">
        <v>416</v>
      </c>
      <c r="D160" s="3" t="s">
        <v>493</v>
      </c>
      <c r="E160" s="101"/>
      <c r="F160" s="3" t="s">
        <v>170</v>
      </c>
      <c r="G160" s="4">
        <v>3356703</v>
      </c>
      <c r="H160" s="4" t="s">
        <v>210</v>
      </c>
      <c r="I160" s="4">
        <v>3361100</v>
      </c>
    </row>
    <row r="161" spans="2:9" x14ac:dyDescent="0.3">
      <c r="B161" s="44">
        <v>46095</v>
      </c>
      <c r="C161" s="3" t="s">
        <v>416</v>
      </c>
      <c r="D161" s="3" t="s">
        <v>493</v>
      </c>
      <c r="E161" s="101"/>
      <c r="F161" s="3" t="s">
        <v>214</v>
      </c>
      <c r="G161" s="4">
        <v>3358805</v>
      </c>
      <c r="H161" s="4" t="s">
        <v>423</v>
      </c>
      <c r="I161" s="4">
        <v>3360403</v>
      </c>
    </row>
    <row r="162" spans="2:9" x14ac:dyDescent="0.3">
      <c r="B162" s="44">
        <v>46095</v>
      </c>
      <c r="C162" s="3" t="s">
        <v>416</v>
      </c>
      <c r="D162" s="3" t="s">
        <v>493</v>
      </c>
      <c r="E162" s="101"/>
      <c r="F162" s="3" t="s">
        <v>169</v>
      </c>
      <c r="G162" s="4">
        <v>3356609</v>
      </c>
      <c r="H162" s="4" t="s">
        <v>173</v>
      </c>
      <c r="I162" s="4">
        <v>3349308</v>
      </c>
    </row>
    <row r="163" spans="2:9" x14ac:dyDescent="0.3">
      <c r="B163" s="44">
        <v>46095</v>
      </c>
      <c r="C163" s="3" t="s">
        <v>416</v>
      </c>
      <c r="D163" s="3" t="s">
        <v>493</v>
      </c>
      <c r="E163" s="101"/>
      <c r="F163" s="3" t="s">
        <v>174</v>
      </c>
      <c r="G163" s="4">
        <v>3348101</v>
      </c>
      <c r="H163" s="4" t="s">
        <v>171</v>
      </c>
      <c r="I163" s="4">
        <v>3355600</v>
      </c>
    </row>
    <row r="164" spans="2:9" x14ac:dyDescent="0.3">
      <c r="B164" s="44">
        <v>46095</v>
      </c>
      <c r="C164" s="3" t="s">
        <v>416</v>
      </c>
      <c r="D164" s="3" t="s">
        <v>493</v>
      </c>
      <c r="E164" s="101"/>
      <c r="F164" s="3" t="s">
        <v>217</v>
      </c>
      <c r="G164" s="4">
        <v>3348309</v>
      </c>
      <c r="H164" s="4" t="s">
        <v>190</v>
      </c>
      <c r="I164" s="4">
        <v>3348205</v>
      </c>
    </row>
    <row r="165" spans="2:9" x14ac:dyDescent="0.3">
      <c r="B165" s="4"/>
      <c r="E165" s="101"/>
      <c r="G165" s="4"/>
      <c r="H165" s="4"/>
      <c r="I165" s="4"/>
    </row>
    <row r="166" spans="2:9" x14ac:dyDescent="0.3">
      <c r="B166" s="44">
        <v>46102</v>
      </c>
      <c r="C166" s="3" t="s">
        <v>416</v>
      </c>
      <c r="D166" s="3" t="s">
        <v>493</v>
      </c>
      <c r="E166" s="101"/>
      <c r="F166" s="3" t="s">
        <v>173</v>
      </c>
      <c r="G166" s="4">
        <v>3349308</v>
      </c>
      <c r="H166" s="4" t="s">
        <v>170</v>
      </c>
      <c r="I166" s="4">
        <v>3356703</v>
      </c>
    </row>
    <row r="167" spans="2:9" x14ac:dyDescent="0.3">
      <c r="B167" s="44">
        <v>46102</v>
      </c>
      <c r="C167" s="3" t="s">
        <v>416</v>
      </c>
      <c r="D167" s="3" t="s">
        <v>493</v>
      </c>
      <c r="E167" s="101"/>
      <c r="F167" s="3" t="s">
        <v>174</v>
      </c>
      <c r="G167" s="4">
        <v>3348101</v>
      </c>
      <c r="H167" s="4" t="s">
        <v>211</v>
      </c>
      <c r="I167" s="4">
        <v>3361204</v>
      </c>
    </row>
    <row r="168" spans="2:9" x14ac:dyDescent="0.3">
      <c r="B168" s="44">
        <v>46102</v>
      </c>
      <c r="C168" s="3" t="s">
        <v>416</v>
      </c>
      <c r="D168" s="3" t="s">
        <v>493</v>
      </c>
      <c r="E168" s="101"/>
      <c r="F168" s="3" t="s">
        <v>167</v>
      </c>
      <c r="G168" s="4">
        <v>3359804</v>
      </c>
      <c r="H168" s="4" t="s">
        <v>214</v>
      </c>
      <c r="I168" s="4">
        <v>3358805</v>
      </c>
    </row>
    <row r="169" spans="2:9" x14ac:dyDescent="0.3">
      <c r="B169" s="44">
        <v>46102</v>
      </c>
      <c r="C169" s="3" t="s">
        <v>416</v>
      </c>
      <c r="D169" s="3" t="s">
        <v>493</v>
      </c>
      <c r="E169" s="101"/>
      <c r="F169" s="3" t="s">
        <v>171</v>
      </c>
      <c r="G169" s="4">
        <v>3355600</v>
      </c>
      <c r="H169" s="4" t="s">
        <v>210</v>
      </c>
      <c r="I169" s="4">
        <v>3361100</v>
      </c>
    </row>
    <row r="170" spans="2:9" x14ac:dyDescent="0.3">
      <c r="B170" s="44">
        <v>46102</v>
      </c>
      <c r="C170" s="3" t="s">
        <v>416</v>
      </c>
      <c r="D170" s="3" t="s">
        <v>493</v>
      </c>
      <c r="E170" s="101"/>
      <c r="F170" s="3" t="s">
        <v>190</v>
      </c>
      <c r="G170" s="4">
        <v>3348205</v>
      </c>
      <c r="H170" s="4" t="s">
        <v>169</v>
      </c>
      <c r="I170" s="4">
        <v>3356609</v>
      </c>
    </row>
    <row r="171" spans="2:9" x14ac:dyDescent="0.3">
      <c r="B171" s="44">
        <v>46102</v>
      </c>
      <c r="C171" s="3" t="s">
        <v>416</v>
      </c>
      <c r="D171" s="3" t="s">
        <v>493</v>
      </c>
      <c r="E171" s="101"/>
      <c r="F171" s="3" t="s">
        <v>423</v>
      </c>
      <c r="G171" s="4">
        <v>3360403</v>
      </c>
      <c r="H171" s="4" t="s">
        <v>217</v>
      </c>
      <c r="I171" s="4">
        <v>3348309</v>
      </c>
    </row>
    <row r="172" spans="2:9" x14ac:dyDescent="0.3">
      <c r="B172" s="4"/>
      <c r="E172" s="101"/>
      <c r="G172" s="4"/>
      <c r="H172" s="4"/>
      <c r="I172" s="4"/>
    </row>
    <row r="173" spans="2:9" x14ac:dyDescent="0.3">
      <c r="B173" s="44">
        <v>46109</v>
      </c>
      <c r="C173" s="3" t="s">
        <v>416</v>
      </c>
      <c r="D173" s="3" t="s">
        <v>493</v>
      </c>
      <c r="E173" s="101"/>
      <c r="F173" s="3" t="s">
        <v>210</v>
      </c>
      <c r="G173" s="4">
        <v>3361100</v>
      </c>
      <c r="H173" s="4" t="s">
        <v>173</v>
      </c>
      <c r="I173" s="4">
        <v>3349308</v>
      </c>
    </row>
    <row r="174" spans="2:9" x14ac:dyDescent="0.3">
      <c r="B174" s="44">
        <v>46109</v>
      </c>
      <c r="C174" s="3" t="s">
        <v>416</v>
      </c>
      <c r="D174" s="3" t="s">
        <v>493</v>
      </c>
      <c r="E174" s="101"/>
      <c r="F174" s="3" t="s">
        <v>170</v>
      </c>
      <c r="G174" s="4">
        <v>3356703</v>
      </c>
      <c r="H174" s="4" t="s">
        <v>190</v>
      </c>
      <c r="I174" s="4">
        <v>3348205</v>
      </c>
    </row>
    <row r="175" spans="2:9" x14ac:dyDescent="0.3">
      <c r="B175" s="44">
        <v>46109</v>
      </c>
      <c r="C175" s="3" t="s">
        <v>416</v>
      </c>
      <c r="D175" s="3" t="s">
        <v>493</v>
      </c>
      <c r="E175" s="101"/>
      <c r="F175" s="3" t="s">
        <v>214</v>
      </c>
      <c r="G175" s="4">
        <v>3358805</v>
      </c>
      <c r="H175" s="4" t="s">
        <v>174</v>
      </c>
      <c r="I175" s="4">
        <v>3348101</v>
      </c>
    </row>
    <row r="176" spans="2:9" x14ac:dyDescent="0.3">
      <c r="B176" s="44">
        <v>46109</v>
      </c>
      <c r="C176" s="3" t="s">
        <v>416</v>
      </c>
      <c r="D176" s="3" t="s">
        <v>493</v>
      </c>
      <c r="E176" s="101"/>
      <c r="F176" s="3" t="s">
        <v>169</v>
      </c>
      <c r="G176" s="4">
        <v>3356609</v>
      </c>
      <c r="H176" s="4" t="s">
        <v>423</v>
      </c>
      <c r="I176" s="4">
        <v>3360403</v>
      </c>
    </row>
    <row r="177" spans="2:9" x14ac:dyDescent="0.3">
      <c r="B177" s="44">
        <v>46109</v>
      </c>
      <c r="C177" s="3" t="s">
        <v>416</v>
      </c>
      <c r="D177" s="3" t="s">
        <v>493</v>
      </c>
      <c r="E177" s="101"/>
      <c r="F177" s="3" t="s">
        <v>217</v>
      </c>
      <c r="G177" s="4">
        <v>3348309</v>
      </c>
      <c r="H177" s="4" t="s">
        <v>167</v>
      </c>
      <c r="I177" s="4">
        <v>3359804</v>
      </c>
    </row>
    <row r="178" spans="2:9" x14ac:dyDescent="0.3">
      <c r="B178" s="44">
        <v>46109</v>
      </c>
      <c r="C178" s="3" t="s">
        <v>416</v>
      </c>
      <c r="D178" s="3" t="s">
        <v>493</v>
      </c>
      <c r="E178" s="101"/>
      <c r="F178" s="3" t="s">
        <v>211</v>
      </c>
      <c r="G178" s="4">
        <v>3361204</v>
      </c>
      <c r="H178" s="4" t="s">
        <v>171</v>
      </c>
      <c r="I178" s="4">
        <v>3355600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531" priority="318"/>
  </conditionalFormatting>
  <conditionalFormatting sqref="B11 B13:B14 B16:B18 B20">
    <cfRule type="duplicateValues" dxfId="5530" priority="3030"/>
  </conditionalFormatting>
  <conditionalFormatting sqref="B15">
    <cfRule type="duplicateValues" dxfId="5529" priority="16"/>
  </conditionalFormatting>
  <conditionalFormatting sqref="F15:H15">
    <cfRule type="containsText" dxfId="5528" priority="15" operator="containsText" text="BYE">
      <formula>NOT(ISERROR(SEARCH("BYE",F15)))</formula>
    </cfRule>
  </conditionalFormatting>
  <conditionalFormatting sqref="F1:I8 F9:H14 F16:H21 F22:I1048576">
    <cfRule type="containsText" dxfId="5527" priority="18" operator="containsText" text="BM5E!$F$26M5E!$F$26">
      <formula>NOT(ISERROR(SEARCH("BM5E!$F$26M5E!$F$26",F1)))</formula>
    </cfRule>
  </conditionalFormatting>
  <conditionalFormatting sqref="I9:I21">
    <cfRule type="containsText" dxfId="5526" priority="8" operator="containsText" text="Code">
      <formula>NOT(ISERROR(SEARCH("Code",I9)))</formula>
    </cfRule>
    <cfRule type="containsText" dxfId="5525" priority="13" operator="containsText" text="c'[Fixtures All.xlsx]Women Filtered'!$F$2">
      <formula>NOT(ISERROR(SEARCH("c'[Fixtures All.xlsx]Women Filtered'!$F$2",I9)))</formula>
    </cfRule>
  </conditionalFormatting>
  <conditionalFormatting sqref="I10:L21">
    <cfRule type="cellIs" dxfId="5524" priority="6" operator="lessThan">
      <formula>5</formula>
    </cfRule>
    <cfRule type="cellIs" dxfId="5523" priority="7" operator="greaterThan">
      <formula>6</formula>
    </cfRule>
  </conditionalFormatting>
  <conditionalFormatting sqref="J10:J21">
    <cfRule type="containsText" dxfId="5522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521" priority="2961"/>
  </conditionalFormatting>
  <conditionalFormatting sqref="K5">
    <cfRule type="duplicateValues" dxfId="5520" priority="316"/>
  </conditionalFormatting>
  <conditionalFormatting sqref="K9:K21">
    <cfRule type="containsText" dxfId="5519" priority="3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518" priority="2" operator="containsText" text="Code">
      <formula>NOT(ISERROR(SEARCH("Code",K10)))</formula>
    </cfRule>
  </conditionalFormatting>
  <conditionalFormatting sqref="L10:L21">
    <cfRule type="containsText" dxfId="5517" priority="9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DCE75C27-4BD8-4F63-A433-26D98F168EF8}"/>
    <hyperlink ref="K5:K6" location="'All Fixtures'!A1" display="See all NW Fixtures" xr:uid="{46A970DA-32E9-47F8-9B9B-8BD7828B8255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2D3E-4609-45E2-BE3C-778A779C55EC}">
  <sheetPr>
    <tabColor rgb="FFFF0000"/>
  </sheetPr>
  <dimension ref="A2:AQ26"/>
  <sheetViews>
    <sheetView workbookViewId="0">
      <selection activeCell="A10" sqref="A10:B16"/>
    </sheetView>
  </sheetViews>
  <sheetFormatPr defaultRowHeight="14.4" x14ac:dyDescent="0.3"/>
  <cols>
    <col min="1" max="1" width="8.88671875" style="3"/>
    <col min="2" max="2" width="15.77734375" style="3" customWidth="1"/>
    <col min="3" max="3" width="27.6640625" style="3" customWidth="1"/>
    <col min="4" max="4" width="31.77734375" style="3" customWidth="1"/>
    <col min="5" max="5" width="20.5546875" style="3" customWidth="1"/>
    <col min="6" max="6" width="18.88671875" style="3" customWidth="1"/>
    <col min="7" max="7" width="11.5546875" style="3" customWidth="1"/>
    <col min="8" max="8" width="23.33203125" style="3" customWidth="1"/>
    <col min="9" max="9" width="8.88671875" style="3"/>
    <col min="10" max="10" width="21.77734375" style="3" customWidth="1"/>
    <col min="11" max="11" width="17.77734375" style="51" customWidth="1"/>
    <col min="12" max="43" width="8.88671875" style="3"/>
  </cols>
  <sheetData>
    <row r="2" spans="1:11" ht="15" thickBot="1" x14ac:dyDescent="0.35"/>
    <row r="3" spans="1:11" ht="37.200000000000003" thickBot="1" x14ac:dyDescent="0.75">
      <c r="E3" s="16" t="s">
        <v>54</v>
      </c>
      <c r="F3" s="16"/>
      <c r="I3" s="16"/>
      <c r="K3" s="45" t="s">
        <v>86</v>
      </c>
    </row>
    <row r="4" spans="1:11" ht="15" customHeight="1" thickBot="1" x14ac:dyDescent="0.35"/>
    <row r="5" spans="1:11" ht="15" customHeight="1" x14ac:dyDescent="0.3">
      <c r="K5" s="185" t="s">
        <v>417</v>
      </c>
    </row>
    <row r="6" spans="1:11" ht="15" customHeight="1" thickBot="1" x14ac:dyDescent="0.35">
      <c r="K6" s="186"/>
    </row>
    <row r="7" spans="1:11" ht="15" customHeight="1" x14ac:dyDescent="0.3"/>
    <row r="8" spans="1:11" ht="15" customHeight="1" x14ac:dyDescent="0.7">
      <c r="B8" s="16"/>
    </row>
    <row r="9" spans="1:11" ht="15" customHeight="1" x14ac:dyDescent="0.4">
      <c r="B9" s="21" t="s">
        <v>85</v>
      </c>
    </row>
    <row r="10" spans="1:11" ht="15" customHeight="1" x14ac:dyDescent="0.3">
      <c r="A10" s="47">
        <f>COUNTIF(F26:H178,"Brookfield Development")</f>
        <v>0</v>
      </c>
      <c r="B10" s="3" t="s">
        <v>176</v>
      </c>
    </row>
    <row r="11" spans="1:11" ht="15" customHeight="1" x14ac:dyDescent="0.3">
      <c r="A11" s="47">
        <f>COUNTIF(F26:H178,"Clitheroe Blackburn Northern Development")</f>
        <v>0</v>
      </c>
      <c r="B11" s="3" t="s">
        <v>177</v>
      </c>
    </row>
    <row r="12" spans="1:11" ht="15" customHeight="1" x14ac:dyDescent="0.3">
      <c r="A12" s="47">
        <f>COUNTIF(F26:H178,"Fylde Development")</f>
        <v>0</v>
      </c>
      <c r="B12" s="3" t="s">
        <v>178</v>
      </c>
    </row>
    <row r="13" spans="1:11" ht="15" customHeight="1" x14ac:dyDescent="0.3">
      <c r="A13" s="47">
        <f>COUNTIF(F26:H178,"Garstang Development")</f>
        <v>0</v>
      </c>
      <c r="B13" s="3" t="s">
        <v>179</v>
      </c>
    </row>
    <row r="14" spans="1:11" ht="15" customHeight="1" x14ac:dyDescent="0.3">
      <c r="A14" s="47">
        <f>COUNTIF(F26:H178,"Kendal 2")</f>
        <v>0</v>
      </c>
      <c r="B14" s="3" t="s">
        <v>180</v>
      </c>
    </row>
    <row r="15" spans="1:11" ht="15" customHeight="1" x14ac:dyDescent="0.3">
      <c r="A15" s="47">
        <f>COUNTIF(F26:H178,"Kirkby Lonsdale 2")</f>
        <v>0</v>
      </c>
      <c r="B15" s="3" t="s">
        <v>181</v>
      </c>
    </row>
    <row r="16" spans="1:11" x14ac:dyDescent="0.3">
      <c r="A16" s="47">
        <f>COUNTIF(F26:H178,"Leyland &amp; Chorley Development")</f>
        <v>0</v>
      </c>
      <c r="B16" s="3" t="s">
        <v>182</v>
      </c>
    </row>
    <row r="23" spans="2:9" ht="21" x14ac:dyDescent="0.4">
      <c r="B23" s="22" t="s">
        <v>93</v>
      </c>
    </row>
    <row r="24" spans="2:9" x14ac:dyDescent="0.3">
      <c r="B24" s="41" t="s">
        <v>408</v>
      </c>
      <c r="C24" s="39" t="s">
        <v>409</v>
      </c>
      <c r="D24" s="39" t="s">
        <v>410</v>
      </c>
      <c r="E24" s="39" t="s">
        <v>411</v>
      </c>
      <c r="F24" s="14" t="s">
        <v>412</v>
      </c>
      <c r="G24" s="39" t="s">
        <v>413</v>
      </c>
      <c r="H24" s="14" t="s">
        <v>414</v>
      </c>
      <c r="I24" s="39" t="s">
        <v>415</v>
      </c>
    </row>
    <row r="26" spans="2:9" x14ac:dyDescent="0.3">
      <c r="E26" s="42"/>
    </row>
  </sheetData>
  <mergeCells count="1">
    <mergeCell ref="K5:K6"/>
  </mergeCells>
  <conditionalFormatting sqref="B9">
    <cfRule type="duplicateValues" dxfId="5516" priority="3"/>
  </conditionalFormatting>
  <conditionalFormatting sqref="B10:B21">
    <cfRule type="duplicateValues" dxfId="5515" priority="2"/>
  </conditionalFormatting>
  <conditionalFormatting sqref="I5:I16">
    <cfRule type="duplicateValues" dxfId="5514" priority="5"/>
  </conditionalFormatting>
  <conditionalFormatting sqref="K3:K4 K7:K17">
    <cfRule type="duplicateValues" dxfId="5513" priority="4"/>
  </conditionalFormatting>
  <conditionalFormatting sqref="K5">
    <cfRule type="duplicateValues" dxfId="5512" priority="1"/>
  </conditionalFormatting>
  <hyperlinks>
    <hyperlink ref="K3" location="Contents!A1" display="Back to Contents" xr:uid="{F4E01164-42A8-43D6-9CC0-F5D7E540E96D}"/>
    <hyperlink ref="K5:K6" location="'All Fixtures'!A1" display="See all NW Fixtures" xr:uid="{20C0662D-23C3-4095-B035-8B9FB4278835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27CEB-FC2C-4957-96A2-2D3C2041C526}">
  <dimension ref="A2:AQ178"/>
  <sheetViews>
    <sheetView workbookViewId="0"/>
  </sheetViews>
  <sheetFormatPr defaultRowHeight="14.4" x14ac:dyDescent="0.3"/>
  <cols>
    <col min="1" max="1" width="4" style="3" customWidth="1"/>
    <col min="2" max="2" width="19.21875" style="3" customWidth="1"/>
    <col min="3" max="3" width="27.5546875" style="3" customWidth="1"/>
    <col min="4" max="4" width="44.21875" style="3" customWidth="1"/>
    <col min="5" max="5" width="15.6640625" style="3" customWidth="1"/>
    <col min="6" max="6" width="28.5546875" style="3" customWidth="1"/>
    <col min="7" max="7" width="17.109375" style="3" customWidth="1"/>
    <col min="8" max="8" width="25.88671875" style="3" customWidth="1"/>
    <col min="9" max="9" width="13.77734375" style="3" customWidth="1"/>
    <col min="10" max="10" width="8.77734375" style="3" customWidth="1"/>
    <col min="11" max="11" width="18.21875" style="51" customWidth="1"/>
    <col min="12" max="12" width="2.88671875" style="3" customWidth="1"/>
    <col min="13" max="43" width="8.88671875" style="3"/>
  </cols>
  <sheetData>
    <row r="2" spans="1:12" ht="15" thickBot="1" x14ac:dyDescent="0.35"/>
    <row r="3" spans="1:12" ht="37.200000000000003" thickBot="1" x14ac:dyDescent="0.75">
      <c r="E3" s="16" t="s">
        <v>494</v>
      </c>
      <c r="F3" s="16"/>
      <c r="I3" s="16"/>
      <c r="J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F7" s="47"/>
      <c r="G7" s="47"/>
      <c r="H7" s="47"/>
      <c r="I7" s="47"/>
    </row>
    <row r="8" spans="1:12" ht="15" customHeight="1" x14ac:dyDescent="0.7">
      <c r="B8" s="16"/>
      <c r="F8" s="47"/>
      <c r="G8" s="47"/>
      <c r="H8" s="47"/>
      <c r="I8" s="47"/>
    </row>
    <row r="9" spans="1:12" ht="15" customHeight="1" x14ac:dyDescent="0.4">
      <c r="B9" s="21" t="s">
        <v>85</v>
      </c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COUNTIF(F$26:H$178,"Alderley Edge 4")</f>
        <v>22</v>
      </c>
      <c r="B10" s="3" t="s">
        <v>183</v>
      </c>
      <c r="C10" s="74">
        <v>3362901</v>
      </c>
      <c r="D10" s="57">
        <f>COUNTIF(F$26:I$178,"3362901")</f>
        <v>22</v>
      </c>
      <c r="F10" s="57">
        <f>COUNTIF(F$26:F$178,"Alderley Edge 4")</f>
        <v>11</v>
      </c>
      <c r="G10" s="57"/>
      <c r="H10" s="57">
        <f>COUNTIF(H$26:H$178,"Alderley Edge 4")</f>
        <v>11</v>
      </c>
      <c r="I10" s="57">
        <f>COUNTIF(F$26:F$101,"Alderley Edge 4")</f>
        <v>6</v>
      </c>
      <c r="J10" s="57">
        <f>COUNTIF(F$102:F$178,"Alderley Edge 4")</f>
        <v>5</v>
      </c>
      <c r="K10" s="57">
        <f>COUNTIF(H$26:H$101,"Alderley Edge 4")</f>
        <v>5</v>
      </c>
      <c r="L10" s="57">
        <f>COUNTIF(H$102:H$178,"Alderley Edge 4")</f>
        <v>6</v>
      </c>
    </row>
    <row r="11" spans="1:12" ht="15" customHeight="1" x14ac:dyDescent="0.3">
      <c r="A11" s="47">
        <f>COUNTIF(F$26:H$178,"Crewe Vagrants 3")</f>
        <v>22</v>
      </c>
      <c r="B11" s="3" t="s">
        <v>218</v>
      </c>
      <c r="C11" s="74">
        <v>3358201</v>
      </c>
      <c r="D11" s="57">
        <f>COUNTIF(F$26:I$178,"3358201")</f>
        <v>22</v>
      </c>
      <c r="F11" s="57">
        <f>COUNTIF(F$26:F$178,"Crewe Vagrants 3")</f>
        <v>11</v>
      </c>
      <c r="G11" s="57"/>
      <c r="H11" s="57">
        <f>COUNTIF(H$26:H$178,"Crewe Vagrants 3")</f>
        <v>11</v>
      </c>
      <c r="I11" s="57">
        <f>COUNTIF(F$26:F$101,"Crewe Vagrants 3")</f>
        <v>5</v>
      </c>
      <c r="J11" s="57">
        <f>COUNTIF(F$102:F$178,"Crewe Vagrants 3")</f>
        <v>6</v>
      </c>
      <c r="K11" s="57">
        <f>COUNTIF(H$26:H$101,"Crewe Vagrants 3")</f>
        <v>6</v>
      </c>
      <c r="L11" s="57">
        <f>COUNTIF(H$102:H$178,"Crewe Vagrants 3")</f>
        <v>5</v>
      </c>
    </row>
    <row r="12" spans="1:12" ht="15" customHeight="1" x14ac:dyDescent="0.3">
      <c r="A12" s="47">
        <f>COUNTIF(F$26:H$178,"Crewe Vagrants 4")</f>
        <v>22</v>
      </c>
      <c r="B12" s="3" t="s">
        <v>242</v>
      </c>
      <c r="C12" s="53">
        <v>3358107</v>
      </c>
      <c r="D12" s="57">
        <f>COUNTIF(F$26:I$178,"3358107")</f>
        <v>22</v>
      </c>
      <c r="F12" s="57">
        <f>COUNTIF(F$26:F$178,"Crewe Vagrants 4")</f>
        <v>11</v>
      </c>
      <c r="G12" s="57"/>
      <c r="H12" s="57">
        <f>COUNTIF(H$26:H$178,"Crewe Vagrants 4")</f>
        <v>11</v>
      </c>
      <c r="I12" s="57">
        <f>COUNTIF(F$26:F$101,"Crewe Vagrants 4")</f>
        <v>6</v>
      </c>
      <c r="J12" s="57">
        <f>COUNTIF(F$102:F$178,"Crewe Vagrants 4")</f>
        <v>5</v>
      </c>
      <c r="K12" s="57">
        <f>COUNTIF(H$26:H$101,"Crewe Vagrants 4")</f>
        <v>5</v>
      </c>
      <c r="L12" s="57">
        <f>COUNTIF(H$102:H$178,"Crewe Vagrants 4")</f>
        <v>6</v>
      </c>
    </row>
    <row r="13" spans="1:12" ht="15" customHeight="1" x14ac:dyDescent="0.3">
      <c r="A13" s="47">
        <f>COUNTIF(F$26:H$178,"Deeside Ramblers 4")</f>
        <v>22</v>
      </c>
      <c r="B13" s="3" t="s">
        <v>185</v>
      </c>
      <c r="C13" s="74">
        <v>3357806</v>
      </c>
      <c r="D13" s="57">
        <f>COUNTIF(F$26:I$178,"3357806")</f>
        <v>22</v>
      </c>
      <c r="F13" s="57">
        <f>COUNTIF(F$26:F$178,"Deeside Ramblers 4")</f>
        <v>11</v>
      </c>
      <c r="G13" s="57"/>
      <c r="H13" s="57">
        <f>COUNTIF(H$26:H$178,"Deeside Ramblers 4")</f>
        <v>11</v>
      </c>
      <c r="I13" s="57">
        <f>COUNTIF(F$26:F$101,"Deeside Ramblers 4")</f>
        <v>6</v>
      </c>
      <c r="J13" s="57">
        <f>COUNTIF(F$102:F$178,"Deeside Ramblers 4")</f>
        <v>5</v>
      </c>
      <c r="K13" s="57">
        <f>COUNTIF(H$26:H$101,"Deeside Ramblers 4")</f>
        <v>5</v>
      </c>
      <c r="L13" s="57">
        <f>COUNTIF(H$102:H$178,"Deeside Ramblers 4")</f>
        <v>6</v>
      </c>
    </row>
    <row r="14" spans="1:12" ht="15" customHeight="1" x14ac:dyDescent="0.3">
      <c r="A14" s="47">
        <f>COUNTIF(F$26:H$178,"Deeside Ramblers 5")</f>
        <v>22</v>
      </c>
      <c r="B14" s="3" t="s">
        <v>186</v>
      </c>
      <c r="C14" s="74">
        <v>3357702</v>
      </c>
      <c r="D14" s="57">
        <f>COUNTIF(F$26:I$178,"3357702")</f>
        <v>22</v>
      </c>
      <c r="F14" s="57">
        <f>COUNTIF(F$26:F$178,"Deeside Ramblers 5")</f>
        <v>11</v>
      </c>
      <c r="G14" s="57"/>
      <c r="H14" s="57">
        <f>COUNTIF(H$26:H$178,"Deeside Ramblers 5")</f>
        <v>11</v>
      </c>
      <c r="I14" s="57">
        <f>COUNTIF(F$26:F$101,"Deeside Ramblers 5")</f>
        <v>6</v>
      </c>
      <c r="J14" s="57">
        <f>COUNTIF(F$102:F$178,"Deeside Ramblers 5")</f>
        <v>5</v>
      </c>
      <c r="K14" s="57">
        <f>COUNTIF(H$26:H$101,"Deeside Ramblers 5")</f>
        <v>5</v>
      </c>
      <c r="L14" s="57">
        <f>COUNTIF(H$102:H$178,"Deeside Ramblers 5")</f>
        <v>6</v>
      </c>
    </row>
    <row r="15" spans="1:12" ht="15" customHeight="1" x14ac:dyDescent="0.3">
      <c r="A15" s="47">
        <f>COUNTIF(F$26:H$178,"Knutsford 1")</f>
        <v>22</v>
      </c>
      <c r="B15" s="3" t="s">
        <v>141</v>
      </c>
      <c r="C15" s="74">
        <v>3125802</v>
      </c>
      <c r="D15" s="57">
        <f>COUNTIF(F$26:I$178,"3125802")</f>
        <v>22</v>
      </c>
      <c r="F15" s="57">
        <f>COUNTIF(F$26:F$178,"Knutsford 1")</f>
        <v>11</v>
      </c>
      <c r="G15" s="57"/>
      <c r="H15" s="57">
        <f>COUNTIF(H$26:H$178,"Knutsford 1")</f>
        <v>11</v>
      </c>
      <c r="I15" s="57">
        <f>COUNTIF(F$26:F$101,"Knutsford 1")</f>
        <v>6</v>
      </c>
      <c r="J15" s="57">
        <f>COUNTIF(F$102:F$178,"Knutsford 1")</f>
        <v>5</v>
      </c>
      <c r="K15" s="57">
        <f>COUNTIF(H$26:H$101,"Knutsford 1")</f>
        <v>5</v>
      </c>
      <c r="L15" s="57">
        <f>COUNTIF(H$102:H$178,"Knutsford 1")</f>
        <v>6</v>
      </c>
    </row>
    <row r="16" spans="1:12" x14ac:dyDescent="0.3">
      <c r="A16" s="47">
        <f>COUNTIF(F$26:H$178,"Knutsford 2")</f>
        <v>22</v>
      </c>
      <c r="B16" s="3" t="s">
        <v>220</v>
      </c>
      <c r="C16" s="53">
        <v>3354809</v>
      </c>
      <c r="D16" s="57">
        <f>COUNTIF(F$26:I$178,"3354809")</f>
        <v>22</v>
      </c>
      <c r="F16" s="57">
        <f>COUNTIF(F$26:F$178,"Knutsford 2")</f>
        <v>11</v>
      </c>
      <c r="G16" s="57"/>
      <c r="H16" s="57">
        <f>COUNTIF(H$26:H$178,"Knutsford 2")</f>
        <v>11</v>
      </c>
      <c r="I16" s="57">
        <f>COUNTIF(F$26:F$101,"Knutsford 2")</f>
        <v>5</v>
      </c>
      <c r="J16" s="57">
        <f>COUNTIF(F$102:F$178,"Knutsford 2")</f>
        <v>6</v>
      </c>
      <c r="K16" s="57">
        <f>COUNTIF(H$26:H$101,"Knutsford 2")</f>
        <v>6</v>
      </c>
      <c r="L16" s="57">
        <f>COUNTIF(H$102:H$178,"Knutsford 2")</f>
        <v>5</v>
      </c>
    </row>
    <row r="17" spans="1:12" x14ac:dyDescent="0.3">
      <c r="A17" s="47">
        <f>COUNTIF(F$26:H$178,"Macclesfield 2")</f>
        <v>22</v>
      </c>
      <c r="B17" s="104" t="s">
        <v>188</v>
      </c>
      <c r="C17" s="53">
        <v>3353508</v>
      </c>
      <c r="D17" s="57">
        <f>COUNTIF(F$26:I$178,"3353508")</f>
        <v>22</v>
      </c>
      <c r="F17" s="57">
        <f>COUNTIF(F$26:F$178,"Macclesfield 2")</f>
        <v>11</v>
      </c>
      <c r="G17" s="57"/>
      <c r="H17" s="57">
        <f>COUNTIF(H$26:H$178,"Macclesfield 2")</f>
        <v>11</v>
      </c>
      <c r="I17" s="57">
        <f>COUNTIF(F$26:F$101,"Macclesfield 2")</f>
        <v>5</v>
      </c>
      <c r="J17" s="57">
        <f>COUNTIF(F$102:F$178,"Macclesfield 2")</f>
        <v>6</v>
      </c>
      <c r="K17" s="57">
        <f>COUNTIF(H$26:H$101,"Macclesfield 2")</f>
        <v>6</v>
      </c>
      <c r="L17" s="57">
        <f>COUNTIF(H$102:H$178,"Macclesfield 2")</f>
        <v>5</v>
      </c>
    </row>
    <row r="18" spans="1:12" x14ac:dyDescent="0.3">
      <c r="A18" s="47">
        <f>COUNTIF(F$26:H$178,"Macclesfield 3")</f>
        <v>22</v>
      </c>
      <c r="B18" s="104" t="s">
        <v>221</v>
      </c>
      <c r="C18" s="53">
        <v>3353404</v>
      </c>
      <c r="D18" s="57">
        <f>COUNTIF(F$26:I$178,"3353404")</f>
        <v>22</v>
      </c>
      <c r="F18" s="57">
        <f>COUNTIF(F$26:F$178,"Macclesfield 3")</f>
        <v>11</v>
      </c>
      <c r="G18" s="57"/>
      <c r="H18" s="57">
        <f>COUNTIF(H$26:H$178,"Macclesfield 3")</f>
        <v>11</v>
      </c>
      <c r="I18" s="57">
        <f>COUNTIF(F$26:F$101,"Macclesfield 3")</f>
        <v>5</v>
      </c>
      <c r="J18" s="57">
        <f>COUNTIF(F$102:F$178,"Macclesfield 3")</f>
        <v>6</v>
      </c>
      <c r="K18" s="57">
        <f>COUNTIF(H$26:H$101,"Macclesfield 3")</f>
        <v>6</v>
      </c>
      <c r="L18" s="57">
        <f>COUNTIF(H$102:H$178,"Macclesfield 3")</f>
        <v>5</v>
      </c>
    </row>
    <row r="19" spans="1:12" x14ac:dyDescent="0.3">
      <c r="A19" s="47">
        <f>COUNTIF(F$26:H$178,"Sandbach 1")</f>
        <v>22</v>
      </c>
      <c r="B19" s="3" t="s">
        <v>189</v>
      </c>
      <c r="C19" s="74">
        <v>3350209</v>
      </c>
      <c r="D19" s="57">
        <f>COUNTIF(F$26:I$178,"3350209")</f>
        <v>22</v>
      </c>
      <c r="F19" s="57">
        <f>COUNTIF(F$26:F$178,"Sandbach 1")</f>
        <v>11</v>
      </c>
      <c r="G19" s="57"/>
      <c r="H19" s="57">
        <f>COUNTIF(H$26:H$178,"Sandbach 1")</f>
        <v>11</v>
      </c>
      <c r="I19" s="57">
        <f>COUNTIF(F$26:F$101,"Sandbach 1")</f>
        <v>5</v>
      </c>
      <c r="J19" s="57">
        <f>COUNTIF(F$102:F$178,"Sandbach 1")</f>
        <v>6</v>
      </c>
      <c r="K19" s="57">
        <f>COUNTIF(H$26:H$101,"Sandbach 1")</f>
        <v>6</v>
      </c>
      <c r="L19" s="57">
        <f>COUNTIF(H$102:H$178,"Sandbach 1")</f>
        <v>5</v>
      </c>
    </row>
    <row r="20" spans="1:12" x14ac:dyDescent="0.3">
      <c r="A20" s="47">
        <f>COUNTIF(F$26:H$178,"Triton 2")</f>
        <v>22</v>
      </c>
      <c r="B20" s="105" t="s">
        <v>144</v>
      </c>
      <c r="C20" s="53">
        <v>3347904</v>
      </c>
      <c r="D20" s="57">
        <f>COUNTIF(F$26:I$178,"3347904")</f>
        <v>22</v>
      </c>
      <c r="F20" s="57">
        <f>COUNTIF(F$26:F$178,"Triton 2")</f>
        <v>11</v>
      </c>
      <c r="G20" s="57"/>
      <c r="H20" s="57">
        <f>COUNTIF(H$26:H$178,"Triton 2")</f>
        <v>11</v>
      </c>
      <c r="I20" s="57">
        <f>COUNTIF(F$26:F$101,"Triton 2")</f>
        <v>5</v>
      </c>
      <c r="J20" s="57">
        <f>COUNTIF(F$102:F$178,"Triton 2")</f>
        <v>6</v>
      </c>
      <c r="K20" s="57">
        <f>COUNTIF(H$26:H$101,"Triton 2")</f>
        <v>6</v>
      </c>
      <c r="L20" s="57">
        <f>COUNTIF(H$102:H$178,"Triton 2")</f>
        <v>5</v>
      </c>
    </row>
    <row r="21" spans="1:12" x14ac:dyDescent="0.3">
      <c r="A21" s="47">
        <f>COUNTIF(F$26:H$178,"Winnington Park 2")</f>
        <v>22</v>
      </c>
      <c r="B21" s="3" t="s">
        <v>191</v>
      </c>
      <c r="C21" s="74">
        <v>3345708</v>
      </c>
      <c r="D21" s="57">
        <f>COUNTIF(F$26:I$178,"3345708")</f>
        <v>22</v>
      </c>
      <c r="F21" s="57">
        <f>COUNTIF(F$26:F$178,"Winnington Park 2")</f>
        <v>11</v>
      </c>
      <c r="G21" s="57"/>
      <c r="H21" s="57">
        <f>COUNTIF(H$26:H$178,"Winnington Park 2")</f>
        <v>11</v>
      </c>
      <c r="I21" s="57">
        <f>COUNTIF(F$26:F$101,"Winnington Park 2")</f>
        <v>6</v>
      </c>
      <c r="J21" s="57">
        <f>COUNTIF(F$102:F$178,"Winnington Park 2")</f>
        <v>5</v>
      </c>
      <c r="K21" s="57">
        <f>COUNTIF(H$26:H$101,"Winnington Park 2")</f>
        <v>5</v>
      </c>
      <c r="L21" s="57">
        <f>COUNTIF(H$102:H$178,"Winnington Park 2")</f>
        <v>6</v>
      </c>
    </row>
    <row r="22" spans="1:12" x14ac:dyDescent="0.3">
      <c r="F22" s="47"/>
      <c r="G22" s="47"/>
      <c r="H22" s="47"/>
      <c r="I22" s="47"/>
    </row>
    <row r="23" spans="1:12" ht="21" x14ac:dyDescent="0.4">
      <c r="B23" s="22" t="s">
        <v>93</v>
      </c>
    </row>
    <row r="24" spans="1:12" s="3" customFormat="1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J24" s="14"/>
      <c r="K24" s="51"/>
    </row>
    <row r="26" spans="1:12" x14ac:dyDescent="0.3">
      <c r="B26" s="44">
        <v>45913</v>
      </c>
      <c r="C26" s="3" t="s">
        <v>416</v>
      </c>
      <c r="D26" s="3" t="s">
        <v>494</v>
      </c>
      <c r="E26" s="101"/>
      <c r="F26" s="4" t="s">
        <v>188</v>
      </c>
      <c r="G26" s="4">
        <v>3353508</v>
      </c>
      <c r="H26" s="3" t="s">
        <v>221</v>
      </c>
      <c r="I26" s="4">
        <v>3353404</v>
      </c>
      <c r="J26" s="4"/>
    </row>
    <row r="27" spans="1:12" x14ac:dyDescent="0.3">
      <c r="B27" s="44">
        <v>45913</v>
      </c>
      <c r="C27" s="3" t="s">
        <v>416</v>
      </c>
      <c r="D27" s="3" t="s">
        <v>494</v>
      </c>
      <c r="E27" s="101"/>
      <c r="F27" s="4" t="s">
        <v>141</v>
      </c>
      <c r="G27" s="4">
        <v>3125802</v>
      </c>
      <c r="H27" s="3" t="s">
        <v>220</v>
      </c>
      <c r="I27" s="4">
        <v>3354809</v>
      </c>
      <c r="J27" s="4"/>
    </row>
    <row r="28" spans="1:12" x14ac:dyDescent="0.3">
      <c r="B28" s="44">
        <v>45913</v>
      </c>
      <c r="C28" s="3" t="s">
        <v>416</v>
      </c>
      <c r="D28" s="3" t="s">
        <v>494</v>
      </c>
      <c r="E28" s="101"/>
      <c r="F28" s="4" t="s">
        <v>186</v>
      </c>
      <c r="G28" s="4">
        <v>3357702</v>
      </c>
      <c r="H28" s="3" t="s">
        <v>218</v>
      </c>
      <c r="I28" s="4">
        <v>3358201</v>
      </c>
      <c r="J28" s="4"/>
    </row>
    <row r="29" spans="1:12" x14ac:dyDescent="0.3">
      <c r="B29" s="44">
        <v>45913</v>
      </c>
      <c r="C29" s="3" t="s">
        <v>416</v>
      </c>
      <c r="D29" s="3" t="s">
        <v>494</v>
      </c>
      <c r="E29" s="101"/>
      <c r="F29" s="4" t="s">
        <v>242</v>
      </c>
      <c r="G29" s="4">
        <v>3358107</v>
      </c>
      <c r="H29" s="3" t="s">
        <v>189</v>
      </c>
      <c r="I29" s="4">
        <v>3350209</v>
      </c>
      <c r="J29" s="4"/>
    </row>
    <row r="30" spans="1:12" x14ac:dyDescent="0.3">
      <c r="B30" s="44">
        <v>45913</v>
      </c>
      <c r="C30" s="3" t="s">
        <v>416</v>
      </c>
      <c r="D30" s="3" t="s">
        <v>494</v>
      </c>
      <c r="E30" s="101"/>
      <c r="F30" s="4" t="s">
        <v>185</v>
      </c>
      <c r="G30" s="4">
        <v>3357806</v>
      </c>
      <c r="H30" s="3" t="s">
        <v>144</v>
      </c>
      <c r="I30" s="4">
        <v>3347904</v>
      </c>
      <c r="J30" s="4"/>
    </row>
    <row r="31" spans="1:12" x14ac:dyDescent="0.3">
      <c r="B31" s="44">
        <v>45913</v>
      </c>
      <c r="C31" s="3" t="s">
        <v>416</v>
      </c>
      <c r="D31" s="3" t="s">
        <v>494</v>
      </c>
      <c r="E31" s="101"/>
      <c r="F31" s="4" t="s">
        <v>191</v>
      </c>
      <c r="G31" s="4">
        <v>3345708</v>
      </c>
      <c r="H31" s="3" t="s">
        <v>183</v>
      </c>
      <c r="I31" s="4">
        <v>3362901</v>
      </c>
    </row>
    <row r="32" spans="1:12" x14ac:dyDescent="0.3">
      <c r="B32" s="4"/>
      <c r="E32" s="101"/>
      <c r="F32" s="4"/>
      <c r="J32" s="4"/>
    </row>
    <row r="33" spans="2:10" x14ac:dyDescent="0.3">
      <c r="B33" s="44">
        <v>45920</v>
      </c>
      <c r="C33" s="3" t="s">
        <v>416</v>
      </c>
      <c r="D33" s="3" t="s">
        <v>494</v>
      </c>
      <c r="E33" s="101"/>
      <c r="F33" s="3" t="s">
        <v>183</v>
      </c>
      <c r="G33" s="4">
        <v>3362901</v>
      </c>
      <c r="H33" s="3" t="s">
        <v>188</v>
      </c>
      <c r="I33" s="4">
        <v>3353508</v>
      </c>
      <c r="J33" s="4"/>
    </row>
    <row r="34" spans="2:10" x14ac:dyDescent="0.3">
      <c r="B34" s="44">
        <v>45920</v>
      </c>
      <c r="C34" s="3" t="s">
        <v>416</v>
      </c>
      <c r="D34" s="3" t="s">
        <v>494</v>
      </c>
      <c r="E34" s="101"/>
      <c r="F34" s="3" t="s">
        <v>144</v>
      </c>
      <c r="G34" s="4">
        <v>3347904</v>
      </c>
      <c r="H34" s="4" t="s">
        <v>191</v>
      </c>
      <c r="I34" s="4">
        <v>3345708</v>
      </c>
      <c r="J34" s="4"/>
    </row>
    <row r="35" spans="2:10" x14ac:dyDescent="0.3">
      <c r="B35" s="44">
        <v>45920</v>
      </c>
      <c r="C35" s="3" t="s">
        <v>416</v>
      </c>
      <c r="D35" s="3" t="s">
        <v>494</v>
      </c>
      <c r="E35" s="101"/>
      <c r="F35" s="3" t="s">
        <v>189</v>
      </c>
      <c r="G35" s="4">
        <v>3350209</v>
      </c>
      <c r="H35" s="4" t="s">
        <v>185</v>
      </c>
      <c r="I35" s="4">
        <v>3357806</v>
      </c>
    </row>
    <row r="36" spans="2:10" x14ac:dyDescent="0.3">
      <c r="B36" s="44">
        <v>45920</v>
      </c>
      <c r="C36" s="3" t="s">
        <v>416</v>
      </c>
      <c r="D36" s="3" t="s">
        <v>494</v>
      </c>
      <c r="E36" s="101"/>
      <c r="F36" s="3" t="s">
        <v>221</v>
      </c>
      <c r="G36" s="4">
        <v>3353404</v>
      </c>
      <c r="H36" s="4" t="s">
        <v>141</v>
      </c>
      <c r="I36" s="4">
        <v>3125802</v>
      </c>
      <c r="J36" s="4"/>
    </row>
    <row r="37" spans="2:10" x14ac:dyDescent="0.3">
      <c r="B37" s="44">
        <v>45920</v>
      </c>
      <c r="C37" s="3" t="s">
        <v>416</v>
      </c>
      <c r="D37" s="3" t="s">
        <v>494</v>
      </c>
      <c r="E37" s="101"/>
      <c r="F37" s="3" t="s">
        <v>218</v>
      </c>
      <c r="G37" s="4">
        <v>3358201</v>
      </c>
      <c r="H37" s="4" t="s">
        <v>242</v>
      </c>
      <c r="I37" s="4">
        <v>3358107</v>
      </c>
    </row>
    <row r="38" spans="2:10" x14ac:dyDescent="0.3">
      <c r="B38" s="44">
        <v>45920</v>
      </c>
      <c r="C38" s="3" t="s">
        <v>416</v>
      </c>
      <c r="D38" s="3" t="s">
        <v>494</v>
      </c>
      <c r="E38" s="101"/>
      <c r="F38" s="3" t="s">
        <v>220</v>
      </c>
      <c r="G38" s="4">
        <v>3354809</v>
      </c>
      <c r="H38" s="4" t="s">
        <v>186</v>
      </c>
      <c r="I38" s="4">
        <v>3357702</v>
      </c>
      <c r="J38" s="4"/>
    </row>
    <row r="39" spans="2:10" x14ac:dyDescent="0.3">
      <c r="B39" s="4"/>
      <c r="E39" s="101"/>
      <c r="F39" s="4"/>
      <c r="J39" s="4"/>
    </row>
    <row r="40" spans="2:10" x14ac:dyDescent="0.3">
      <c r="B40" s="44">
        <v>45927</v>
      </c>
      <c r="C40" s="3" t="s">
        <v>416</v>
      </c>
      <c r="D40" s="3" t="s">
        <v>494</v>
      </c>
      <c r="E40" s="101"/>
      <c r="F40" s="3" t="s">
        <v>183</v>
      </c>
      <c r="G40" s="4">
        <v>3362901</v>
      </c>
      <c r="H40" s="3" t="s">
        <v>144</v>
      </c>
      <c r="I40" s="4">
        <v>3347904</v>
      </c>
      <c r="J40" s="4"/>
    </row>
    <row r="41" spans="2:10" x14ac:dyDescent="0.3">
      <c r="B41" s="44">
        <v>45927</v>
      </c>
      <c r="C41" s="3" t="s">
        <v>416</v>
      </c>
      <c r="D41" s="3" t="s">
        <v>494</v>
      </c>
      <c r="E41" s="101"/>
      <c r="F41" s="4" t="s">
        <v>141</v>
      </c>
      <c r="G41" s="4">
        <v>3125802</v>
      </c>
      <c r="H41" s="3" t="s">
        <v>188</v>
      </c>
      <c r="I41" s="4">
        <v>3353508</v>
      </c>
      <c r="J41" s="4"/>
    </row>
    <row r="42" spans="2:10" x14ac:dyDescent="0.3">
      <c r="B42" s="44">
        <v>45927</v>
      </c>
      <c r="C42" s="3" t="s">
        <v>416</v>
      </c>
      <c r="D42" s="3" t="s">
        <v>494</v>
      </c>
      <c r="E42" s="101"/>
      <c r="F42" s="4" t="s">
        <v>186</v>
      </c>
      <c r="G42" s="4">
        <v>3357702</v>
      </c>
      <c r="H42" s="3" t="s">
        <v>221</v>
      </c>
      <c r="I42" s="4">
        <v>3353404</v>
      </c>
      <c r="J42" s="4"/>
    </row>
    <row r="43" spans="2:10" x14ac:dyDescent="0.3">
      <c r="B43" s="44">
        <v>45927</v>
      </c>
      <c r="C43" s="3" t="s">
        <v>416</v>
      </c>
      <c r="D43" s="3" t="s">
        <v>494</v>
      </c>
      <c r="E43" s="101"/>
      <c r="F43" s="4" t="s">
        <v>242</v>
      </c>
      <c r="G43" s="4">
        <v>3358107</v>
      </c>
      <c r="H43" s="3" t="s">
        <v>220</v>
      </c>
      <c r="I43" s="4">
        <v>3354809</v>
      </c>
    </row>
    <row r="44" spans="2:10" x14ac:dyDescent="0.3">
      <c r="B44" s="44">
        <v>45927</v>
      </c>
      <c r="C44" s="3" t="s">
        <v>416</v>
      </c>
      <c r="D44" s="3" t="s">
        <v>494</v>
      </c>
      <c r="E44" s="101"/>
      <c r="F44" s="4" t="s">
        <v>185</v>
      </c>
      <c r="G44" s="4">
        <v>3357806</v>
      </c>
      <c r="H44" s="3" t="s">
        <v>218</v>
      </c>
      <c r="I44" s="4">
        <v>3358201</v>
      </c>
      <c r="J44" s="4"/>
    </row>
    <row r="45" spans="2:10" x14ac:dyDescent="0.3">
      <c r="B45" s="44">
        <v>45927</v>
      </c>
      <c r="C45" s="3" t="s">
        <v>416</v>
      </c>
      <c r="D45" s="3" t="s">
        <v>494</v>
      </c>
      <c r="E45" s="101"/>
      <c r="F45" s="4" t="s">
        <v>191</v>
      </c>
      <c r="G45" s="4">
        <v>3345708</v>
      </c>
      <c r="H45" s="3" t="s">
        <v>189</v>
      </c>
      <c r="I45" s="4">
        <v>3350209</v>
      </c>
    </row>
    <row r="46" spans="2:10" x14ac:dyDescent="0.3">
      <c r="B46" s="4"/>
      <c r="E46" s="101"/>
      <c r="F46" s="4"/>
      <c r="J46" s="4"/>
    </row>
    <row r="47" spans="2:10" x14ac:dyDescent="0.3">
      <c r="B47" s="44">
        <v>45934</v>
      </c>
      <c r="C47" s="3" t="s">
        <v>416</v>
      </c>
      <c r="D47" s="3" t="s">
        <v>494</v>
      </c>
      <c r="E47" s="101"/>
      <c r="F47" s="4" t="s">
        <v>188</v>
      </c>
      <c r="G47" s="4">
        <v>3353508</v>
      </c>
      <c r="H47" s="4" t="s">
        <v>186</v>
      </c>
      <c r="I47" s="4">
        <v>3357702</v>
      </c>
      <c r="J47" s="4"/>
    </row>
    <row r="48" spans="2:10" x14ac:dyDescent="0.3">
      <c r="B48" s="44">
        <v>45934</v>
      </c>
      <c r="C48" s="3" t="s">
        <v>416</v>
      </c>
      <c r="D48" s="3" t="s">
        <v>494</v>
      </c>
      <c r="E48" s="101"/>
      <c r="F48" s="4" t="s">
        <v>141</v>
      </c>
      <c r="G48" s="4">
        <v>3125802</v>
      </c>
      <c r="H48" s="3" t="s">
        <v>183</v>
      </c>
      <c r="I48" s="4">
        <v>3362901</v>
      </c>
      <c r="J48" s="4"/>
    </row>
    <row r="49" spans="2:10" x14ac:dyDescent="0.3">
      <c r="B49" s="44">
        <v>45934</v>
      </c>
      <c r="C49" s="3" t="s">
        <v>416</v>
      </c>
      <c r="D49" s="3" t="s">
        <v>494</v>
      </c>
      <c r="E49" s="101"/>
      <c r="F49" s="3" t="s">
        <v>189</v>
      </c>
      <c r="G49" s="4">
        <v>3350209</v>
      </c>
      <c r="H49" s="3" t="s">
        <v>144</v>
      </c>
      <c r="I49" s="4">
        <v>3347904</v>
      </c>
    </row>
    <row r="50" spans="2:10" x14ac:dyDescent="0.3">
      <c r="B50" s="44">
        <v>45934</v>
      </c>
      <c r="C50" s="3" t="s">
        <v>416</v>
      </c>
      <c r="D50" s="3" t="s">
        <v>494</v>
      </c>
      <c r="E50" s="101"/>
      <c r="F50" s="3" t="s">
        <v>221</v>
      </c>
      <c r="G50" s="4">
        <v>3353404</v>
      </c>
      <c r="H50" s="4" t="s">
        <v>242</v>
      </c>
      <c r="I50" s="4">
        <v>3358107</v>
      </c>
      <c r="J50" s="4"/>
    </row>
    <row r="51" spans="2:10" x14ac:dyDescent="0.3">
      <c r="B51" s="44">
        <v>45934</v>
      </c>
      <c r="C51" s="3" t="s">
        <v>416</v>
      </c>
      <c r="D51" s="3" t="s">
        <v>494</v>
      </c>
      <c r="E51" s="101"/>
      <c r="F51" s="3" t="s">
        <v>218</v>
      </c>
      <c r="G51" s="4">
        <v>3358201</v>
      </c>
      <c r="H51" s="4" t="s">
        <v>191</v>
      </c>
      <c r="I51" s="4">
        <v>3345708</v>
      </c>
      <c r="J51" s="4"/>
    </row>
    <row r="52" spans="2:10" x14ac:dyDescent="0.3">
      <c r="B52" s="44">
        <v>45934</v>
      </c>
      <c r="C52" s="3" t="s">
        <v>416</v>
      </c>
      <c r="D52" s="3" t="s">
        <v>494</v>
      </c>
      <c r="E52" s="101"/>
      <c r="F52" s="3" t="s">
        <v>220</v>
      </c>
      <c r="G52" s="4">
        <v>3354809</v>
      </c>
      <c r="H52" s="4" t="s">
        <v>185</v>
      </c>
      <c r="I52" s="4">
        <v>3357806</v>
      </c>
      <c r="J52" s="4"/>
    </row>
    <row r="53" spans="2:10" x14ac:dyDescent="0.3">
      <c r="B53" s="4"/>
      <c r="E53" s="101"/>
      <c r="F53" s="4"/>
      <c r="J53" s="4"/>
    </row>
    <row r="54" spans="2:10" x14ac:dyDescent="0.3">
      <c r="B54" s="44">
        <v>45941</v>
      </c>
      <c r="C54" s="3" t="s">
        <v>416</v>
      </c>
      <c r="D54" s="3" t="s">
        <v>494</v>
      </c>
      <c r="E54" s="101"/>
      <c r="F54" s="3" t="s">
        <v>183</v>
      </c>
      <c r="G54" s="4">
        <v>3362901</v>
      </c>
      <c r="H54" s="3" t="s">
        <v>189</v>
      </c>
      <c r="I54" s="4">
        <v>3350209</v>
      </c>
      <c r="J54" s="4"/>
    </row>
    <row r="55" spans="2:10" x14ac:dyDescent="0.3">
      <c r="B55" s="44">
        <v>45941</v>
      </c>
      <c r="C55" s="3" t="s">
        <v>416</v>
      </c>
      <c r="D55" s="3" t="s">
        <v>494</v>
      </c>
      <c r="E55" s="101"/>
      <c r="F55" s="3" t="s">
        <v>144</v>
      </c>
      <c r="G55" s="4">
        <v>3347904</v>
      </c>
      <c r="H55" s="3" t="s">
        <v>218</v>
      </c>
      <c r="I55" s="4">
        <v>3358201</v>
      </c>
    </row>
    <row r="56" spans="2:10" x14ac:dyDescent="0.3">
      <c r="B56" s="44">
        <v>45941</v>
      </c>
      <c r="C56" s="3" t="s">
        <v>416</v>
      </c>
      <c r="D56" s="3" t="s">
        <v>494</v>
      </c>
      <c r="E56" s="101"/>
      <c r="F56" s="4" t="s">
        <v>186</v>
      </c>
      <c r="G56" s="4">
        <v>3357702</v>
      </c>
      <c r="H56" s="4" t="s">
        <v>141</v>
      </c>
      <c r="I56" s="4">
        <v>3125802</v>
      </c>
      <c r="J56" s="4"/>
    </row>
    <row r="57" spans="2:10" x14ac:dyDescent="0.3">
      <c r="B57" s="44">
        <v>45941</v>
      </c>
      <c r="C57" s="3" t="s">
        <v>416</v>
      </c>
      <c r="D57" s="3" t="s">
        <v>494</v>
      </c>
      <c r="E57" s="101"/>
      <c r="F57" s="4" t="s">
        <v>242</v>
      </c>
      <c r="G57" s="4">
        <v>3358107</v>
      </c>
      <c r="H57" s="3" t="s">
        <v>188</v>
      </c>
      <c r="I57" s="4">
        <v>3353508</v>
      </c>
      <c r="J57" s="4"/>
    </row>
    <row r="58" spans="2:10" x14ac:dyDescent="0.3">
      <c r="B58" s="44">
        <v>45941</v>
      </c>
      <c r="C58" s="3" t="s">
        <v>416</v>
      </c>
      <c r="D58" s="3" t="s">
        <v>494</v>
      </c>
      <c r="E58" s="101"/>
      <c r="F58" s="4" t="s">
        <v>185</v>
      </c>
      <c r="G58" s="4">
        <v>3357806</v>
      </c>
      <c r="H58" s="3" t="s">
        <v>221</v>
      </c>
      <c r="I58" s="4">
        <v>3353404</v>
      </c>
      <c r="J58" s="4"/>
    </row>
    <row r="59" spans="2:10" x14ac:dyDescent="0.3">
      <c r="B59" s="44">
        <v>45941</v>
      </c>
      <c r="C59" s="3" t="s">
        <v>416</v>
      </c>
      <c r="D59" s="3" t="s">
        <v>494</v>
      </c>
      <c r="E59" s="101"/>
      <c r="F59" s="4" t="s">
        <v>191</v>
      </c>
      <c r="G59" s="4">
        <v>3345708</v>
      </c>
      <c r="H59" s="3" t="s">
        <v>220</v>
      </c>
      <c r="I59" s="4">
        <v>3354809</v>
      </c>
      <c r="J59" s="4"/>
    </row>
    <row r="60" spans="2:10" x14ac:dyDescent="0.3">
      <c r="B60" s="4"/>
      <c r="E60" s="101"/>
      <c r="F60" s="4"/>
      <c r="J60" s="4"/>
    </row>
    <row r="61" spans="2:10" x14ac:dyDescent="0.3">
      <c r="B61" s="44">
        <v>45948</v>
      </c>
      <c r="C61" s="3" t="s">
        <v>416</v>
      </c>
      <c r="D61" s="3" t="s">
        <v>494</v>
      </c>
      <c r="E61" s="101"/>
      <c r="F61" s="4" t="s">
        <v>188</v>
      </c>
      <c r="G61" s="4">
        <v>3353508</v>
      </c>
      <c r="H61" s="4" t="s">
        <v>185</v>
      </c>
      <c r="I61" s="4">
        <v>3357806</v>
      </c>
    </row>
    <row r="62" spans="2:10" x14ac:dyDescent="0.3">
      <c r="B62" s="44">
        <v>45948</v>
      </c>
      <c r="C62" s="3" t="s">
        <v>416</v>
      </c>
      <c r="D62" s="3" t="s">
        <v>494</v>
      </c>
      <c r="E62" s="101"/>
      <c r="F62" s="4" t="s">
        <v>141</v>
      </c>
      <c r="G62" s="4">
        <v>3125802</v>
      </c>
      <c r="H62" s="4" t="s">
        <v>242</v>
      </c>
      <c r="I62" s="4">
        <v>3358107</v>
      </c>
      <c r="J62" s="4"/>
    </row>
    <row r="63" spans="2:10" x14ac:dyDescent="0.3">
      <c r="B63" s="44">
        <v>45948</v>
      </c>
      <c r="C63" s="3" t="s">
        <v>416</v>
      </c>
      <c r="D63" s="3" t="s">
        <v>494</v>
      </c>
      <c r="E63" s="101"/>
      <c r="F63" s="4" t="s">
        <v>186</v>
      </c>
      <c r="G63" s="4">
        <v>3357702</v>
      </c>
      <c r="H63" s="3" t="s">
        <v>183</v>
      </c>
      <c r="I63" s="4">
        <v>3362901</v>
      </c>
      <c r="J63" s="4"/>
    </row>
    <row r="64" spans="2:10" x14ac:dyDescent="0.3">
      <c r="B64" s="44">
        <v>45948</v>
      </c>
      <c r="C64" s="3" t="s">
        <v>416</v>
      </c>
      <c r="D64" s="3" t="s">
        <v>494</v>
      </c>
      <c r="E64" s="101"/>
      <c r="F64" s="3" t="s">
        <v>221</v>
      </c>
      <c r="G64" s="4">
        <v>3353404</v>
      </c>
      <c r="H64" s="4" t="s">
        <v>191</v>
      </c>
      <c r="I64" s="4">
        <v>3345708</v>
      </c>
      <c r="J64" s="4"/>
    </row>
    <row r="65" spans="2:10" x14ac:dyDescent="0.3">
      <c r="B65" s="44">
        <v>45948</v>
      </c>
      <c r="C65" s="3" t="s">
        <v>416</v>
      </c>
      <c r="D65" s="3" t="s">
        <v>494</v>
      </c>
      <c r="E65" s="101"/>
      <c r="F65" s="3" t="s">
        <v>218</v>
      </c>
      <c r="G65" s="4">
        <v>3358201</v>
      </c>
      <c r="H65" s="3" t="s">
        <v>189</v>
      </c>
      <c r="I65" s="4">
        <v>3350209</v>
      </c>
      <c r="J65" s="4"/>
    </row>
    <row r="66" spans="2:10" x14ac:dyDescent="0.3">
      <c r="B66" s="44">
        <v>45948</v>
      </c>
      <c r="C66" s="3" t="s">
        <v>416</v>
      </c>
      <c r="D66" s="3" t="s">
        <v>494</v>
      </c>
      <c r="E66" s="101"/>
      <c r="F66" s="3" t="s">
        <v>220</v>
      </c>
      <c r="G66" s="4">
        <v>3354809</v>
      </c>
      <c r="H66" s="3" t="s">
        <v>144</v>
      </c>
      <c r="I66" s="4">
        <v>3347904</v>
      </c>
      <c r="J66" s="4"/>
    </row>
    <row r="67" spans="2:10" x14ac:dyDescent="0.3">
      <c r="B67" s="4"/>
      <c r="E67" s="101"/>
      <c r="F67" s="4"/>
    </row>
    <row r="68" spans="2:10" x14ac:dyDescent="0.3">
      <c r="B68" s="44">
        <v>45962</v>
      </c>
      <c r="C68" s="3" t="s">
        <v>416</v>
      </c>
      <c r="D68" s="3" t="s">
        <v>494</v>
      </c>
      <c r="E68" s="101"/>
      <c r="F68" s="3" t="s">
        <v>183</v>
      </c>
      <c r="G68" s="4">
        <v>3362901</v>
      </c>
      <c r="H68" s="3" t="s">
        <v>218</v>
      </c>
      <c r="I68" s="4">
        <v>3358201</v>
      </c>
      <c r="J68" s="4"/>
    </row>
    <row r="69" spans="2:10" x14ac:dyDescent="0.3">
      <c r="B69" s="44">
        <v>45962</v>
      </c>
      <c r="C69" s="3" t="s">
        <v>416</v>
      </c>
      <c r="D69" s="3" t="s">
        <v>494</v>
      </c>
      <c r="E69" s="101"/>
      <c r="F69" s="3" t="s">
        <v>144</v>
      </c>
      <c r="G69" s="4">
        <v>3347904</v>
      </c>
      <c r="H69" s="3" t="s">
        <v>221</v>
      </c>
      <c r="I69" s="4">
        <v>3353404</v>
      </c>
    </row>
    <row r="70" spans="2:10" x14ac:dyDescent="0.3">
      <c r="B70" s="44">
        <v>45962</v>
      </c>
      <c r="C70" s="3" t="s">
        <v>416</v>
      </c>
      <c r="D70" s="3" t="s">
        <v>494</v>
      </c>
      <c r="E70" s="101"/>
      <c r="F70" s="3" t="s">
        <v>189</v>
      </c>
      <c r="G70" s="4">
        <v>3350209</v>
      </c>
      <c r="H70" s="3" t="s">
        <v>220</v>
      </c>
      <c r="I70" s="4">
        <v>3354809</v>
      </c>
      <c r="J70" s="4"/>
    </row>
    <row r="71" spans="2:10" x14ac:dyDescent="0.3">
      <c r="B71" s="44">
        <v>45962</v>
      </c>
      <c r="C71" s="3" t="s">
        <v>416</v>
      </c>
      <c r="D71" s="3" t="s">
        <v>494</v>
      </c>
      <c r="E71" s="101"/>
      <c r="F71" s="4" t="s">
        <v>242</v>
      </c>
      <c r="G71" s="4">
        <v>3358107</v>
      </c>
      <c r="H71" s="4" t="s">
        <v>186</v>
      </c>
      <c r="I71" s="4">
        <v>3357702</v>
      </c>
      <c r="J71" s="4"/>
    </row>
    <row r="72" spans="2:10" x14ac:dyDescent="0.3">
      <c r="B72" s="44">
        <v>45962</v>
      </c>
      <c r="C72" s="3" t="s">
        <v>416</v>
      </c>
      <c r="D72" s="3" t="s">
        <v>494</v>
      </c>
      <c r="E72" s="101"/>
      <c r="F72" s="4" t="s">
        <v>185</v>
      </c>
      <c r="G72" s="4">
        <v>3357806</v>
      </c>
      <c r="H72" s="4" t="s">
        <v>141</v>
      </c>
      <c r="I72" s="4">
        <v>3125802</v>
      </c>
      <c r="J72" s="4"/>
    </row>
    <row r="73" spans="2:10" x14ac:dyDescent="0.3">
      <c r="B73" s="44">
        <v>45962</v>
      </c>
      <c r="C73" s="3" t="s">
        <v>416</v>
      </c>
      <c r="D73" s="3" t="s">
        <v>494</v>
      </c>
      <c r="E73" s="101"/>
      <c r="F73" s="4" t="s">
        <v>191</v>
      </c>
      <c r="G73" s="4">
        <v>3345708</v>
      </c>
      <c r="H73" s="3" t="s">
        <v>188</v>
      </c>
      <c r="I73" s="4">
        <v>3353508</v>
      </c>
    </row>
    <row r="74" spans="2:10" x14ac:dyDescent="0.3">
      <c r="B74" s="4"/>
      <c r="E74" s="101"/>
      <c r="F74" s="4"/>
      <c r="J74" s="4"/>
    </row>
    <row r="75" spans="2:10" x14ac:dyDescent="0.3">
      <c r="B75" s="44">
        <v>45969</v>
      </c>
      <c r="C75" s="3" t="s">
        <v>416</v>
      </c>
      <c r="D75" s="3" t="s">
        <v>494</v>
      </c>
      <c r="E75" s="101"/>
      <c r="F75" s="4" t="s">
        <v>188</v>
      </c>
      <c r="G75" s="4">
        <v>3353508</v>
      </c>
      <c r="H75" s="3" t="s">
        <v>144</v>
      </c>
      <c r="I75" s="4">
        <v>3347904</v>
      </c>
      <c r="J75" s="4"/>
    </row>
    <row r="76" spans="2:10" x14ac:dyDescent="0.3">
      <c r="B76" s="44">
        <v>45969</v>
      </c>
      <c r="C76" s="3" t="s">
        <v>416</v>
      </c>
      <c r="D76" s="3" t="s">
        <v>494</v>
      </c>
      <c r="E76" s="101"/>
      <c r="F76" s="4" t="s">
        <v>141</v>
      </c>
      <c r="G76" s="4">
        <v>3125802</v>
      </c>
      <c r="H76" s="4" t="s">
        <v>191</v>
      </c>
      <c r="I76" s="4">
        <v>3345708</v>
      </c>
      <c r="J76" s="4"/>
    </row>
    <row r="77" spans="2:10" x14ac:dyDescent="0.3">
      <c r="B77" s="44">
        <v>45969</v>
      </c>
      <c r="C77" s="3" t="s">
        <v>416</v>
      </c>
      <c r="D77" s="3" t="s">
        <v>494</v>
      </c>
      <c r="E77" s="101"/>
      <c r="F77" s="4" t="s">
        <v>186</v>
      </c>
      <c r="G77" s="4">
        <v>3357702</v>
      </c>
      <c r="H77" s="4" t="s">
        <v>185</v>
      </c>
      <c r="I77" s="4">
        <v>3357806</v>
      </c>
      <c r="J77" s="4"/>
    </row>
    <row r="78" spans="2:10" x14ac:dyDescent="0.3">
      <c r="B78" s="44">
        <v>45969</v>
      </c>
      <c r="C78" s="3" t="s">
        <v>416</v>
      </c>
      <c r="D78" s="3" t="s">
        <v>494</v>
      </c>
      <c r="E78" s="101"/>
      <c r="F78" s="4" t="s">
        <v>242</v>
      </c>
      <c r="G78" s="4">
        <v>3358107</v>
      </c>
      <c r="H78" s="3" t="s">
        <v>183</v>
      </c>
      <c r="I78" s="4">
        <v>3362901</v>
      </c>
      <c r="J78" s="4"/>
    </row>
    <row r="79" spans="2:10" x14ac:dyDescent="0.3">
      <c r="B79" s="44">
        <v>45969</v>
      </c>
      <c r="C79" s="3" t="s">
        <v>416</v>
      </c>
      <c r="D79" s="3" t="s">
        <v>494</v>
      </c>
      <c r="E79" s="101"/>
      <c r="F79" s="3" t="s">
        <v>221</v>
      </c>
      <c r="G79" s="4">
        <v>3353404</v>
      </c>
      <c r="H79" s="3" t="s">
        <v>189</v>
      </c>
      <c r="I79" s="4">
        <v>3350209</v>
      </c>
    </row>
    <row r="80" spans="2:10" x14ac:dyDescent="0.3">
      <c r="B80" s="44">
        <v>45969</v>
      </c>
      <c r="C80" s="3" t="s">
        <v>416</v>
      </c>
      <c r="D80" s="3" t="s">
        <v>494</v>
      </c>
      <c r="E80" s="101"/>
      <c r="F80" s="3" t="s">
        <v>220</v>
      </c>
      <c r="G80" s="4">
        <v>3354809</v>
      </c>
      <c r="H80" s="3" t="s">
        <v>218</v>
      </c>
      <c r="I80" s="4">
        <v>3358201</v>
      </c>
      <c r="J80" s="4"/>
    </row>
    <row r="81" spans="2:10" x14ac:dyDescent="0.3">
      <c r="B81" s="4"/>
      <c r="E81" s="101"/>
      <c r="F81" s="4"/>
      <c r="J81" s="4"/>
    </row>
    <row r="82" spans="2:10" x14ac:dyDescent="0.3">
      <c r="B82" s="44">
        <v>45976</v>
      </c>
      <c r="C82" s="3" t="s">
        <v>416</v>
      </c>
      <c r="D82" s="3" t="s">
        <v>494</v>
      </c>
      <c r="E82" s="101"/>
      <c r="F82" s="3" t="s">
        <v>183</v>
      </c>
      <c r="G82" s="4">
        <v>3362901</v>
      </c>
      <c r="H82" s="3" t="s">
        <v>220</v>
      </c>
      <c r="I82" s="4">
        <v>3354809</v>
      </c>
      <c r="J82" s="4"/>
    </row>
    <row r="83" spans="2:10" x14ac:dyDescent="0.3">
      <c r="B83" s="44">
        <v>45976</v>
      </c>
      <c r="C83" s="3" t="s">
        <v>416</v>
      </c>
      <c r="D83" s="3" t="s">
        <v>494</v>
      </c>
      <c r="E83" s="101"/>
      <c r="F83" s="3" t="s">
        <v>144</v>
      </c>
      <c r="G83" s="4">
        <v>3347904</v>
      </c>
      <c r="H83" s="4" t="s">
        <v>141</v>
      </c>
      <c r="I83" s="4">
        <v>3125802</v>
      </c>
      <c r="J83" s="4"/>
    </row>
    <row r="84" spans="2:10" x14ac:dyDescent="0.3">
      <c r="B84" s="44">
        <v>45976</v>
      </c>
      <c r="C84" s="3" t="s">
        <v>416</v>
      </c>
      <c r="D84" s="3" t="s">
        <v>494</v>
      </c>
      <c r="E84" s="101"/>
      <c r="F84" s="3" t="s">
        <v>189</v>
      </c>
      <c r="G84" s="4">
        <v>3350209</v>
      </c>
      <c r="H84" s="3" t="s">
        <v>188</v>
      </c>
      <c r="I84" s="4">
        <v>3353508</v>
      </c>
      <c r="J84" s="4"/>
    </row>
    <row r="85" spans="2:10" x14ac:dyDescent="0.3">
      <c r="B85" s="44">
        <v>45976</v>
      </c>
      <c r="C85" s="3" t="s">
        <v>416</v>
      </c>
      <c r="D85" s="3" t="s">
        <v>494</v>
      </c>
      <c r="E85" s="101"/>
      <c r="F85" s="4" t="s">
        <v>185</v>
      </c>
      <c r="G85" s="4">
        <v>3357806</v>
      </c>
      <c r="H85" s="4" t="s">
        <v>242</v>
      </c>
      <c r="I85" s="4">
        <v>3358107</v>
      </c>
    </row>
    <row r="86" spans="2:10" x14ac:dyDescent="0.3">
      <c r="B86" s="44">
        <v>45976</v>
      </c>
      <c r="C86" s="3" t="s">
        <v>416</v>
      </c>
      <c r="D86" s="3" t="s">
        <v>494</v>
      </c>
      <c r="E86" s="101"/>
      <c r="F86" s="4" t="s">
        <v>191</v>
      </c>
      <c r="G86" s="4">
        <v>3345708</v>
      </c>
      <c r="H86" s="4" t="s">
        <v>186</v>
      </c>
      <c r="I86" s="4">
        <v>3357702</v>
      </c>
      <c r="J86" s="4"/>
    </row>
    <row r="87" spans="2:10" x14ac:dyDescent="0.3">
      <c r="B87" s="44">
        <v>45976</v>
      </c>
      <c r="C87" s="3" t="s">
        <v>416</v>
      </c>
      <c r="D87" s="3" t="s">
        <v>494</v>
      </c>
      <c r="E87" s="101"/>
      <c r="F87" s="3" t="s">
        <v>218</v>
      </c>
      <c r="G87" s="4">
        <v>3358201</v>
      </c>
      <c r="H87" s="3" t="s">
        <v>221</v>
      </c>
      <c r="I87" s="4">
        <v>3353404</v>
      </c>
      <c r="J87" s="4"/>
    </row>
    <row r="88" spans="2:10" x14ac:dyDescent="0.3">
      <c r="B88" s="4"/>
      <c r="E88" s="101"/>
      <c r="F88" s="4"/>
      <c r="J88" s="4"/>
    </row>
    <row r="89" spans="2:10" x14ac:dyDescent="0.3">
      <c r="B89" s="44">
        <v>45983</v>
      </c>
      <c r="C89" s="3" t="s">
        <v>416</v>
      </c>
      <c r="D89" s="3" t="s">
        <v>494</v>
      </c>
      <c r="E89" s="101"/>
      <c r="F89" s="4" t="s">
        <v>188</v>
      </c>
      <c r="G89" s="4">
        <v>3353508</v>
      </c>
      <c r="H89" s="3" t="s">
        <v>218</v>
      </c>
      <c r="I89" s="4">
        <v>3358201</v>
      </c>
      <c r="J89" s="4"/>
    </row>
    <row r="90" spans="2:10" x14ac:dyDescent="0.3">
      <c r="B90" s="44">
        <v>45983</v>
      </c>
      <c r="C90" s="3" t="s">
        <v>416</v>
      </c>
      <c r="D90" s="3" t="s">
        <v>494</v>
      </c>
      <c r="E90" s="101"/>
      <c r="F90" s="4" t="s">
        <v>141</v>
      </c>
      <c r="G90" s="4">
        <v>3125802</v>
      </c>
      <c r="H90" s="3" t="s">
        <v>189</v>
      </c>
      <c r="I90" s="4">
        <v>3350209</v>
      </c>
      <c r="J90" s="4"/>
    </row>
    <row r="91" spans="2:10" x14ac:dyDescent="0.3">
      <c r="B91" s="44">
        <v>45983</v>
      </c>
      <c r="C91" s="3" t="s">
        <v>416</v>
      </c>
      <c r="D91" s="3" t="s">
        <v>494</v>
      </c>
      <c r="E91" s="101"/>
      <c r="F91" s="4" t="s">
        <v>186</v>
      </c>
      <c r="G91" s="4">
        <v>3357702</v>
      </c>
      <c r="H91" s="3" t="s">
        <v>144</v>
      </c>
      <c r="I91" s="4">
        <v>3347904</v>
      </c>
    </row>
    <row r="92" spans="2:10" x14ac:dyDescent="0.3">
      <c r="B92" s="44">
        <v>45983</v>
      </c>
      <c r="C92" s="3" t="s">
        <v>416</v>
      </c>
      <c r="D92" s="3" t="s">
        <v>494</v>
      </c>
      <c r="E92" s="101"/>
      <c r="F92" s="4" t="s">
        <v>242</v>
      </c>
      <c r="G92" s="4">
        <v>3358107</v>
      </c>
      <c r="H92" s="4" t="s">
        <v>191</v>
      </c>
      <c r="I92" s="4">
        <v>3345708</v>
      </c>
      <c r="J92" s="4"/>
    </row>
    <row r="93" spans="2:10" x14ac:dyDescent="0.3">
      <c r="B93" s="44">
        <v>45983</v>
      </c>
      <c r="C93" s="3" t="s">
        <v>416</v>
      </c>
      <c r="D93" s="3" t="s">
        <v>494</v>
      </c>
      <c r="E93" s="101"/>
      <c r="F93" s="4" t="s">
        <v>185</v>
      </c>
      <c r="G93" s="4">
        <v>3357806</v>
      </c>
      <c r="H93" s="3" t="s">
        <v>183</v>
      </c>
      <c r="I93" s="4">
        <v>3362901</v>
      </c>
    </row>
    <row r="94" spans="2:10" x14ac:dyDescent="0.3">
      <c r="B94" s="44">
        <v>45983</v>
      </c>
      <c r="C94" s="3" t="s">
        <v>416</v>
      </c>
      <c r="D94" s="3" t="s">
        <v>494</v>
      </c>
      <c r="E94" s="101"/>
      <c r="F94" s="3" t="s">
        <v>221</v>
      </c>
      <c r="G94" s="4">
        <v>3353404</v>
      </c>
      <c r="H94" s="3" t="s">
        <v>220</v>
      </c>
      <c r="I94" s="4">
        <v>3354809</v>
      </c>
      <c r="J94" s="4"/>
    </row>
    <row r="95" spans="2:10" x14ac:dyDescent="0.3">
      <c r="B95" s="4"/>
      <c r="E95" s="101"/>
      <c r="F95" s="4"/>
      <c r="J95" s="4"/>
    </row>
    <row r="96" spans="2:10" x14ac:dyDescent="0.3">
      <c r="B96" s="44">
        <v>45990</v>
      </c>
      <c r="C96" s="3" t="s">
        <v>416</v>
      </c>
      <c r="D96" s="3" t="s">
        <v>494</v>
      </c>
      <c r="E96" s="101"/>
      <c r="F96" s="3" t="s">
        <v>183</v>
      </c>
      <c r="G96" s="4">
        <v>3362901</v>
      </c>
      <c r="H96" s="3" t="s">
        <v>221</v>
      </c>
      <c r="I96" s="4">
        <v>3353404</v>
      </c>
      <c r="J96" s="4"/>
    </row>
    <row r="97" spans="2:10" x14ac:dyDescent="0.3">
      <c r="B97" s="44">
        <v>45990</v>
      </c>
      <c r="C97" s="3" t="s">
        <v>416</v>
      </c>
      <c r="D97" s="3" t="s">
        <v>494</v>
      </c>
      <c r="E97" s="101"/>
      <c r="F97" s="3" t="s">
        <v>144</v>
      </c>
      <c r="G97" s="4">
        <v>3347904</v>
      </c>
      <c r="H97" s="4" t="s">
        <v>242</v>
      </c>
      <c r="I97" s="4">
        <v>3358107</v>
      </c>
    </row>
    <row r="98" spans="2:10" x14ac:dyDescent="0.3">
      <c r="B98" s="44">
        <v>45990</v>
      </c>
      <c r="C98" s="3" t="s">
        <v>416</v>
      </c>
      <c r="D98" s="3" t="s">
        <v>494</v>
      </c>
      <c r="E98" s="101"/>
      <c r="F98" s="3" t="s">
        <v>189</v>
      </c>
      <c r="G98" s="4">
        <v>3350209</v>
      </c>
      <c r="H98" s="4" t="s">
        <v>186</v>
      </c>
      <c r="I98" s="4">
        <v>3357702</v>
      </c>
      <c r="J98" s="4"/>
    </row>
    <row r="99" spans="2:10" x14ac:dyDescent="0.3">
      <c r="B99" s="44">
        <v>45990</v>
      </c>
      <c r="C99" s="3" t="s">
        <v>416</v>
      </c>
      <c r="D99" s="3" t="s">
        <v>494</v>
      </c>
      <c r="E99" s="101"/>
      <c r="F99" s="4" t="s">
        <v>191</v>
      </c>
      <c r="G99" s="4">
        <v>3345708</v>
      </c>
      <c r="H99" s="4" t="s">
        <v>185</v>
      </c>
      <c r="I99" s="4">
        <v>3357806</v>
      </c>
      <c r="J99" s="4"/>
    </row>
    <row r="100" spans="2:10" x14ac:dyDescent="0.3">
      <c r="B100" s="44">
        <v>45990</v>
      </c>
      <c r="C100" s="3" t="s">
        <v>416</v>
      </c>
      <c r="D100" s="3" t="s">
        <v>494</v>
      </c>
      <c r="E100" s="101"/>
      <c r="F100" s="3" t="s">
        <v>218</v>
      </c>
      <c r="G100" s="4">
        <v>3358201</v>
      </c>
      <c r="H100" s="4" t="s">
        <v>141</v>
      </c>
      <c r="I100" s="4">
        <v>3125802</v>
      </c>
      <c r="J100" s="4"/>
    </row>
    <row r="101" spans="2:10" x14ac:dyDescent="0.3">
      <c r="B101" s="44">
        <v>45990</v>
      </c>
      <c r="C101" s="3" t="s">
        <v>416</v>
      </c>
      <c r="D101" s="3" t="s">
        <v>494</v>
      </c>
      <c r="E101" s="101"/>
      <c r="F101" s="3" t="s">
        <v>220</v>
      </c>
      <c r="G101" s="4">
        <v>3354809</v>
      </c>
      <c r="H101" s="4" t="s">
        <v>188</v>
      </c>
      <c r="I101" s="4">
        <v>3353508</v>
      </c>
      <c r="J101" s="4"/>
    </row>
    <row r="102" spans="2:10" x14ac:dyDescent="0.3">
      <c r="B102" s="4"/>
      <c r="E102" s="42"/>
      <c r="F102" s="4"/>
      <c r="J102" s="4"/>
    </row>
    <row r="103" spans="2:10" x14ac:dyDescent="0.3">
      <c r="B103" s="44">
        <v>46032</v>
      </c>
      <c r="C103" s="3" t="s">
        <v>416</v>
      </c>
      <c r="D103" s="3" t="s">
        <v>494</v>
      </c>
      <c r="E103" s="101"/>
      <c r="F103" s="3" t="s">
        <v>183</v>
      </c>
      <c r="G103" s="4">
        <v>3362901</v>
      </c>
      <c r="H103" s="4" t="s">
        <v>191</v>
      </c>
      <c r="I103" s="4">
        <v>3345708</v>
      </c>
    </row>
    <row r="104" spans="2:10" x14ac:dyDescent="0.3">
      <c r="B104" s="44">
        <v>46032</v>
      </c>
      <c r="C104" s="3" t="s">
        <v>416</v>
      </c>
      <c r="D104" s="3" t="s">
        <v>494</v>
      </c>
      <c r="E104" s="101"/>
      <c r="F104" s="3" t="s">
        <v>144</v>
      </c>
      <c r="G104" s="4">
        <v>3347904</v>
      </c>
      <c r="H104" s="4" t="s">
        <v>185</v>
      </c>
      <c r="I104" s="4">
        <v>3357806</v>
      </c>
    </row>
    <row r="105" spans="2:10" x14ac:dyDescent="0.3">
      <c r="B105" s="44">
        <v>46032</v>
      </c>
      <c r="C105" s="3" t="s">
        <v>416</v>
      </c>
      <c r="D105" s="3" t="s">
        <v>494</v>
      </c>
      <c r="E105" s="101"/>
      <c r="F105" s="3" t="s">
        <v>189</v>
      </c>
      <c r="G105" s="4">
        <v>3350209</v>
      </c>
      <c r="H105" s="4" t="s">
        <v>242</v>
      </c>
      <c r="I105" s="4">
        <v>3358107</v>
      </c>
      <c r="J105" s="4"/>
    </row>
    <row r="106" spans="2:10" x14ac:dyDescent="0.3">
      <c r="B106" s="44">
        <v>46032</v>
      </c>
      <c r="C106" s="3" t="s">
        <v>416</v>
      </c>
      <c r="D106" s="3" t="s">
        <v>494</v>
      </c>
      <c r="E106" s="101"/>
      <c r="F106" s="3" t="s">
        <v>221</v>
      </c>
      <c r="G106" s="4">
        <v>3353404</v>
      </c>
      <c r="H106" s="3" t="s">
        <v>188</v>
      </c>
      <c r="I106" s="4">
        <v>3353508</v>
      </c>
      <c r="J106" s="4"/>
    </row>
    <row r="107" spans="2:10" x14ac:dyDescent="0.3">
      <c r="B107" s="44">
        <v>46032</v>
      </c>
      <c r="C107" s="3" t="s">
        <v>416</v>
      </c>
      <c r="D107" s="3" t="s">
        <v>494</v>
      </c>
      <c r="E107" s="101"/>
      <c r="F107" s="3" t="s">
        <v>218</v>
      </c>
      <c r="G107" s="4">
        <v>3358201</v>
      </c>
      <c r="H107" s="4" t="s">
        <v>186</v>
      </c>
      <c r="I107" s="4">
        <v>3357702</v>
      </c>
      <c r="J107" s="4"/>
    </row>
    <row r="108" spans="2:10" x14ac:dyDescent="0.3">
      <c r="B108" s="44">
        <v>46032</v>
      </c>
      <c r="C108" s="3" t="s">
        <v>416</v>
      </c>
      <c r="D108" s="3" t="s">
        <v>494</v>
      </c>
      <c r="E108" s="101"/>
      <c r="F108" s="3" t="s">
        <v>220</v>
      </c>
      <c r="G108" s="4">
        <v>3354809</v>
      </c>
      <c r="H108" s="4" t="s">
        <v>141</v>
      </c>
      <c r="I108" s="4">
        <v>3125802</v>
      </c>
      <c r="J108" s="4"/>
    </row>
    <row r="109" spans="2:10" x14ac:dyDescent="0.3">
      <c r="B109" s="4"/>
      <c r="E109" s="101"/>
      <c r="F109" s="4"/>
    </row>
    <row r="110" spans="2:10" x14ac:dyDescent="0.3">
      <c r="B110" s="44">
        <v>46039</v>
      </c>
      <c r="C110" s="3" t="s">
        <v>416</v>
      </c>
      <c r="D110" s="3" t="s">
        <v>494</v>
      </c>
      <c r="E110" s="101"/>
      <c r="F110" s="4" t="s">
        <v>188</v>
      </c>
      <c r="G110" s="4">
        <v>3353508</v>
      </c>
      <c r="H110" s="3" t="s">
        <v>183</v>
      </c>
      <c r="I110" s="4">
        <v>3362901</v>
      </c>
      <c r="J110" s="4"/>
    </row>
    <row r="111" spans="2:10" x14ac:dyDescent="0.3">
      <c r="B111" s="44">
        <v>46039</v>
      </c>
      <c r="C111" s="3" t="s">
        <v>416</v>
      </c>
      <c r="D111" s="3" t="s">
        <v>494</v>
      </c>
      <c r="E111" s="101"/>
      <c r="F111" s="4" t="s">
        <v>141</v>
      </c>
      <c r="G111" s="4">
        <v>3125802</v>
      </c>
      <c r="H111" s="3" t="s">
        <v>221</v>
      </c>
      <c r="I111" s="4">
        <v>3353404</v>
      </c>
      <c r="J111" s="4"/>
    </row>
    <row r="112" spans="2:10" x14ac:dyDescent="0.3">
      <c r="B112" s="44">
        <v>46039</v>
      </c>
      <c r="C112" s="3" t="s">
        <v>416</v>
      </c>
      <c r="D112" s="3" t="s">
        <v>494</v>
      </c>
      <c r="E112" s="101"/>
      <c r="F112" s="4" t="s">
        <v>186</v>
      </c>
      <c r="G112" s="4">
        <v>3357702</v>
      </c>
      <c r="H112" s="3" t="s">
        <v>220</v>
      </c>
      <c r="I112" s="4">
        <v>3354809</v>
      </c>
      <c r="J112" s="4"/>
    </row>
    <row r="113" spans="2:10" x14ac:dyDescent="0.3">
      <c r="B113" s="44">
        <v>46039</v>
      </c>
      <c r="C113" s="3" t="s">
        <v>416</v>
      </c>
      <c r="D113" s="3" t="s">
        <v>494</v>
      </c>
      <c r="E113" s="101"/>
      <c r="F113" s="4" t="s">
        <v>242</v>
      </c>
      <c r="G113" s="4">
        <v>3358107</v>
      </c>
      <c r="H113" s="3" t="s">
        <v>218</v>
      </c>
      <c r="I113" s="4">
        <v>3358201</v>
      </c>
      <c r="J113" s="4"/>
    </row>
    <row r="114" spans="2:10" x14ac:dyDescent="0.3">
      <c r="B114" s="44">
        <v>46039</v>
      </c>
      <c r="C114" s="3" t="s">
        <v>416</v>
      </c>
      <c r="D114" s="3" t="s">
        <v>494</v>
      </c>
      <c r="E114" s="101"/>
      <c r="F114" s="4" t="s">
        <v>185</v>
      </c>
      <c r="G114" s="4">
        <v>3357806</v>
      </c>
      <c r="H114" s="3" t="s">
        <v>189</v>
      </c>
      <c r="I114" s="4">
        <v>3350209</v>
      </c>
      <c r="J114" s="4"/>
    </row>
    <row r="115" spans="2:10" x14ac:dyDescent="0.3">
      <c r="B115" s="44">
        <v>46039</v>
      </c>
      <c r="C115" s="3" t="s">
        <v>416</v>
      </c>
      <c r="D115" s="3" t="s">
        <v>494</v>
      </c>
      <c r="E115" s="101"/>
      <c r="F115" s="4" t="s">
        <v>191</v>
      </c>
      <c r="G115" s="4">
        <v>3345708</v>
      </c>
      <c r="H115" s="3" t="s">
        <v>144</v>
      </c>
      <c r="I115" s="4">
        <v>3347904</v>
      </c>
    </row>
    <row r="116" spans="2:10" x14ac:dyDescent="0.3">
      <c r="B116" s="4"/>
      <c r="E116" s="101"/>
      <c r="F116" s="4"/>
      <c r="J116" s="4"/>
    </row>
    <row r="117" spans="2:10" x14ac:dyDescent="0.3">
      <c r="B117" s="44">
        <v>46046</v>
      </c>
      <c r="C117" s="3" t="s">
        <v>416</v>
      </c>
      <c r="D117" s="3" t="s">
        <v>494</v>
      </c>
      <c r="E117" s="101"/>
      <c r="F117" s="4" t="s">
        <v>188</v>
      </c>
      <c r="G117" s="4">
        <v>3353508</v>
      </c>
      <c r="H117" s="4" t="s">
        <v>141</v>
      </c>
      <c r="I117" s="4">
        <v>3125802</v>
      </c>
      <c r="J117" s="4"/>
    </row>
    <row r="118" spans="2:10" x14ac:dyDescent="0.3">
      <c r="B118" s="44">
        <v>46046</v>
      </c>
      <c r="C118" s="3" t="s">
        <v>416</v>
      </c>
      <c r="D118" s="3" t="s">
        <v>494</v>
      </c>
      <c r="E118" s="101"/>
      <c r="F118" s="3" t="s">
        <v>144</v>
      </c>
      <c r="G118" s="4">
        <v>3347904</v>
      </c>
      <c r="H118" s="3" t="s">
        <v>183</v>
      </c>
      <c r="I118" s="4">
        <v>3362901</v>
      </c>
      <c r="J118" s="4"/>
    </row>
    <row r="119" spans="2:10" x14ac:dyDescent="0.3">
      <c r="B119" s="44">
        <v>46046</v>
      </c>
      <c r="C119" s="3" t="s">
        <v>416</v>
      </c>
      <c r="D119" s="3" t="s">
        <v>494</v>
      </c>
      <c r="E119" s="101"/>
      <c r="F119" s="3" t="s">
        <v>189</v>
      </c>
      <c r="G119" s="4">
        <v>3350209</v>
      </c>
      <c r="H119" s="4" t="s">
        <v>191</v>
      </c>
      <c r="I119" s="4">
        <v>3345708</v>
      </c>
    </row>
    <row r="120" spans="2:10" x14ac:dyDescent="0.3">
      <c r="B120" s="44">
        <v>46046</v>
      </c>
      <c r="C120" s="3" t="s">
        <v>416</v>
      </c>
      <c r="D120" s="3" t="s">
        <v>494</v>
      </c>
      <c r="E120" s="101"/>
      <c r="F120" s="3" t="s">
        <v>221</v>
      </c>
      <c r="G120" s="4">
        <v>3353404</v>
      </c>
      <c r="H120" s="4" t="s">
        <v>186</v>
      </c>
      <c r="I120" s="4">
        <v>3357702</v>
      </c>
      <c r="J120" s="4"/>
    </row>
    <row r="121" spans="2:10" x14ac:dyDescent="0.3">
      <c r="B121" s="44">
        <v>46046</v>
      </c>
      <c r="C121" s="3" t="s">
        <v>416</v>
      </c>
      <c r="D121" s="3" t="s">
        <v>494</v>
      </c>
      <c r="E121" s="101"/>
      <c r="F121" s="3" t="s">
        <v>218</v>
      </c>
      <c r="G121" s="4">
        <v>3358201</v>
      </c>
      <c r="H121" s="4" t="s">
        <v>185</v>
      </c>
      <c r="I121" s="4">
        <v>3357806</v>
      </c>
    </row>
    <row r="122" spans="2:10" x14ac:dyDescent="0.3">
      <c r="B122" s="44">
        <v>46046</v>
      </c>
      <c r="C122" s="3" t="s">
        <v>416</v>
      </c>
      <c r="D122" s="3" t="s">
        <v>494</v>
      </c>
      <c r="E122" s="101"/>
      <c r="F122" s="3" t="s">
        <v>220</v>
      </c>
      <c r="G122" s="4">
        <v>3354809</v>
      </c>
      <c r="H122" s="4" t="s">
        <v>242</v>
      </c>
      <c r="I122" s="4">
        <v>3358107</v>
      </c>
      <c r="J122" s="4"/>
    </row>
    <row r="123" spans="2:10" x14ac:dyDescent="0.3">
      <c r="B123" s="4"/>
      <c r="E123" s="101"/>
      <c r="F123" s="4"/>
      <c r="J123" s="4"/>
    </row>
    <row r="124" spans="2:10" x14ac:dyDescent="0.3">
      <c r="B124" s="44">
        <v>46053</v>
      </c>
      <c r="C124" s="3" t="s">
        <v>416</v>
      </c>
      <c r="D124" s="3" t="s">
        <v>494</v>
      </c>
      <c r="E124" s="101"/>
      <c r="F124" s="3" t="s">
        <v>183</v>
      </c>
      <c r="G124" s="4">
        <v>3362901</v>
      </c>
      <c r="H124" s="4" t="s">
        <v>141</v>
      </c>
      <c r="I124" s="4">
        <v>3125802</v>
      </c>
      <c r="J124" s="4"/>
    </row>
    <row r="125" spans="2:10" x14ac:dyDescent="0.3">
      <c r="B125" s="44">
        <v>46053</v>
      </c>
      <c r="C125" s="3" t="s">
        <v>416</v>
      </c>
      <c r="D125" s="3" t="s">
        <v>494</v>
      </c>
      <c r="E125" s="101"/>
      <c r="F125" s="3" t="s">
        <v>144</v>
      </c>
      <c r="G125" s="4">
        <v>3347904</v>
      </c>
      <c r="H125" s="3" t="s">
        <v>189</v>
      </c>
      <c r="I125" s="4">
        <v>3350209</v>
      </c>
      <c r="J125" s="4"/>
    </row>
    <row r="126" spans="2:10" x14ac:dyDescent="0.3">
      <c r="B126" s="44">
        <v>46053</v>
      </c>
      <c r="C126" s="3" t="s">
        <v>416</v>
      </c>
      <c r="D126" s="3" t="s">
        <v>494</v>
      </c>
      <c r="E126" s="101"/>
      <c r="F126" s="4" t="s">
        <v>186</v>
      </c>
      <c r="G126" s="4">
        <v>3357702</v>
      </c>
      <c r="H126" s="3" t="s">
        <v>188</v>
      </c>
      <c r="I126" s="4">
        <v>3353508</v>
      </c>
      <c r="J126" s="4"/>
    </row>
    <row r="127" spans="2:10" x14ac:dyDescent="0.3">
      <c r="B127" s="44">
        <v>46053</v>
      </c>
      <c r="C127" s="3" t="s">
        <v>416</v>
      </c>
      <c r="D127" s="3" t="s">
        <v>494</v>
      </c>
      <c r="E127" s="101"/>
      <c r="F127" s="4" t="s">
        <v>242</v>
      </c>
      <c r="G127" s="4">
        <v>3358107</v>
      </c>
      <c r="H127" s="3" t="s">
        <v>221</v>
      </c>
      <c r="I127" s="4">
        <v>3353404</v>
      </c>
    </row>
    <row r="128" spans="2:10" x14ac:dyDescent="0.3">
      <c r="B128" s="44">
        <v>46053</v>
      </c>
      <c r="C128" s="3" t="s">
        <v>416</v>
      </c>
      <c r="D128" s="3" t="s">
        <v>494</v>
      </c>
      <c r="E128" s="101"/>
      <c r="F128" s="4" t="s">
        <v>185</v>
      </c>
      <c r="G128" s="4">
        <v>3357806</v>
      </c>
      <c r="H128" s="3" t="s">
        <v>220</v>
      </c>
      <c r="I128" s="4">
        <v>3354809</v>
      </c>
      <c r="J128" s="4"/>
    </row>
    <row r="129" spans="2:10" x14ac:dyDescent="0.3">
      <c r="B129" s="44">
        <v>46053</v>
      </c>
      <c r="C129" s="3" t="s">
        <v>416</v>
      </c>
      <c r="D129" s="3" t="s">
        <v>494</v>
      </c>
      <c r="E129" s="101"/>
      <c r="F129" s="4" t="s">
        <v>191</v>
      </c>
      <c r="G129" s="4">
        <v>3345708</v>
      </c>
      <c r="H129" s="3" t="s">
        <v>218</v>
      </c>
      <c r="I129" s="4">
        <v>3358201</v>
      </c>
      <c r="J129" s="4"/>
    </row>
    <row r="130" spans="2:10" x14ac:dyDescent="0.3">
      <c r="B130" s="4"/>
      <c r="E130" s="101"/>
      <c r="F130" s="4"/>
      <c r="J130" s="4"/>
    </row>
    <row r="131" spans="2:10" x14ac:dyDescent="0.3">
      <c r="B131" s="44">
        <v>46060</v>
      </c>
      <c r="C131" s="3" t="s">
        <v>416</v>
      </c>
      <c r="D131" s="3" t="s">
        <v>494</v>
      </c>
      <c r="E131" s="101"/>
      <c r="F131" s="4" t="s">
        <v>188</v>
      </c>
      <c r="G131" s="4">
        <v>3353508</v>
      </c>
      <c r="H131" s="4" t="s">
        <v>242</v>
      </c>
      <c r="I131" s="4">
        <v>3358107</v>
      </c>
      <c r="J131" s="4"/>
    </row>
    <row r="132" spans="2:10" x14ac:dyDescent="0.3">
      <c r="B132" s="44">
        <v>46060</v>
      </c>
      <c r="C132" s="3" t="s">
        <v>416</v>
      </c>
      <c r="D132" s="3" t="s">
        <v>494</v>
      </c>
      <c r="E132" s="101"/>
      <c r="F132" s="4" t="s">
        <v>141</v>
      </c>
      <c r="G132" s="4">
        <v>3125802</v>
      </c>
      <c r="H132" s="4" t="s">
        <v>186</v>
      </c>
      <c r="I132" s="4">
        <v>3357702</v>
      </c>
    </row>
    <row r="133" spans="2:10" x14ac:dyDescent="0.3">
      <c r="B133" s="44">
        <v>46060</v>
      </c>
      <c r="C133" s="3" t="s">
        <v>416</v>
      </c>
      <c r="D133" s="3" t="s">
        <v>494</v>
      </c>
      <c r="E133" s="101"/>
      <c r="F133" s="3" t="s">
        <v>189</v>
      </c>
      <c r="G133" s="4">
        <v>3350209</v>
      </c>
      <c r="H133" s="3" t="s">
        <v>183</v>
      </c>
      <c r="I133" s="4">
        <v>3362901</v>
      </c>
    </row>
    <row r="134" spans="2:10" x14ac:dyDescent="0.3">
      <c r="B134" s="44">
        <v>46060</v>
      </c>
      <c r="C134" s="3" t="s">
        <v>416</v>
      </c>
      <c r="D134" s="3" t="s">
        <v>494</v>
      </c>
      <c r="E134" s="101"/>
      <c r="F134" s="3" t="s">
        <v>221</v>
      </c>
      <c r="G134" s="4">
        <v>3353404</v>
      </c>
      <c r="H134" s="4" t="s">
        <v>185</v>
      </c>
      <c r="I134" s="4">
        <v>3357806</v>
      </c>
    </row>
    <row r="135" spans="2:10" x14ac:dyDescent="0.3">
      <c r="B135" s="44">
        <v>46060</v>
      </c>
      <c r="C135" s="3" t="s">
        <v>416</v>
      </c>
      <c r="D135" s="3" t="s">
        <v>494</v>
      </c>
      <c r="E135" s="101"/>
      <c r="F135" s="3" t="s">
        <v>218</v>
      </c>
      <c r="G135" s="4">
        <v>3358201</v>
      </c>
      <c r="H135" s="3" t="s">
        <v>144</v>
      </c>
      <c r="I135" s="4">
        <v>3347904</v>
      </c>
    </row>
    <row r="136" spans="2:10" x14ac:dyDescent="0.3">
      <c r="B136" s="44">
        <v>46060</v>
      </c>
      <c r="C136" s="3" t="s">
        <v>416</v>
      </c>
      <c r="D136" s="3" t="s">
        <v>494</v>
      </c>
      <c r="E136" s="101"/>
      <c r="F136" s="3" t="s">
        <v>220</v>
      </c>
      <c r="G136" s="4">
        <v>3354809</v>
      </c>
      <c r="H136" s="4" t="s">
        <v>191</v>
      </c>
      <c r="I136" s="4">
        <v>3345708</v>
      </c>
    </row>
    <row r="137" spans="2:10" x14ac:dyDescent="0.3">
      <c r="B137" s="4"/>
      <c r="E137" s="101"/>
      <c r="F137" s="4"/>
    </row>
    <row r="138" spans="2:10" x14ac:dyDescent="0.3">
      <c r="B138" s="44">
        <v>46074</v>
      </c>
      <c r="C138" s="3" t="s">
        <v>416</v>
      </c>
      <c r="D138" s="3" t="s">
        <v>494</v>
      </c>
      <c r="E138" s="101"/>
      <c r="F138" s="3" t="s">
        <v>183</v>
      </c>
      <c r="G138" s="4">
        <v>3362901</v>
      </c>
      <c r="H138" s="4" t="s">
        <v>186</v>
      </c>
      <c r="I138" s="4">
        <v>3357702</v>
      </c>
    </row>
    <row r="139" spans="2:10" x14ac:dyDescent="0.3">
      <c r="B139" s="44">
        <v>46074</v>
      </c>
      <c r="C139" s="3" t="s">
        <v>416</v>
      </c>
      <c r="D139" s="3" t="s">
        <v>494</v>
      </c>
      <c r="E139" s="101"/>
      <c r="F139" s="3" t="s">
        <v>144</v>
      </c>
      <c r="G139" s="4">
        <v>3347904</v>
      </c>
      <c r="H139" s="3" t="s">
        <v>220</v>
      </c>
      <c r="I139" s="4">
        <v>3354809</v>
      </c>
    </row>
    <row r="140" spans="2:10" x14ac:dyDescent="0.3">
      <c r="B140" s="44">
        <v>46074</v>
      </c>
      <c r="C140" s="3" t="s">
        <v>416</v>
      </c>
      <c r="D140" s="3" t="s">
        <v>494</v>
      </c>
      <c r="E140" s="101"/>
      <c r="F140" s="3" t="s">
        <v>189</v>
      </c>
      <c r="G140" s="4">
        <v>3350209</v>
      </c>
      <c r="H140" s="3" t="s">
        <v>218</v>
      </c>
      <c r="I140" s="4">
        <v>3358201</v>
      </c>
    </row>
    <row r="141" spans="2:10" x14ac:dyDescent="0.3">
      <c r="B141" s="44">
        <v>46074</v>
      </c>
      <c r="C141" s="3" t="s">
        <v>416</v>
      </c>
      <c r="D141" s="3" t="s">
        <v>494</v>
      </c>
      <c r="E141" s="101"/>
      <c r="F141" s="4" t="s">
        <v>242</v>
      </c>
      <c r="G141" s="4">
        <v>3358107</v>
      </c>
      <c r="H141" s="4" t="s">
        <v>141</v>
      </c>
      <c r="I141" s="4">
        <v>3125802</v>
      </c>
    </row>
    <row r="142" spans="2:10" x14ac:dyDescent="0.3">
      <c r="B142" s="44">
        <v>46074</v>
      </c>
      <c r="C142" s="3" t="s">
        <v>416</v>
      </c>
      <c r="D142" s="3" t="s">
        <v>494</v>
      </c>
      <c r="E142" s="101"/>
      <c r="F142" s="4" t="s">
        <v>185</v>
      </c>
      <c r="G142" s="4">
        <v>3357806</v>
      </c>
      <c r="H142" s="3" t="s">
        <v>188</v>
      </c>
      <c r="I142" s="4">
        <v>3353508</v>
      </c>
    </row>
    <row r="143" spans="2:10" x14ac:dyDescent="0.3">
      <c r="B143" s="44">
        <v>46074</v>
      </c>
      <c r="C143" s="3" t="s">
        <v>416</v>
      </c>
      <c r="D143" s="3" t="s">
        <v>494</v>
      </c>
      <c r="E143" s="101"/>
      <c r="F143" s="4" t="s">
        <v>191</v>
      </c>
      <c r="G143" s="4">
        <v>3345708</v>
      </c>
      <c r="H143" s="3" t="s">
        <v>221</v>
      </c>
      <c r="I143" s="4">
        <v>3353404</v>
      </c>
    </row>
    <row r="144" spans="2:10" x14ac:dyDescent="0.3">
      <c r="B144" s="4"/>
      <c r="E144" s="101"/>
      <c r="F144" s="4"/>
    </row>
    <row r="145" spans="2:9" x14ac:dyDescent="0.3">
      <c r="B145" s="44">
        <v>46081</v>
      </c>
      <c r="C145" s="3" t="s">
        <v>416</v>
      </c>
      <c r="D145" s="3" t="s">
        <v>494</v>
      </c>
      <c r="E145" s="101"/>
      <c r="F145" s="4" t="s">
        <v>188</v>
      </c>
      <c r="G145" s="4">
        <v>3353508</v>
      </c>
      <c r="H145" s="4" t="s">
        <v>191</v>
      </c>
      <c r="I145" s="4">
        <v>3345708</v>
      </c>
    </row>
    <row r="146" spans="2:9" x14ac:dyDescent="0.3">
      <c r="B146" s="44">
        <v>46081</v>
      </c>
      <c r="C146" s="3" t="s">
        <v>416</v>
      </c>
      <c r="D146" s="3" t="s">
        <v>494</v>
      </c>
      <c r="E146" s="101"/>
      <c r="F146" s="4" t="s">
        <v>141</v>
      </c>
      <c r="G146" s="4">
        <v>3125802</v>
      </c>
      <c r="H146" s="4" t="s">
        <v>185</v>
      </c>
      <c r="I146" s="4">
        <v>3357806</v>
      </c>
    </row>
    <row r="147" spans="2:9" x14ac:dyDescent="0.3">
      <c r="B147" s="44">
        <v>46081</v>
      </c>
      <c r="C147" s="3" t="s">
        <v>416</v>
      </c>
      <c r="D147" s="3" t="s">
        <v>494</v>
      </c>
      <c r="E147" s="101"/>
      <c r="F147" s="4" t="s">
        <v>186</v>
      </c>
      <c r="G147" s="4">
        <v>3357702</v>
      </c>
      <c r="H147" s="4" t="s">
        <v>242</v>
      </c>
      <c r="I147" s="4">
        <v>3358107</v>
      </c>
    </row>
    <row r="148" spans="2:9" x14ac:dyDescent="0.3">
      <c r="B148" s="44">
        <v>46081</v>
      </c>
      <c r="C148" s="3" t="s">
        <v>416</v>
      </c>
      <c r="D148" s="3" t="s">
        <v>494</v>
      </c>
      <c r="E148" s="101"/>
      <c r="F148" s="3" t="s">
        <v>221</v>
      </c>
      <c r="G148" s="4">
        <v>3353404</v>
      </c>
      <c r="H148" s="3" t="s">
        <v>144</v>
      </c>
      <c r="I148" s="4">
        <v>3347904</v>
      </c>
    </row>
    <row r="149" spans="2:9" x14ac:dyDescent="0.3">
      <c r="B149" s="44">
        <v>46081</v>
      </c>
      <c r="C149" s="3" t="s">
        <v>416</v>
      </c>
      <c r="D149" s="3" t="s">
        <v>494</v>
      </c>
      <c r="E149" s="101"/>
      <c r="F149" s="3" t="s">
        <v>218</v>
      </c>
      <c r="G149" s="4">
        <v>3358201</v>
      </c>
      <c r="H149" s="3" t="s">
        <v>183</v>
      </c>
      <c r="I149" s="4">
        <v>3362901</v>
      </c>
    </row>
    <row r="150" spans="2:9" x14ac:dyDescent="0.3">
      <c r="B150" s="44">
        <v>46081</v>
      </c>
      <c r="C150" s="3" t="s">
        <v>416</v>
      </c>
      <c r="D150" s="3" t="s">
        <v>494</v>
      </c>
      <c r="E150" s="101"/>
      <c r="F150" s="3" t="s">
        <v>220</v>
      </c>
      <c r="G150" s="4">
        <v>3354809</v>
      </c>
      <c r="H150" s="3" t="s">
        <v>189</v>
      </c>
      <c r="I150" s="4">
        <v>3350209</v>
      </c>
    </row>
    <row r="151" spans="2:9" x14ac:dyDescent="0.3">
      <c r="B151" s="4"/>
      <c r="E151" s="101"/>
      <c r="F151" s="4"/>
    </row>
    <row r="152" spans="2:9" x14ac:dyDescent="0.3">
      <c r="B152" s="44">
        <v>46088</v>
      </c>
      <c r="C152" s="3" t="s">
        <v>416</v>
      </c>
      <c r="D152" s="3" t="s">
        <v>494</v>
      </c>
      <c r="E152" s="101"/>
      <c r="F152" s="3" t="s">
        <v>183</v>
      </c>
      <c r="G152" s="4">
        <v>3362901</v>
      </c>
      <c r="H152" s="4" t="s">
        <v>242</v>
      </c>
      <c r="I152" s="4">
        <v>3358107</v>
      </c>
    </row>
    <row r="153" spans="2:9" x14ac:dyDescent="0.3">
      <c r="B153" s="44">
        <v>46088</v>
      </c>
      <c r="C153" s="3" t="s">
        <v>416</v>
      </c>
      <c r="D153" s="3" t="s">
        <v>494</v>
      </c>
      <c r="E153" s="101"/>
      <c r="F153" s="3" t="s">
        <v>144</v>
      </c>
      <c r="G153" s="4">
        <v>3347904</v>
      </c>
      <c r="H153" s="3" t="s">
        <v>188</v>
      </c>
      <c r="I153" s="4">
        <v>3353508</v>
      </c>
    </row>
    <row r="154" spans="2:9" x14ac:dyDescent="0.3">
      <c r="B154" s="44">
        <v>46088</v>
      </c>
      <c r="C154" s="3" t="s">
        <v>416</v>
      </c>
      <c r="D154" s="3" t="s">
        <v>494</v>
      </c>
      <c r="E154" s="101"/>
      <c r="F154" s="3" t="s">
        <v>189</v>
      </c>
      <c r="G154" s="4">
        <v>3350209</v>
      </c>
      <c r="H154" s="3" t="s">
        <v>221</v>
      </c>
      <c r="I154" s="4">
        <v>3353404</v>
      </c>
    </row>
    <row r="155" spans="2:9" x14ac:dyDescent="0.3">
      <c r="B155" s="44">
        <v>46088</v>
      </c>
      <c r="C155" s="3" t="s">
        <v>416</v>
      </c>
      <c r="D155" s="3" t="s">
        <v>494</v>
      </c>
      <c r="E155" s="101"/>
      <c r="F155" s="4" t="s">
        <v>185</v>
      </c>
      <c r="G155" s="4">
        <v>3357806</v>
      </c>
      <c r="H155" s="4" t="s">
        <v>186</v>
      </c>
      <c r="I155" s="4">
        <v>3357702</v>
      </c>
    </row>
    <row r="156" spans="2:9" x14ac:dyDescent="0.3">
      <c r="B156" s="44">
        <v>46088</v>
      </c>
      <c r="C156" s="3" t="s">
        <v>416</v>
      </c>
      <c r="D156" s="3" t="s">
        <v>494</v>
      </c>
      <c r="E156" s="101"/>
      <c r="F156" s="4" t="s">
        <v>191</v>
      </c>
      <c r="G156" s="4">
        <v>3345708</v>
      </c>
      <c r="H156" s="4" t="s">
        <v>141</v>
      </c>
      <c r="I156" s="4">
        <v>3125802</v>
      </c>
    </row>
    <row r="157" spans="2:9" x14ac:dyDescent="0.3">
      <c r="B157" s="44">
        <v>46088</v>
      </c>
      <c r="C157" s="3" t="s">
        <v>416</v>
      </c>
      <c r="D157" s="3" t="s">
        <v>494</v>
      </c>
      <c r="E157" s="101"/>
      <c r="F157" s="3" t="s">
        <v>218</v>
      </c>
      <c r="G157" s="4">
        <v>3358201</v>
      </c>
      <c r="H157" s="3" t="s">
        <v>220</v>
      </c>
      <c r="I157" s="4">
        <v>3354809</v>
      </c>
    </row>
    <row r="158" spans="2:9" x14ac:dyDescent="0.3">
      <c r="B158" s="4"/>
      <c r="E158" s="101"/>
      <c r="F158" s="4"/>
    </row>
    <row r="159" spans="2:9" x14ac:dyDescent="0.3">
      <c r="B159" s="44">
        <v>46095</v>
      </c>
      <c r="C159" s="3" t="s">
        <v>416</v>
      </c>
      <c r="D159" s="3" t="s">
        <v>494</v>
      </c>
      <c r="E159" s="101"/>
      <c r="F159" s="4" t="s">
        <v>188</v>
      </c>
      <c r="G159" s="4">
        <v>3353508</v>
      </c>
      <c r="H159" s="3" t="s">
        <v>189</v>
      </c>
      <c r="I159" s="4">
        <v>3350209</v>
      </c>
    </row>
    <row r="160" spans="2:9" x14ac:dyDescent="0.3">
      <c r="B160" s="44">
        <v>46095</v>
      </c>
      <c r="C160" s="3" t="s">
        <v>416</v>
      </c>
      <c r="D160" s="3" t="s">
        <v>494</v>
      </c>
      <c r="E160" s="101"/>
      <c r="F160" s="4" t="s">
        <v>141</v>
      </c>
      <c r="G160" s="4">
        <v>3125802</v>
      </c>
      <c r="H160" s="3" t="s">
        <v>144</v>
      </c>
      <c r="I160" s="4">
        <v>3347904</v>
      </c>
    </row>
    <row r="161" spans="2:9" x14ac:dyDescent="0.3">
      <c r="B161" s="44">
        <v>46095</v>
      </c>
      <c r="C161" s="3" t="s">
        <v>416</v>
      </c>
      <c r="D161" s="3" t="s">
        <v>494</v>
      </c>
      <c r="E161" s="101"/>
      <c r="F161" s="4" t="s">
        <v>186</v>
      </c>
      <c r="G161" s="4">
        <v>3357702</v>
      </c>
      <c r="H161" s="4" t="s">
        <v>191</v>
      </c>
      <c r="I161" s="4">
        <v>3345708</v>
      </c>
    </row>
    <row r="162" spans="2:9" x14ac:dyDescent="0.3">
      <c r="B162" s="44">
        <v>46095</v>
      </c>
      <c r="C162" s="3" t="s">
        <v>416</v>
      </c>
      <c r="D162" s="3" t="s">
        <v>494</v>
      </c>
      <c r="E162" s="101"/>
      <c r="F162" s="4" t="s">
        <v>242</v>
      </c>
      <c r="G162" s="4">
        <v>3358107</v>
      </c>
      <c r="H162" s="4" t="s">
        <v>185</v>
      </c>
      <c r="I162" s="4">
        <v>3357806</v>
      </c>
    </row>
    <row r="163" spans="2:9" x14ac:dyDescent="0.3">
      <c r="B163" s="44">
        <v>46095</v>
      </c>
      <c r="C163" s="3" t="s">
        <v>416</v>
      </c>
      <c r="D163" s="3" t="s">
        <v>494</v>
      </c>
      <c r="E163" s="101"/>
      <c r="F163" s="3" t="s">
        <v>221</v>
      </c>
      <c r="G163" s="4">
        <v>3353404</v>
      </c>
      <c r="H163" s="3" t="s">
        <v>218</v>
      </c>
      <c r="I163" s="4">
        <v>3358201</v>
      </c>
    </row>
    <row r="164" spans="2:9" x14ac:dyDescent="0.3">
      <c r="B164" s="44">
        <v>46095</v>
      </c>
      <c r="C164" s="3" t="s">
        <v>416</v>
      </c>
      <c r="D164" s="3" t="s">
        <v>494</v>
      </c>
      <c r="E164" s="101"/>
      <c r="F164" s="3" t="s">
        <v>220</v>
      </c>
      <c r="G164" s="4">
        <v>3354809</v>
      </c>
      <c r="H164" s="3" t="s">
        <v>183</v>
      </c>
      <c r="I164" s="4">
        <v>3362901</v>
      </c>
    </row>
    <row r="165" spans="2:9" x14ac:dyDescent="0.3">
      <c r="B165" s="4"/>
      <c r="E165" s="101"/>
      <c r="F165" s="4"/>
    </row>
    <row r="166" spans="2:9" x14ac:dyDescent="0.3">
      <c r="B166" s="44">
        <v>46102</v>
      </c>
      <c r="C166" s="3" t="s">
        <v>416</v>
      </c>
      <c r="D166" s="3" t="s">
        <v>494</v>
      </c>
      <c r="E166" s="101"/>
      <c r="F166" s="3" t="s">
        <v>183</v>
      </c>
      <c r="G166" s="4">
        <v>3362901</v>
      </c>
      <c r="H166" s="4" t="s">
        <v>185</v>
      </c>
      <c r="I166" s="4">
        <v>3357806</v>
      </c>
    </row>
    <row r="167" spans="2:9" x14ac:dyDescent="0.3">
      <c r="B167" s="44">
        <v>46102</v>
      </c>
      <c r="C167" s="3" t="s">
        <v>416</v>
      </c>
      <c r="D167" s="3" t="s">
        <v>494</v>
      </c>
      <c r="E167" s="101"/>
      <c r="F167" s="3" t="s">
        <v>144</v>
      </c>
      <c r="G167" s="4">
        <v>3347904</v>
      </c>
      <c r="H167" s="4" t="s">
        <v>186</v>
      </c>
      <c r="I167" s="4">
        <v>3357702</v>
      </c>
    </row>
    <row r="168" spans="2:9" x14ac:dyDescent="0.3">
      <c r="B168" s="44">
        <v>46102</v>
      </c>
      <c r="C168" s="3" t="s">
        <v>416</v>
      </c>
      <c r="D168" s="3" t="s">
        <v>494</v>
      </c>
      <c r="E168" s="101"/>
      <c r="F168" s="3" t="s">
        <v>189</v>
      </c>
      <c r="G168" s="4">
        <v>3350209</v>
      </c>
      <c r="H168" s="4" t="s">
        <v>141</v>
      </c>
      <c r="I168" s="4">
        <v>3125802</v>
      </c>
    </row>
    <row r="169" spans="2:9" x14ac:dyDescent="0.3">
      <c r="B169" s="44">
        <v>46102</v>
      </c>
      <c r="C169" s="3" t="s">
        <v>416</v>
      </c>
      <c r="D169" s="3" t="s">
        <v>494</v>
      </c>
      <c r="E169" s="101"/>
      <c r="F169" s="4" t="s">
        <v>191</v>
      </c>
      <c r="G169" s="4">
        <v>3345708</v>
      </c>
      <c r="H169" s="4" t="s">
        <v>242</v>
      </c>
      <c r="I169" s="4">
        <v>3358107</v>
      </c>
    </row>
    <row r="170" spans="2:9" x14ac:dyDescent="0.3">
      <c r="B170" s="44">
        <v>46102</v>
      </c>
      <c r="C170" s="3" t="s">
        <v>416</v>
      </c>
      <c r="D170" s="3" t="s">
        <v>494</v>
      </c>
      <c r="E170" s="101"/>
      <c r="F170" s="3" t="s">
        <v>218</v>
      </c>
      <c r="G170" s="4">
        <v>3358201</v>
      </c>
      <c r="H170" s="3" t="s">
        <v>188</v>
      </c>
      <c r="I170" s="4">
        <v>3353508</v>
      </c>
    </row>
    <row r="171" spans="2:9" x14ac:dyDescent="0.3">
      <c r="B171" s="44">
        <v>46102</v>
      </c>
      <c r="C171" s="3" t="s">
        <v>416</v>
      </c>
      <c r="D171" s="3" t="s">
        <v>494</v>
      </c>
      <c r="E171" s="101"/>
      <c r="F171" s="3" t="s">
        <v>220</v>
      </c>
      <c r="G171" s="4">
        <v>3354809</v>
      </c>
      <c r="H171" s="3" t="s">
        <v>221</v>
      </c>
      <c r="I171" s="4">
        <v>3353404</v>
      </c>
    </row>
    <row r="172" spans="2:9" x14ac:dyDescent="0.3">
      <c r="B172" s="4"/>
      <c r="E172" s="101"/>
      <c r="F172" s="4"/>
    </row>
    <row r="173" spans="2:9" x14ac:dyDescent="0.3">
      <c r="B173" s="44">
        <v>46109</v>
      </c>
      <c r="C173" s="3" t="s">
        <v>416</v>
      </c>
      <c r="D173" s="3" t="s">
        <v>494</v>
      </c>
      <c r="E173" s="101"/>
      <c r="F173" s="4" t="s">
        <v>188</v>
      </c>
      <c r="G173" s="4">
        <v>3353508</v>
      </c>
      <c r="H173" s="3" t="s">
        <v>220</v>
      </c>
      <c r="I173" s="4">
        <v>3354809</v>
      </c>
    </row>
    <row r="174" spans="2:9" x14ac:dyDescent="0.3">
      <c r="B174" s="44">
        <v>46109</v>
      </c>
      <c r="C174" s="3" t="s">
        <v>416</v>
      </c>
      <c r="D174" s="3" t="s">
        <v>494</v>
      </c>
      <c r="E174" s="101"/>
      <c r="F174" s="4" t="s">
        <v>141</v>
      </c>
      <c r="G174" s="4">
        <v>3125802</v>
      </c>
      <c r="H174" s="3" t="s">
        <v>218</v>
      </c>
      <c r="I174" s="4">
        <v>3358201</v>
      </c>
    </row>
    <row r="175" spans="2:9" x14ac:dyDescent="0.3">
      <c r="B175" s="44">
        <v>46109</v>
      </c>
      <c r="C175" s="3" t="s">
        <v>416</v>
      </c>
      <c r="D175" s="3" t="s">
        <v>494</v>
      </c>
      <c r="E175" s="101"/>
      <c r="F175" s="4" t="s">
        <v>186</v>
      </c>
      <c r="G175" s="4">
        <v>3357702</v>
      </c>
      <c r="H175" s="3" t="s">
        <v>189</v>
      </c>
      <c r="I175" s="4">
        <v>3350209</v>
      </c>
    </row>
    <row r="176" spans="2:9" x14ac:dyDescent="0.3">
      <c r="B176" s="44">
        <v>46109</v>
      </c>
      <c r="C176" s="3" t="s">
        <v>416</v>
      </c>
      <c r="D176" s="3" t="s">
        <v>494</v>
      </c>
      <c r="E176" s="101"/>
      <c r="F176" s="4" t="s">
        <v>242</v>
      </c>
      <c r="G176" s="4">
        <v>3358107</v>
      </c>
      <c r="H176" s="3" t="s">
        <v>144</v>
      </c>
      <c r="I176" s="4">
        <v>3347904</v>
      </c>
    </row>
    <row r="177" spans="2:9" x14ac:dyDescent="0.3">
      <c r="B177" s="44">
        <v>46109</v>
      </c>
      <c r="C177" s="3" t="s">
        <v>416</v>
      </c>
      <c r="D177" s="3" t="s">
        <v>494</v>
      </c>
      <c r="E177" s="101"/>
      <c r="F177" s="4" t="s">
        <v>185</v>
      </c>
      <c r="G177" s="4">
        <v>3357806</v>
      </c>
      <c r="H177" s="4" t="s">
        <v>191</v>
      </c>
      <c r="I177" s="4">
        <v>3345708</v>
      </c>
    </row>
    <row r="178" spans="2:9" x14ac:dyDescent="0.3">
      <c r="B178" s="44">
        <v>46109</v>
      </c>
      <c r="C178" s="3" t="s">
        <v>416</v>
      </c>
      <c r="D178" s="3" t="s">
        <v>494</v>
      </c>
      <c r="E178" s="101"/>
      <c r="F178" s="3" t="s">
        <v>221</v>
      </c>
      <c r="G178" s="4">
        <v>3353404</v>
      </c>
      <c r="H178" s="3" t="s">
        <v>183</v>
      </c>
      <c r="I178" s="4">
        <v>3362901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511" priority="17"/>
  </conditionalFormatting>
  <conditionalFormatting sqref="B10 B12:B13 B16 B21">
    <cfRule type="duplicateValues" dxfId="5510" priority="2971"/>
  </conditionalFormatting>
  <conditionalFormatting sqref="F26:I178">
    <cfRule type="containsText" dxfId="5509" priority="4" operator="containsText" text="Code">
      <formula>NOT(ISERROR(SEARCH("Code",F26)))</formula>
    </cfRule>
    <cfRule type="containsText" dxfId="5508" priority="5" operator="containsText" text="c'[Fixtures All.xlsx]Women Filtered'!$F$2">
      <formula>NOT(ISERROR(SEARCH("c'[Fixtures All.xlsx]Women Filtered'!$F$2",F26)))</formula>
    </cfRule>
  </conditionalFormatting>
  <conditionalFormatting sqref="I9:I21">
    <cfRule type="containsText" dxfId="5507" priority="8" operator="containsText" text="Code">
      <formula>NOT(ISERROR(SEARCH("Code",I9)))</formula>
    </cfRule>
    <cfRule type="containsText" dxfId="5506" priority="13" operator="containsText" text="c'[Fixtures All.xlsx]Women Filtered'!$F$2">
      <formula>NOT(ISERROR(SEARCH("c'[Fixtures All.xlsx]Women Filtered'!$F$2",I9)))</formula>
    </cfRule>
  </conditionalFormatting>
  <conditionalFormatting sqref="I5:J8">
    <cfRule type="duplicateValues" dxfId="5505" priority="2968"/>
  </conditionalFormatting>
  <conditionalFormatting sqref="I10:L21">
    <cfRule type="cellIs" dxfId="5504" priority="6" operator="lessThan">
      <formula>5</formula>
    </cfRule>
    <cfRule type="cellIs" dxfId="5503" priority="7" operator="greaterThan">
      <formula>6</formula>
    </cfRule>
  </conditionalFormatting>
  <conditionalFormatting sqref="J10:J21">
    <cfRule type="containsText" dxfId="5502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501" priority="2969"/>
  </conditionalFormatting>
  <conditionalFormatting sqref="K5">
    <cfRule type="duplicateValues" dxfId="5500" priority="15"/>
  </conditionalFormatting>
  <conditionalFormatting sqref="K9:K21">
    <cfRule type="containsText" dxfId="5499" priority="3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498" priority="2" operator="containsText" text="Code">
      <formula>NOT(ISERROR(SEARCH("Code",K10)))</formula>
    </cfRule>
  </conditionalFormatting>
  <conditionalFormatting sqref="L10:L21">
    <cfRule type="containsText" dxfId="5497" priority="9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A66484DA-D09A-4E24-A8B7-7D77A1D884F1}"/>
    <hyperlink ref="K5:K6" location="'All Fixtures'!A1" display="See all NW Fixtures" xr:uid="{A8DBD2B8-9AF0-4481-AF30-40FF5FC0CDF5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81493-EB6D-49A8-8511-1403D5993F7A}">
  <dimension ref="A2:AQ178"/>
  <sheetViews>
    <sheetView zoomScale="90" zoomScaleNormal="90" workbookViewId="0"/>
  </sheetViews>
  <sheetFormatPr defaultRowHeight="14.4" x14ac:dyDescent="0.3"/>
  <cols>
    <col min="1" max="1" width="4.33203125" style="47" customWidth="1"/>
    <col min="2" max="2" width="27.44140625" style="3" customWidth="1"/>
    <col min="3" max="3" width="28.21875" style="3" customWidth="1"/>
    <col min="4" max="4" width="42.44140625" style="3" customWidth="1"/>
    <col min="5" max="5" width="14" style="3" customWidth="1"/>
    <col min="6" max="6" width="27.77734375" style="3" customWidth="1"/>
    <col min="7" max="7" width="8.88671875" style="3"/>
    <col min="8" max="8" width="27.5546875" style="3" customWidth="1"/>
    <col min="9" max="9" width="8.88671875" style="3"/>
    <col min="10" max="10" width="21.21875" style="3" customWidth="1"/>
    <col min="11" max="11" width="19" style="51" customWidth="1"/>
    <col min="12" max="12" width="3.33203125" style="3" customWidth="1"/>
    <col min="13" max="13" width="19" style="3" customWidth="1"/>
    <col min="14" max="43" width="8.88671875" style="3"/>
  </cols>
  <sheetData>
    <row r="2" spans="1:12" ht="15" thickBot="1" x14ac:dyDescent="0.35"/>
    <row r="3" spans="1:12" ht="37.200000000000003" thickBot="1" x14ac:dyDescent="0.75">
      <c r="E3" s="16" t="s">
        <v>495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E7" s="47"/>
      <c r="F7" s="47"/>
      <c r="G7" s="47"/>
      <c r="H7" s="47"/>
      <c r="I7" s="47"/>
    </row>
    <row r="8" spans="1:12" ht="15" customHeight="1" x14ac:dyDescent="0.7">
      <c r="B8" s="16"/>
      <c r="E8" s="47"/>
      <c r="F8" s="47"/>
      <c r="G8" s="47"/>
      <c r="H8" s="47"/>
      <c r="I8" s="47"/>
    </row>
    <row r="9" spans="1:12" ht="15" customHeight="1" x14ac:dyDescent="0.4">
      <c r="B9" s="21" t="s">
        <v>85</v>
      </c>
      <c r="E9" s="47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COUNTIF(F$26:H$178,"Bye")</f>
        <v>22</v>
      </c>
      <c r="B10" s="3" t="s">
        <v>570</v>
      </c>
      <c r="C10" s="97" t="s">
        <v>556</v>
      </c>
      <c r="D10" s="57">
        <f>COUNTIF(F$26:I$178,"Code")</f>
        <v>22</v>
      </c>
      <c r="E10" s="47"/>
      <c r="F10" s="57">
        <f>COUNTIF(F$26:F$178,"Bye")</f>
        <v>11</v>
      </c>
      <c r="G10" s="47"/>
      <c r="H10" s="57">
        <f>COUNTIF(H$26:H$178,"Bye")</f>
        <v>11</v>
      </c>
      <c r="I10" s="57">
        <f>COUNTIF(F$26:F$101,"Bye")</f>
        <v>6</v>
      </c>
      <c r="J10" s="57">
        <f>COUNTIF(F$102:F$178,"Bye")</f>
        <v>5</v>
      </c>
      <c r="K10" s="57">
        <f>COUNTIF(H$26:H$101,"Bye")</f>
        <v>5</v>
      </c>
      <c r="L10" s="57">
        <f>COUNTIF(H$102:H$178,"Bye")</f>
        <v>6</v>
      </c>
    </row>
    <row r="11" spans="1:12" ht="15" customHeight="1" x14ac:dyDescent="0.3">
      <c r="A11" s="47">
        <f>COUNTIF(F$26:H$178,"Formby 3")</f>
        <v>22</v>
      </c>
      <c r="B11" s="3" t="s">
        <v>192</v>
      </c>
      <c r="C11" s="74">
        <v>3357004</v>
      </c>
      <c r="D11" s="57">
        <f>COUNTIF(F$26:I$178,"3357004")</f>
        <v>22</v>
      </c>
      <c r="E11" s="47"/>
      <c r="F11" s="57">
        <f>COUNTIF(F$26:F$178,"Formby 3")</f>
        <v>11</v>
      </c>
      <c r="G11" s="47"/>
      <c r="H11" s="57">
        <f>COUNTIF(H$26:H$178,"Formby 3")</f>
        <v>11</v>
      </c>
      <c r="I11" s="57">
        <f>COUNTIF(F$26:F$101,"Formby 3")</f>
        <v>5</v>
      </c>
      <c r="J11" s="57">
        <f>COUNTIF(F$102:F$178,"Formby 3")</f>
        <v>6</v>
      </c>
      <c r="K11" s="57">
        <f>COUNTIF(H$26:H$101,"Formby 3")</f>
        <v>6</v>
      </c>
      <c r="L11" s="57">
        <f>COUNTIF(H$102:H$178,"Formby 3")</f>
        <v>5</v>
      </c>
    </row>
    <row r="12" spans="1:12" ht="15" customHeight="1" x14ac:dyDescent="0.3">
      <c r="A12" s="47">
        <f>COUNTIF(F$26:H$178,"Formby 4")</f>
        <v>22</v>
      </c>
      <c r="B12" s="3" t="s">
        <v>193</v>
      </c>
      <c r="C12" s="74">
        <v>3357108</v>
      </c>
      <c r="D12" s="57">
        <f>COUNTIF(F$26:I$178,"3357108")</f>
        <v>22</v>
      </c>
      <c r="E12" s="47"/>
      <c r="F12" s="57">
        <f>COUNTIF(F$26:F$178,"Formby 4")</f>
        <v>11</v>
      </c>
      <c r="G12" s="47"/>
      <c r="H12" s="57">
        <f>COUNTIF(H$26:H$178,"Formby 4")</f>
        <v>11</v>
      </c>
      <c r="I12" s="57">
        <f>COUNTIF(F$26:F$101,"Formby 4")</f>
        <v>5</v>
      </c>
      <c r="J12" s="57">
        <f>COUNTIF(F$102:F$178,"Formby 4")</f>
        <v>6</v>
      </c>
      <c r="K12" s="57">
        <f>COUNTIF(H$26:H$101,"Formby 4")</f>
        <v>6</v>
      </c>
      <c r="L12" s="57">
        <f>COUNTIF(H$102:H$178,"Formby 4")</f>
        <v>5</v>
      </c>
    </row>
    <row r="13" spans="1:12" ht="15" customHeight="1" x14ac:dyDescent="0.3">
      <c r="A13" s="47">
        <f>COUNTIF(F$26:H$178,"Golborne &amp; Prescot 3")</f>
        <v>22</v>
      </c>
      <c r="B13" s="3" t="s">
        <v>568</v>
      </c>
      <c r="C13" s="74">
        <v>3969908</v>
      </c>
      <c r="D13" s="57">
        <f>COUNTIF(F$26:I$178,"3969908")</f>
        <v>22</v>
      </c>
      <c r="E13" s="47"/>
      <c r="F13" s="57">
        <f>COUNTIF(F$26:F$178,"Golborne &amp; Prescot 3")</f>
        <v>11</v>
      </c>
      <c r="G13" s="47"/>
      <c r="H13" s="57">
        <f>COUNTIF(H$26:H$178,"Golborne &amp; Prescot 3")</f>
        <v>11</v>
      </c>
      <c r="I13" s="57">
        <f>COUNTIF(F$26:F$101,"Golborne &amp; Prescot 3")</f>
        <v>6</v>
      </c>
      <c r="J13" s="57">
        <f>COUNTIF(F$102:F$178,"Golborne &amp; Prescot 3")</f>
        <v>5</v>
      </c>
      <c r="K13" s="57">
        <f>COUNTIF(H$26:H$101,"Golborne &amp; Prescot 3")</f>
        <v>5</v>
      </c>
      <c r="L13" s="57">
        <f>COUNTIF(H$102:H$178,"Golborne &amp; Prescot 3")</f>
        <v>6</v>
      </c>
    </row>
    <row r="14" spans="1:12" ht="15" customHeight="1" x14ac:dyDescent="0.3">
      <c r="A14" s="47">
        <f>COUNTIF(F$26:H$178,"Liverpool Sefton Development")</f>
        <v>22</v>
      </c>
      <c r="B14" s="3" t="s">
        <v>195</v>
      </c>
      <c r="C14" s="74">
        <v>3361600</v>
      </c>
      <c r="D14" s="57">
        <f>COUNTIF(F$26:I$178,"3361600")</f>
        <v>22</v>
      </c>
      <c r="E14" s="47"/>
      <c r="F14" s="57">
        <f>COUNTIF(F$26:F$178,"Liverpool Sefton Development")</f>
        <v>11</v>
      </c>
      <c r="G14" s="47"/>
      <c r="H14" s="57">
        <f>COUNTIF(H$26:H$178,"Liverpool Sefton Development")</f>
        <v>11</v>
      </c>
      <c r="I14" s="57">
        <f>COUNTIF(F$26:F$101,"Liverpool Sefton Development")</f>
        <v>5</v>
      </c>
      <c r="J14" s="57">
        <f>COUNTIF(F$102:F$178,"Liverpool Sefton Development")</f>
        <v>6</v>
      </c>
      <c r="K14" s="57">
        <f>COUNTIF(H$26:H$101,"Liverpool Sefton Development")</f>
        <v>6</v>
      </c>
      <c r="L14" s="57">
        <f>COUNTIF(H$102:H$178,"Liverpool Sefton Development")</f>
        <v>5</v>
      </c>
    </row>
    <row r="15" spans="1:12" ht="15" customHeight="1" x14ac:dyDescent="0.3">
      <c r="A15" s="47">
        <f>COUNTIF(F$26:H$178,"Mossley Hill 2")</f>
        <v>22</v>
      </c>
      <c r="B15" s="3" t="s">
        <v>196</v>
      </c>
      <c r="C15" s="74">
        <v>3353102</v>
      </c>
      <c r="D15" s="57">
        <f>COUNTIF(F$26:I$178,"3353102")</f>
        <v>22</v>
      </c>
      <c r="E15" s="47"/>
      <c r="F15" s="57">
        <f>COUNTIF(F$26:F$178,"Mossley Hill 2")</f>
        <v>11</v>
      </c>
      <c r="G15" s="47"/>
      <c r="H15" s="57">
        <f>COUNTIF(H$26:H$178,"Mossley Hill 2")</f>
        <v>11</v>
      </c>
      <c r="I15" s="57">
        <f>COUNTIF(F$26:F$101,"Mossley Hill 2")</f>
        <v>6</v>
      </c>
      <c r="J15" s="57">
        <f>COUNTIF(F$102:F$178,"Mossley Hill 2")</f>
        <v>5</v>
      </c>
      <c r="K15" s="57">
        <f>COUNTIF(H$26:H$101,"Mossley Hill 2")</f>
        <v>5</v>
      </c>
      <c r="L15" s="57">
        <f>COUNTIF(H$102:H$178,"Mossley Hill 2")</f>
        <v>6</v>
      </c>
    </row>
    <row r="16" spans="1:12" ht="15" customHeight="1" x14ac:dyDescent="0.3">
      <c r="A16" s="47">
        <f>COUNTIF(F$26:H$178,"Mossley Hill 3")</f>
        <v>22</v>
      </c>
      <c r="B16" s="3" t="s">
        <v>197</v>
      </c>
      <c r="C16" s="74">
        <v>3353300</v>
      </c>
      <c r="D16" s="57">
        <f>COUNTIF(F$26:I$178,"3353300")</f>
        <v>22</v>
      </c>
      <c r="E16" s="47"/>
      <c r="F16" s="57">
        <f>COUNTIF(F$26:F$178,"Mossley Hill 3")</f>
        <v>11</v>
      </c>
      <c r="G16" s="47"/>
      <c r="H16" s="57">
        <f>COUNTIF(H$26:H$178,"Mossley Hill 3")</f>
        <v>11</v>
      </c>
      <c r="I16" s="57">
        <f>COUNTIF(F$26:F$101,"Mossley Hill 3")</f>
        <v>5</v>
      </c>
      <c r="J16" s="57">
        <f>COUNTIF(F$102:F$178,"Mossley Hill 3")</f>
        <v>6</v>
      </c>
      <c r="K16" s="57">
        <f>COUNTIF(H$26:H$101,"Mossley Hill 3")</f>
        <v>6</v>
      </c>
      <c r="L16" s="57">
        <f>COUNTIF(H$102:H$178,"Mossley Hill 3")</f>
        <v>5</v>
      </c>
    </row>
    <row r="17" spans="1:12" x14ac:dyDescent="0.3">
      <c r="A17" s="47">
        <f>COUNTIF(F$26:H$178,"Southport 2")</f>
        <v>22</v>
      </c>
      <c r="B17" s="3" t="s">
        <v>164</v>
      </c>
      <c r="C17" s="74">
        <v>3349402</v>
      </c>
      <c r="D17" s="57">
        <f>COUNTIF(F$26:I$178,"3349402")</f>
        <v>22</v>
      </c>
      <c r="E17" s="47"/>
      <c r="F17" s="57">
        <f>COUNTIF(F$26:F$178,"Southport 2")</f>
        <v>11</v>
      </c>
      <c r="G17" s="47"/>
      <c r="H17" s="57">
        <f>COUNTIF(H$26:H$178,"Southport 2")</f>
        <v>11</v>
      </c>
      <c r="I17" s="57">
        <f>COUNTIF(F$26:F$101,"Southport 2")</f>
        <v>6</v>
      </c>
      <c r="J17" s="57">
        <f>COUNTIF(F$102:F$178,"Southport 2")</f>
        <v>5</v>
      </c>
      <c r="K17" s="57">
        <f>COUNTIF(H$26:H$101,"Southport 2")</f>
        <v>5</v>
      </c>
      <c r="L17" s="57">
        <f>COUNTIF(H$102:H$178,"Southport 2")</f>
        <v>6</v>
      </c>
    </row>
    <row r="18" spans="1:12" x14ac:dyDescent="0.3">
      <c r="A18" s="47">
        <f>COUNTIF(F$26:H$178,"St Helens 2")</f>
        <v>22</v>
      </c>
      <c r="B18" s="3" t="s">
        <v>199</v>
      </c>
      <c r="C18" s="74">
        <v>3349100</v>
      </c>
      <c r="D18" s="57">
        <f>COUNTIF(F$26:I$178,"3349100")</f>
        <v>22</v>
      </c>
      <c r="E18" s="47"/>
      <c r="F18" s="57">
        <f>COUNTIF(F$26:F$178,"St Helens 2")</f>
        <v>11</v>
      </c>
      <c r="G18" s="47"/>
      <c r="H18" s="57">
        <f>COUNTIF(H$26:H$178,"St Helens 2")</f>
        <v>11</v>
      </c>
      <c r="I18" s="57">
        <f>COUNTIF(F$26:F$101,"St Helens 2")</f>
        <v>6</v>
      </c>
      <c r="J18" s="57">
        <f>COUNTIF(F$102:F$178,"St Helens 2")</f>
        <v>5</v>
      </c>
      <c r="K18" s="57">
        <f>COUNTIF(H$26:H$101,"St Helens 2")</f>
        <v>5</v>
      </c>
      <c r="L18" s="57">
        <f>COUNTIF(H$102:H$178,"St Helens 2")</f>
        <v>6</v>
      </c>
    </row>
    <row r="19" spans="1:12" x14ac:dyDescent="0.3">
      <c r="A19" s="47">
        <f>COUNTIF(F$26:H$178,"University of Liverpool 1")</f>
        <v>22</v>
      </c>
      <c r="B19" s="3" t="s">
        <v>569</v>
      </c>
      <c r="C19" s="74">
        <v>3125708</v>
      </c>
      <c r="D19" s="57">
        <f>COUNTIF(F$26:I$178,"3125708")</f>
        <v>22</v>
      </c>
      <c r="E19" s="47"/>
      <c r="F19" s="57">
        <f>COUNTIF(F$26:F$178,"University of Liverpool 1")</f>
        <v>11</v>
      </c>
      <c r="G19" s="47"/>
      <c r="H19" s="57">
        <f>COUNTIF(H$26:H$178,"University of Liverpool 1")</f>
        <v>11</v>
      </c>
      <c r="I19" s="57">
        <f>COUNTIF(F$26:F$101,"University of Liverpool 1")</f>
        <v>5</v>
      </c>
      <c r="J19" s="57">
        <f>COUNTIF(F$102:F$178,"University of Liverpool 1")</f>
        <v>6</v>
      </c>
      <c r="K19" s="57">
        <f>COUNTIF(H$26:H$101,"University of Liverpool 1")</f>
        <v>6</v>
      </c>
      <c r="L19" s="57">
        <f>COUNTIF(H$102:H$178,"University of Liverpool 1")</f>
        <v>5</v>
      </c>
    </row>
    <row r="20" spans="1:12" x14ac:dyDescent="0.3">
      <c r="A20" s="47">
        <f>COUNTIF(F$26:H$178,"Warrington 2")</f>
        <v>22</v>
      </c>
      <c r="B20" s="3" t="s">
        <v>224</v>
      </c>
      <c r="C20" s="74">
        <v>3347008</v>
      </c>
      <c r="D20" s="57">
        <f>COUNTIF(F$26:I$178,"3347008")</f>
        <v>22</v>
      </c>
      <c r="E20" s="47"/>
      <c r="F20" s="57">
        <f>COUNTIF(F$26:F$178,"Warrington 2")</f>
        <v>11</v>
      </c>
      <c r="G20" s="47"/>
      <c r="H20" s="57">
        <f>COUNTIF(H$26:H$178,"Warrington 2")</f>
        <v>11</v>
      </c>
      <c r="I20" s="57">
        <f>COUNTIF(F$26:F$101,"Warrington 2")</f>
        <v>5</v>
      </c>
      <c r="J20" s="57">
        <f>COUNTIF(F$102:F$178,"Warrington 2")</f>
        <v>6</v>
      </c>
      <c r="K20" s="57">
        <f>COUNTIF(H$26:H$101,"Warrington 2")</f>
        <v>6</v>
      </c>
      <c r="L20" s="57">
        <f>COUNTIF(H$102:H$178,"Warrington 2")</f>
        <v>5</v>
      </c>
    </row>
    <row r="21" spans="1:12" x14ac:dyDescent="0.3">
      <c r="A21" s="47">
        <f>COUNTIF(F$26:H$178,"West Derby 3")</f>
        <v>22</v>
      </c>
      <c r="B21" s="3" t="s">
        <v>200</v>
      </c>
      <c r="C21" s="74">
        <v>3901004</v>
      </c>
      <c r="D21" s="57">
        <f>COUNTIF(F$26:I$178,"3901004")</f>
        <v>22</v>
      </c>
      <c r="E21" s="47"/>
      <c r="F21" s="57">
        <f>COUNTIF(F$26:F$178,"West Derby 3")</f>
        <v>11</v>
      </c>
      <c r="G21" s="47"/>
      <c r="H21" s="57">
        <f>COUNTIF(H$26:H$178,"West Derby 3")</f>
        <v>11</v>
      </c>
      <c r="I21" s="57">
        <f>COUNTIF(F$26:F$101,"West Derby 3")</f>
        <v>6</v>
      </c>
      <c r="J21" s="57">
        <f>COUNTIF(F$102:F$178,"West Derby 3")</f>
        <v>5</v>
      </c>
      <c r="K21" s="57">
        <f>COUNTIF(H$26:H$101,"West Derby 3")</f>
        <v>5</v>
      </c>
      <c r="L21" s="57">
        <f>COUNTIF(H$102:H$178,"West Derby 3")</f>
        <v>6</v>
      </c>
    </row>
    <row r="22" spans="1:12" x14ac:dyDescent="0.3">
      <c r="E22" s="47"/>
      <c r="F22" s="47"/>
      <c r="G22" s="47"/>
      <c r="H22" s="47"/>
      <c r="I22" s="47"/>
    </row>
    <row r="23" spans="1:12" ht="21" x14ac:dyDescent="0.4">
      <c r="B23" s="22" t="s">
        <v>93</v>
      </c>
    </row>
    <row r="24" spans="1:12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K24" s="51"/>
    </row>
    <row r="26" spans="1:12" x14ac:dyDescent="0.3">
      <c r="B26" s="44">
        <v>45913</v>
      </c>
      <c r="C26" s="3" t="s">
        <v>416</v>
      </c>
      <c r="D26" s="3" t="s">
        <v>495</v>
      </c>
      <c r="E26" s="101"/>
      <c r="F26" s="3" t="s">
        <v>570</v>
      </c>
      <c r="G26" s="4" t="s">
        <v>556</v>
      </c>
      <c r="H26" s="3" t="s">
        <v>192</v>
      </c>
      <c r="I26" s="53">
        <v>3357004</v>
      </c>
      <c r="K26" s="3"/>
      <c r="L26" s="4"/>
    </row>
    <row r="27" spans="1:12" x14ac:dyDescent="0.3">
      <c r="B27" s="44">
        <v>45913</v>
      </c>
      <c r="C27" s="3" t="s">
        <v>416</v>
      </c>
      <c r="D27" s="3" t="s">
        <v>495</v>
      </c>
      <c r="E27" s="101"/>
      <c r="F27" s="3" t="s">
        <v>200</v>
      </c>
      <c r="G27" s="53">
        <v>3901004</v>
      </c>
      <c r="H27" s="3" t="s">
        <v>197</v>
      </c>
      <c r="I27" s="4">
        <v>3353300</v>
      </c>
      <c r="K27" s="3"/>
      <c r="L27" s="53"/>
    </row>
    <row r="28" spans="1:12" x14ac:dyDescent="0.3">
      <c r="B28" s="44">
        <v>45913</v>
      </c>
      <c r="C28" s="3" t="s">
        <v>416</v>
      </c>
      <c r="D28" s="3" t="s">
        <v>495</v>
      </c>
      <c r="E28" s="101"/>
      <c r="F28" s="3" t="s">
        <v>164</v>
      </c>
      <c r="G28" s="4">
        <v>3349402</v>
      </c>
      <c r="H28" s="3" t="s">
        <v>195</v>
      </c>
      <c r="I28" s="74">
        <v>3361600</v>
      </c>
    </row>
    <row r="29" spans="1:12" x14ac:dyDescent="0.3">
      <c r="B29" s="44">
        <v>45913</v>
      </c>
      <c r="C29" s="3" t="s">
        <v>416</v>
      </c>
      <c r="D29" s="3" t="s">
        <v>495</v>
      </c>
      <c r="E29" s="101"/>
      <c r="F29" s="3" t="s">
        <v>568</v>
      </c>
      <c r="G29" s="4">
        <v>3969908</v>
      </c>
      <c r="H29" s="3" t="s">
        <v>193</v>
      </c>
      <c r="I29" s="4">
        <v>3357108</v>
      </c>
    </row>
    <row r="30" spans="1:12" x14ac:dyDescent="0.3">
      <c r="B30" s="44">
        <v>45913</v>
      </c>
      <c r="C30" s="3" t="s">
        <v>416</v>
      </c>
      <c r="D30" s="3" t="s">
        <v>495</v>
      </c>
      <c r="E30" s="101"/>
      <c r="F30" s="3" t="s">
        <v>196</v>
      </c>
      <c r="G30" s="4">
        <v>3353102</v>
      </c>
      <c r="H30" s="3" t="s">
        <v>199</v>
      </c>
      <c r="I30" s="4">
        <v>3349100</v>
      </c>
    </row>
    <row r="31" spans="1:12" x14ac:dyDescent="0.3">
      <c r="B31" s="44">
        <v>45913</v>
      </c>
      <c r="C31" s="3" t="s">
        <v>416</v>
      </c>
      <c r="D31" s="3" t="s">
        <v>495</v>
      </c>
      <c r="E31" s="101"/>
      <c r="F31" s="3" t="s">
        <v>569</v>
      </c>
      <c r="G31" s="4">
        <v>3125708</v>
      </c>
      <c r="H31" s="3" t="s">
        <v>224</v>
      </c>
      <c r="I31" s="4">
        <v>3347008</v>
      </c>
    </row>
    <row r="32" spans="1:12" x14ac:dyDescent="0.3">
      <c r="B32" s="4"/>
      <c r="E32" s="101"/>
      <c r="F32" s="3" t="s">
        <v>418</v>
      </c>
    </row>
    <row r="33" spans="2:14" x14ac:dyDescent="0.3">
      <c r="B33" s="44">
        <v>45920</v>
      </c>
      <c r="C33" s="3" t="s">
        <v>416</v>
      </c>
      <c r="D33" s="3" t="s">
        <v>495</v>
      </c>
      <c r="E33" s="101"/>
      <c r="F33" s="3" t="s">
        <v>193</v>
      </c>
      <c r="G33" s="4">
        <v>3357108</v>
      </c>
      <c r="H33" s="3" t="s">
        <v>200</v>
      </c>
      <c r="I33" s="53">
        <v>3901004</v>
      </c>
    </row>
    <row r="34" spans="2:14" x14ac:dyDescent="0.3">
      <c r="B34" s="44">
        <v>45920</v>
      </c>
      <c r="C34" s="3" t="s">
        <v>416</v>
      </c>
      <c r="D34" s="3" t="s">
        <v>495</v>
      </c>
      <c r="E34" s="101"/>
      <c r="F34" s="3" t="s">
        <v>195</v>
      </c>
      <c r="G34" s="74">
        <v>3361600</v>
      </c>
      <c r="H34" s="3" t="s">
        <v>570</v>
      </c>
      <c r="I34" s="4" t="s">
        <v>556</v>
      </c>
    </row>
    <row r="35" spans="2:14" x14ac:dyDescent="0.3">
      <c r="B35" s="44">
        <v>45920</v>
      </c>
      <c r="C35" s="3" t="s">
        <v>416</v>
      </c>
      <c r="D35" s="3" t="s">
        <v>495</v>
      </c>
      <c r="E35" s="101"/>
      <c r="F35" s="3" t="s">
        <v>197</v>
      </c>
      <c r="G35" s="4">
        <v>3353300</v>
      </c>
      <c r="H35" s="3" t="s">
        <v>164</v>
      </c>
      <c r="I35" s="4">
        <v>3349402</v>
      </c>
    </row>
    <row r="36" spans="2:14" x14ac:dyDescent="0.3">
      <c r="B36" s="44">
        <v>45920</v>
      </c>
      <c r="C36" s="3" t="s">
        <v>416</v>
      </c>
      <c r="D36" s="3" t="s">
        <v>495</v>
      </c>
      <c r="E36" s="101"/>
      <c r="F36" s="3" t="s">
        <v>224</v>
      </c>
      <c r="G36" s="4">
        <v>3347008</v>
      </c>
      <c r="H36" s="3" t="s">
        <v>568</v>
      </c>
      <c r="I36" s="4">
        <v>3969908</v>
      </c>
    </row>
    <row r="37" spans="2:14" x14ac:dyDescent="0.3">
      <c r="B37" s="44">
        <v>45920</v>
      </c>
      <c r="C37" s="3" t="s">
        <v>416</v>
      </c>
      <c r="D37" s="3" t="s">
        <v>495</v>
      </c>
      <c r="E37" s="101"/>
      <c r="F37" s="3" t="s">
        <v>192</v>
      </c>
      <c r="G37" s="53">
        <v>3357004</v>
      </c>
      <c r="H37" s="3" t="s">
        <v>196</v>
      </c>
      <c r="I37" s="4">
        <v>3353102</v>
      </c>
      <c r="K37" s="3"/>
      <c r="L37" s="74"/>
      <c r="N37" s="53"/>
    </row>
    <row r="38" spans="2:14" x14ac:dyDescent="0.3">
      <c r="B38" s="44">
        <v>45920</v>
      </c>
      <c r="C38" s="3" t="s">
        <v>416</v>
      </c>
      <c r="D38" s="3" t="s">
        <v>495</v>
      </c>
      <c r="E38" s="101"/>
      <c r="F38" s="3" t="s">
        <v>199</v>
      </c>
      <c r="G38" s="4">
        <v>3349100</v>
      </c>
      <c r="H38" s="3" t="s">
        <v>569</v>
      </c>
      <c r="I38" s="4">
        <v>3125708</v>
      </c>
    </row>
    <row r="39" spans="2:14" x14ac:dyDescent="0.3">
      <c r="B39" s="4"/>
      <c r="E39" s="101"/>
      <c r="F39" s="3" t="s">
        <v>418</v>
      </c>
    </row>
    <row r="40" spans="2:14" x14ac:dyDescent="0.3">
      <c r="B40" s="44">
        <v>45927</v>
      </c>
      <c r="C40" s="3" t="s">
        <v>416</v>
      </c>
      <c r="D40" s="3" t="s">
        <v>495</v>
      </c>
      <c r="E40" s="101"/>
      <c r="F40" s="3" t="s">
        <v>570</v>
      </c>
      <c r="G40" s="4" t="s">
        <v>556</v>
      </c>
      <c r="H40" s="3" t="s">
        <v>197</v>
      </c>
      <c r="I40" s="4">
        <v>3353300</v>
      </c>
    </row>
    <row r="41" spans="2:14" x14ac:dyDescent="0.3">
      <c r="B41" s="44">
        <v>45927</v>
      </c>
      <c r="C41" s="3" t="s">
        <v>416</v>
      </c>
      <c r="D41" s="3" t="s">
        <v>495</v>
      </c>
      <c r="E41" s="101"/>
      <c r="F41" s="3" t="s">
        <v>200</v>
      </c>
      <c r="G41" s="53">
        <v>3901004</v>
      </c>
      <c r="H41" s="3" t="s">
        <v>224</v>
      </c>
      <c r="I41" s="4">
        <v>3347008</v>
      </c>
    </row>
    <row r="42" spans="2:14" x14ac:dyDescent="0.3">
      <c r="B42" s="44">
        <v>45927</v>
      </c>
      <c r="C42" s="3" t="s">
        <v>416</v>
      </c>
      <c r="D42" s="3" t="s">
        <v>495</v>
      </c>
      <c r="E42" s="101"/>
      <c r="F42" s="3" t="s">
        <v>164</v>
      </c>
      <c r="G42" s="4">
        <v>3349402</v>
      </c>
      <c r="H42" s="3" t="s">
        <v>193</v>
      </c>
      <c r="I42" s="4">
        <v>3357108</v>
      </c>
    </row>
    <row r="43" spans="2:14" x14ac:dyDescent="0.3">
      <c r="B43" s="44">
        <v>45927</v>
      </c>
      <c r="C43" s="3" t="s">
        <v>416</v>
      </c>
      <c r="D43" s="3" t="s">
        <v>495</v>
      </c>
      <c r="E43" s="101"/>
      <c r="F43" s="3" t="s">
        <v>568</v>
      </c>
      <c r="G43" s="4">
        <v>3969908</v>
      </c>
      <c r="H43" s="3" t="s">
        <v>569</v>
      </c>
      <c r="I43" s="4">
        <v>3125708</v>
      </c>
    </row>
    <row r="44" spans="2:14" x14ac:dyDescent="0.3">
      <c r="B44" s="44">
        <v>45927</v>
      </c>
      <c r="C44" s="3" t="s">
        <v>416</v>
      </c>
      <c r="D44" s="3" t="s">
        <v>495</v>
      </c>
      <c r="E44" s="101"/>
      <c r="F44" s="3" t="s">
        <v>196</v>
      </c>
      <c r="G44" s="4">
        <v>3353102</v>
      </c>
      <c r="H44" s="3" t="s">
        <v>195</v>
      </c>
      <c r="I44" s="74">
        <v>3361600</v>
      </c>
    </row>
    <row r="45" spans="2:14" x14ac:dyDescent="0.3">
      <c r="B45" s="44">
        <v>45927</v>
      </c>
      <c r="C45" s="3" t="s">
        <v>416</v>
      </c>
      <c r="D45" s="3" t="s">
        <v>495</v>
      </c>
      <c r="E45" s="101"/>
      <c r="F45" s="3" t="s">
        <v>199</v>
      </c>
      <c r="G45" s="4">
        <v>3349100</v>
      </c>
      <c r="H45" s="3" t="s">
        <v>192</v>
      </c>
      <c r="I45" s="53">
        <v>3357004</v>
      </c>
    </row>
    <row r="46" spans="2:14" x14ac:dyDescent="0.3">
      <c r="B46" s="4"/>
      <c r="E46" s="101"/>
      <c r="F46" s="3" t="s">
        <v>418</v>
      </c>
    </row>
    <row r="47" spans="2:14" x14ac:dyDescent="0.3">
      <c r="B47" s="44">
        <v>45934</v>
      </c>
      <c r="C47" s="3" t="s">
        <v>416</v>
      </c>
      <c r="D47" s="3" t="s">
        <v>495</v>
      </c>
      <c r="E47" s="101"/>
      <c r="F47" s="3" t="s">
        <v>193</v>
      </c>
      <c r="G47" s="4">
        <v>3357108</v>
      </c>
      <c r="H47" s="3" t="s">
        <v>570</v>
      </c>
      <c r="I47" s="4" t="s">
        <v>556</v>
      </c>
    </row>
    <row r="48" spans="2:14" x14ac:dyDescent="0.3">
      <c r="B48" s="44">
        <v>45934</v>
      </c>
      <c r="C48" s="3" t="s">
        <v>416</v>
      </c>
      <c r="D48" s="3" t="s">
        <v>495</v>
      </c>
      <c r="E48" s="101"/>
      <c r="F48" s="3" t="s">
        <v>195</v>
      </c>
      <c r="G48" s="74">
        <v>3361600</v>
      </c>
      <c r="H48" s="3" t="s">
        <v>192</v>
      </c>
      <c r="I48" s="53">
        <v>3357004</v>
      </c>
    </row>
    <row r="49" spans="2:9" x14ac:dyDescent="0.3">
      <c r="B49" s="44">
        <v>45934</v>
      </c>
      <c r="C49" s="3" t="s">
        <v>416</v>
      </c>
      <c r="D49" s="3" t="s">
        <v>495</v>
      </c>
      <c r="E49" s="101"/>
      <c r="F49" s="3" t="s">
        <v>197</v>
      </c>
      <c r="G49" s="4">
        <v>3353300</v>
      </c>
      <c r="H49" s="3" t="s">
        <v>196</v>
      </c>
      <c r="I49" s="4">
        <v>3353102</v>
      </c>
    </row>
    <row r="50" spans="2:9" x14ac:dyDescent="0.3">
      <c r="B50" s="44">
        <v>45934</v>
      </c>
      <c r="C50" s="3" t="s">
        <v>416</v>
      </c>
      <c r="D50" s="3" t="s">
        <v>495</v>
      </c>
      <c r="E50" s="101"/>
      <c r="F50" s="3" t="s">
        <v>568</v>
      </c>
      <c r="G50" s="4">
        <v>3969908</v>
      </c>
      <c r="H50" s="3" t="s">
        <v>199</v>
      </c>
      <c r="I50" s="4">
        <v>3349100</v>
      </c>
    </row>
    <row r="51" spans="2:9" x14ac:dyDescent="0.3">
      <c r="B51" s="44">
        <v>45934</v>
      </c>
      <c r="C51" s="3" t="s">
        <v>416</v>
      </c>
      <c r="D51" s="3" t="s">
        <v>495</v>
      </c>
      <c r="E51" s="101"/>
      <c r="F51" s="3" t="s">
        <v>224</v>
      </c>
      <c r="G51" s="4">
        <v>3347008</v>
      </c>
      <c r="H51" s="3" t="s">
        <v>164</v>
      </c>
      <c r="I51" s="4">
        <v>3349402</v>
      </c>
    </row>
    <row r="52" spans="2:9" x14ac:dyDescent="0.3">
      <c r="B52" s="44">
        <v>45934</v>
      </c>
      <c r="C52" s="3" t="s">
        <v>416</v>
      </c>
      <c r="D52" s="3" t="s">
        <v>495</v>
      </c>
      <c r="E52" s="101"/>
      <c r="F52" s="3" t="s">
        <v>569</v>
      </c>
      <c r="G52" s="4">
        <v>3125708</v>
      </c>
      <c r="H52" s="3" t="s">
        <v>200</v>
      </c>
      <c r="I52" s="53">
        <v>3901004</v>
      </c>
    </row>
    <row r="53" spans="2:9" x14ac:dyDescent="0.3">
      <c r="B53" s="4"/>
      <c r="E53" s="101"/>
      <c r="F53" s="3" t="s">
        <v>418</v>
      </c>
    </row>
    <row r="54" spans="2:9" x14ac:dyDescent="0.3">
      <c r="B54" s="44">
        <v>45941</v>
      </c>
      <c r="C54" s="3" t="s">
        <v>416</v>
      </c>
      <c r="D54" s="3" t="s">
        <v>495</v>
      </c>
      <c r="E54" s="101"/>
      <c r="F54" s="3" t="s">
        <v>570</v>
      </c>
      <c r="G54" s="4" t="s">
        <v>556</v>
      </c>
      <c r="H54" s="3" t="s">
        <v>224</v>
      </c>
      <c r="I54" s="4">
        <v>3347008</v>
      </c>
    </row>
    <row r="55" spans="2:9" x14ac:dyDescent="0.3">
      <c r="B55" s="44">
        <v>45941</v>
      </c>
      <c r="C55" s="3" t="s">
        <v>416</v>
      </c>
      <c r="D55" s="3" t="s">
        <v>495</v>
      </c>
      <c r="E55" s="101"/>
      <c r="F55" s="3" t="s">
        <v>200</v>
      </c>
      <c r="G55" s="53">
        <v>3901004</v>
      </c>
      <c r="H55" s="3" t="s">
        <v>568</v>
      </c>
      <c r="I55" s="4">
        <v>3969908</v>
      </c>
    </row>
    <row r="56" spans="2:9" x14ac:dyDescent="0.3">
      <c r="B56" s="44">
        <v>45941</v>
      </c>
      <c r="C56" s="3" t="s">
        <v>416</v>
      </c>
      <c r="D56" s="3" t="s">
        <v>495</v>
      </c>
      <c r="E56" s="101"/>
      <c r="F56" s="3" t="s">
        <v>164</v>
      </c>
      <c r="G56" s="4">
        <v>3349402</v>
      </c>
      <c r="H56" s="3" t="s">
        <v>569</v>
      </c>
      <c r="I56" s="4">
        <v>3125708</v>
      </c>
    </row>
    <row r="57" spans="2:9" x14ac:dyDescent="0.3">
      <c r="B57" s="44">
        <v>45941</v>
      </c>
      <c r="C57" s="3" t="s">
        <v>416</v>
      </c>
      <c r="D57" s="3" t="s">
        <v>495</v>
      </c>
      <c r="E57" s="101"/>
      <c r="F57" s="3" t="s">
        <v>196</v>
      </c>
      <c r="G57" s="4">
        <v>3353102</v>
      </c>
      <c r="H57" s="3" t="s">
        <v>193</v>
      </c>
      <c r="I57" s="4">
        <v>3357108</v>
      </c>
    </row>
    <row r="58" spans="2:9" x14ac:dyDescent="0.3">
      <c r="B58" s="44">
        <v>45941</v>
      </c>
      <c r="C58" s="3" t="s">
        <v>416</v>
      </c>
      <c r="D58" s="3" t="s">
        <v>495</v>
      </c>
      <c r="E58" s="101"/>
      <c r="F58" s="3" t="s">
        <v>192</v>
      </c>
      <c r="G58" s="53">
        <v>3357004</v>
      </c>
      <c r="H58" s="3" t="s">
        <v>197</v>
      </c>
      <c r="I58" s="4">
        <v>3353300</v>
      </c>
    </row>
    <row r="59" spans="2:9" x14ac:dyDescent="0.3">
      <c r="B59" s="44">
        <v>45941</v>
      </c>
      <c r="C59" s="3" t="s">
        <v>416</v>
      </c>
      <c r="D59" s="3" t="s">
        <v>495</v>
      </c>
      <c r="E59" s="101"/>
      <c r="F59" s="3" t="s">
        <v>199</v>
      </c>
      <c r="G59" s="4">
        <v>3349100</v>
      </c>
      <c r="H59" s="3" t="s">
        <v>195</v>
      </c>
      <c r="I59" s="74">
        <v>3361600</v>
      </c>
    </row>
    <row r="60" spans="2:9" x14ac:dyDescent="0.3">
      <c r="B60" s="4"/>
      <c r="E60" s="101"/>
      <c r="F60" s="3" t="s">
        <v>418</v>
      </c>
    </row>
    <row r="61" spans="2:9" x14ac:dyDescent="0.3">
      <c r="B61" s="44">
        <v>45948</v>
      </c>
      <c r="C61" s="3" t="s">
        <v>416</v>
      </c>
      <c r="D61" s="3" t="s">
        <v>495</v>
      </c>
      <c r="E61" s="101"/>
      <c r="F61" s="3" t="s">
        <v>193</v>
      </c>
      <c r="G61" s="4">
        <v>3357108</v>
      </c>
      <c r="H61" s="3" t="s">
        <v>192</v>
      </c>
      <c r="I61" s="53">
        <v>3357004</v>
      </c>
    </row>
    <row r="62" spans="2:9" x14ac:dyDescent="0.3">
      <c r="B62" s="44">
        <v>45948</v>
      </c>
      <c r="C62" s="3" t="s">
        <v>416</v>
      </c>
      <c r="D62" s="3" t="s">
        <v>495</v>
      </c>
      <c r="E62" s="101"/>
      <c r="F62" s="3" t="s">
        <v>200</v>
      </c>
      <c r="G62" s="53">
        <v>3901004</v>
      </c>
      <c r="H62" s="3" t="s">
        <v>199</v>
      </c>
      <c r="I62" s="4">
        <v>3349100</v>
      </c>
    </row>
    <row r="63" spans="2:9" x14ac:dyDescent="0.3">
      <c r="B63" s="44">
        <v>45948</v>
      </c>
      <c r="C63" s="3" t="s">
        <v>416</v>
      </c>
      <c r="D63" s="3" t="s">
        <v>495</v>
      </c>
      <c r="E63" s="101"/>
      <c r="F63" s="3" t="s">
        <v>197</v>
      </c>
      <c r="G63" s="4">
        <v>3353300</v>
      </c>
      <c r="H63" s="3" t="s">
        <v>195</v>
      </c>
      <c r="I63" s="74">
        <v>3361600</v>
      </c>
    </row>
    <row r="64" spans="2:9" x14ac:dyDescent="0.3">
      <c r="B64" s="44">
        <v>45948</v>
      </c>
      <c r="C64" s="3" t="s">
        <v>416</v>
      </c>
      <c r="D64" s="3" t="s">
        <v>495</v>
      </c>
      <c r="E64" s="101"/>
      <c r="F64" s="3" t="s">
        <v>568</v>
      </c>
      <c r="G64" s="4">
        <v>3969908</v>
      </c>
      <c r="H64" s="3" t="s">
        <v>164</v>
      </c>
      <c r="I64" s="4">
        <v>3349402</v>
      </c>
    </row>
    <row r="65" spans="2:9" x14ac:dyDescent="0.3">
      <c r="B65" s="44">
        <v>45948</v>
      </c>
      <c r="C65" s="3" t="s">
        <v>416</v>
      </c>
      <c r="D65" s="3" t="s">
        <v>495</v>
      </c>
      <c r="E65" s="101"/>
      <c r="F65" s="3" t="s">
        <v>224</v>
      </c>
      <c r="G65" s="4">
        <v>3347008</v>
      </c>
      <c r="H65" s="3" t="s">
        <v>196</v>
      </c>
      <c r="I65" s="4">
        <v>3353102</v>
      </c>
    </row>
    <row r="66" spans="2:9" x14ac:dyDescent="0.3">
      <c r="B66" s="44">
        <v>45948</v>
      </c>
      <c r="C66" s="3" t="s">
        <v>416</v>
      </c>
      <c r="D66" s="3" t="s">
        <v>495</v>
      </c>
      <c r="E66" s="101"/>
      <c r="F66" s="3" t="s">
        <v>569</v>
      </c>
      <c r="G66" s="4">
        <v>3125708</v>
      </c>
      <c r="H66" s="3" t="s">
        <v>570</v>
      </c>
      <c r="I66" s="4" t="s">
        <v>556</v>
      </c>
    </row>
    <row r="67" spans="2:9" x14ac:dyDescent="0.3">
      <c r="B67" s="4"/>
      <c r="E67" s="101"/>
      <c r="F67" s="3" t="s">
        <v>418</v>
      </c>
    </row>
    <row r="68" spans="2:9" x14ac:dyDescent="0.3">
      <c r="B68" s="44">
        <v>45962</v>
      </c>
      <c r="C68" s="3" t="s">
        <v>416</v>
      </c>
      <c r="D68" s="3" t="s">
        <v>495</v>
      </c>
      <c r="E68" s="101"/>
      <c r="F68" s="3" t="s">
        <v>570</v>
      </c>
      <c r="G68" s="4" t="s">
        <v>556</v>
      </c>
      <c r="H68" s="3" t="s">
        <v>568</v>
      </c>
      <c r="I68" s="4">
        <v>3969908</v>
      </c>
    </row>
    <row r="69" spans="2:9" x14ac:dyDescent="0.3">
      <c r="B69" s="44">
        <v>45962</v>
      </c>
      <c r="C69" s="3" t="s">
        <v>416</v>
      </c>
      <c r="D69" s="3" t="s">
        <v>495</v>
      </c>
      <c r="E69" s="101"/>
      <c r="F69" s="3" t="s">
        <v>195</v>
      </c>
      <c r="G69" s="74">
        <v>3361600</v>
      </c>
      <c r="H69" s="3" t="s">
        <v>193</v>
      </c>
      <c r="I69" s="4">
        <v>3357108</v>
      </c>
    </row>
    <row r="70" spans="2:9" x14ac:dyDescent="0.3">
      <c r="B70" s="44">
        <v>45962</v>
      </c>
      <c r="C70" s="3" t="s">
        <v>416</v>
      </c>
      <c r="D70" s="3" t="s">
        <v>495</v>
      </c>
      <c r="E70" s="101"/>
      <c r="F70" s="3" t="s">
        <v>164</v>
      </c>
      <c r="G70" s="4">
        <v>3349402</v>
      </c>
      <c r="H70" s="3" t="s">
        <v>200</v>
      </c>
      <c r="I70" s="53">
        <v>3901004</v>
      </c>
    </row>
    <row r="71" spans="2:9" x14ac:dyDescent="0.3">
      <c r="B71" s="44">
        <v>45962</v>
      </c>
      <c r="C71" s="3" t="s">
        <v>416</v>
      </c>
      <c r="D71" s="3" t="s">
        <v>495</v>
      </c>
      <c r="E71" s="101"/>
      <c r="F71" s="3" t="s">
        <v>196</v>
      </c>
      <c r="G71" s="4">
        <v>3353102</v>
      </c>
      <c r="H71" s="3" t="s">
        <v>569</v>
      </c>
      <c r="I71" s="4">
        <v>3125708</v>
      </c>
    </row>
    <row r="72" spans="2:9" x14ac:dyDescent="0.3">
      <c r="B72" s="44">
        <v>45962</v>
      </c>
      <c r="C72" s="3" t="s">
        <v>416</v>
      </c>
      <c r="D72" s="3" t="s">
        <v>495</v>
      </c>
      <c r="E72" s="101"/>
      <c r="F72" s="3" t="s">
        <v>192</v>
      </c>
      <c r="G72" s="53">
        <v>3357004</v>
      </c>
      <c r="H72" s="3" t="s">
        <v>224</v>
      </c>
      <c r="I72" s="4">
        <v>3347008</v>
      </c>
    </row>
    <row r="73" spans="2:9" x14ac:dyDescent="0.3">
      <c r="B73" s="44">
        <v>45962</v>
      </c>
      <c r="C73" s="3" t="s">
        <v>416</v>
      </c>
      <c r="D73" s="3" t="s">
        <v>495</v>
      </c>
      <c r="E73" s="101"/>
      <c r="F73" s="3" t="s">
        <v>199</v>
      </c>
      <c r="G73" s="4">
        <v>3349100</v>
      </c>
      <c r="H73" s="3" t="s">
        <v>197</v>
      </c>
      <c r="I73" s="4">
        <v>3353300</v>
      </c>
    </row>
    <row r="74" spans="2:9" x14ac:dyDescent="0.3">
      <c r="B74" s="4"/>
      <c r="E74" s="101"/>
      <c r="F74" s="3" t="s">
        <v>418</v>
      </c>
    </row>
    <row r="75" spans="2:9" x14ac:dyDescent="0.3">
      <c r="B75" s="44">
        <v>45969</v>
      </c>
      <c r="C75" s="3" t="s">
        <v>416</v>
      </c>
      <c r="D75" s="3" t="s">
        <v>495</v>
      </c>
      <c r="E75" s="101"/>
      <c r="F75" s="3" t="s">
        <v>193</v>
      </c>
      <c r="G75" s="4">
        <v>3357108</v>
      </c>
      <c r="H75" s="3" t="s">
        <v>197</v>
      </c>
      <c r="I75" s="4">
        <v>3353300</v>
      </c>
    </row>
    <row r="76" spans="2:9" x14ac:dyDescent="0.3">
      <c r="B76" s="44">
        <v>45969</v>
      </c>
      <c r="C76" s="3" t="s">
        <v>416</v>
      </c>
      <c r="D76" s="3" t="s">
        <v>495</v>
      </c>
      <c r="E76" s="101"/>
      <c r="F76" s="3" t="s">
        <v>200</v>
      </c>
      <c r="G76" s="53">
        <v>3901004</v>
      </c>
      <c r="H76" s="3" t="s">
        <v>570</v>
      </c>
      <c r="I76" s="4" t="s">
        <v>556</v>
      </c>
    </row>
    <row r="77" spans="2:9" x14ac:dyDescent="0.3">
      <c r="B77" s="44">
        <v>45969</v>
      </c>
      <c r="C77" s="3" t="s">
        <v>416</v>
      </c>
      <c r="D77" s="3" t="s">
        <v>495</v>
      </c>
      <c r="E77" s="101"/>
      <c r="F77" s="3" t="s">
        <v>164</v>
      </c>
      <c r="G77" s="4">
        <v>3349402</v>
      </c>
      <c r="H77" s="3" t="s">
        <v>199</v>
      </c>
      <c r="I77" s="4">
        <v>3349100</v>
      </c>
    </row>
    <row r="78" spans="2:9" x14ac:dyDescent="0.3">
      <c r="B78" s="44">
        <v>45969</v>
      </c>
      <c r="C78" s="3" t="s">
        <v>416</v>
      </c>
      <c r="D78" s="3" t="s">
        <v>495</v>
      </c>
      <c r="E78" s="101"/>
      <c r="F78" s="3" t="s">
        <v>568</v>
      </c>
      <c r="G78" s="4">
        <v>3969908</v>
      </c>
      <c r="H78" s="3" t="s">
        <v>196</v>
      </c>
      <c r="I78" s="4">
        <v>3353102</v>
      </c>
    </row>
    <row r="79" spans="2:9" x14ac:dyDescent="0.3">
      <c r="B79" s="44">
        <v>45969</v>
      </c>
      <c r="C79" s="3" t="s">
        <v>416</v>
      </c>
      <c r="D79" s="3" t="s">
        <v>495</v>
      </c>
      <c r="E79" s="101"/>
      <c r="F79" s="3" t="s">
        <v>224</v>
      </c>
      <c r="G79" s="4">
        <v>3347008</v>
      </c>
      <c r="H79" s="3" t="s">
        <v>195</v>
      </c>
      <c r="I79" s="74">
        <v>3361600</v>
      </c>
    </row>
    <row r="80" spans="2:9" x14ac:dyDescent="0.3">
      <c r="B80" s="44">
        <v>45969</v>
      </c>
      <c r="C80" s="3" t="s">
        <v>416</v>
      </c>
      <c r="D80" s="3" t="s">
        <v>495</v>
      </c>
      <c r="E80" s="101"/>
      <c r="F80" s="3" t="s">
        <v>569</v>
      </c>
      <c r="G80" s="4">
        <v>3125708</v>
      </c>
      <c r="H80" s="3" t="s">
        <v>192</v>
      </c>
      <c r="I80" s="53">
        <v>3357004</v>
      </c>
    </row>
    <row r="81" spans="2:9" x14ac:dyDescent="0.3">
      <c r="B81" s="4"/>
      <c r="E81" s="101"/>
      <c r="F81" s="3" t="s">
        <v>418</v>
      </c>
    </row>
    <row r="82" spans="2:9" x14ac:dyDescent="0.3">
      <c r="B82" s="44">
        <v>45976</v>
      </c>
      <c r="C82" s="3" t="s">
        <v>416</v>
      </c>
      <c r="D82" s="3" t="s">
        <v>495</v>
      </c>
      <c r="E82" s="101"/>
      <c r="F82" s="3" t="s">
        <v>570</v>
      </c>
      <c r="G82" s="4" t="s">
        <v>556</v>
      </c>
      <c r="H82" s="3" t="s">
        <v>164</v>
      </c>
      <c r="I82" s="4">
        <v>3349402</v>
      </c>
    </row>
    <row r="83" spans="2:9" x14ac:dyDescent="0.3">
      <c r="B83" s="44">
        <v>45976</v>
      </c>
      <c r="C83" s="3" t="s">
        <v>416</v>
      </c>
      <c r="D83" s="3" t="s">
        <v>495</v>
      </c>
      <c r="E83" s="101"/>
      <c r="F83" s="3" t="s">
        <v>195</v>
      </c>
      <c r="G83" s="74">
        <v>3361600</v>
      </c>
      <c r="H83" s="3" t="s">
        <v>569</v>
      </c>
      <c r="I83" s="4">
        <v>3125708</v>
      </c>
    </row>
    <row r="84" spans="2:9" x14ac:dyDescent="0.3">
      <c r="B84" s="44">
        <v>45976</v>
      </c>
      <c r="C84" s="3" t="s">
        <v>416</v>
      </c>
      <c r="D84" s="3" t="s">
        <v>495</v>
      </c>
      <c r="E84" s="101"/>
      <c r="F84" s="3" t="s">
        <v>197</v>
      </c>
      <c r="G84" s="4">
        <v>3353300</v>
      </c>
      <c r="H84" s="3" t="s">
        <v>224</v>
      </c>
      <c r="I84" s="4">
        <v>3347008</v>
      </c>
    </row>
    <row r="85" spans="2:9" x14ac:dyDescent="0.3">
      <c r="B85" s="44">
        <v>45976</v>
      </c>
      <c r="C85" s="3" t="s">
        <v>416</v>
      </c>
      <c r="D85" s="3" t="s">
        <v>495</v>
      </c>
      <c r="E85" s="101"/>
      <c r="F85" s="3" t="s">
        <v>196</v>
      </c>
      <c r="G85" s="4">
        <v>3353102</v>
      </c>
      <c r="H85" s="3" t="s">
        <v>200</v>
      </c>
      <c r="I85" s="53">
        <v>3901004</v>
      </c>
    </row>
    <row r="86" spans="2:9" x14ac:dyDescent="0.3">
      <c r="B86" s="44">
        <v>45976</v>
      </c>
      <c r="C86" s="3" t="s">
        <v>416</v>
      </c>
      <c r="D86" s="3" t="s">
        <v>495</v>
      </c>
      <c r="E86" s="101"/>
      <c r="F86" s="3" t="s">
        <v>192</v>
      </c>
      <c r="G86" s="53">
        <v>3357004</v>
      </c>
      <c r="H86" s="3" t="s">
        <v>568</v>
      </c>
      <c r="I86" s="4">
        <v>3969908</v>
      </c>
    </row>
    <row r="87" spans="2:9" x14ac:dyDescent="0.3">
      <c r="B87" s="44">
        <v>45976</v>
      </c>
      <c r="C87" s="3" t="s">
        <v>416</v>
      </c>
      <c r="D87" s="3" t="s">
        <v>495</v>
      </c>
      <c r="E87" s="101"/>
      <c r="F87" s="3" t="s">
        <v>199</v>
      </c>
      <c r="G87" s="4">
        <v>3349100</v>
      </c>
      <c r="H87" s="3" t="s">
        <v>193</v>
      </c>
      <c r="I87" s="4">
        <v>3357108</v>
      </c>
    </row>
    <row r="88" spans="2:9" x14ac:dyDescent="0.3">
      <c r="B88" s="4"/>
      <c r="E88" s="101"/>
      <c r="F88" s="3" t="s">
        <v>418</v>
      </c>
    </row>
    <row r="89" spans="2:9" x14ac:dyDescent="0.3">
      <c r="B89" s="44">
        <v>45983</v>
      </c>
      <c r="C89" s="3" t="s">
        <v>416</v>
      </c>
      <c r="D89" s="3" t="s">
        <v>495</v>
      </c>
      <c r="E89" s="101"/>
      <c r="F89" s="3" t="s">
        <v>570</v>
      </c>
      <c r="G89" s="4" t="s">
        <v>556</v>
      </c>
      <c r="H89" s="3" t="s">
        <v>199</v>
      </c>
      <c r="I89" s="4">
        <v>3349100</v>
      </c>
    </row>
    <row r="90" spans="2:9" x14ac:dyDescent="0.3">
      <c r="B90" s="44">
        <v>45983</v>
      </c>
      <c r="C90" s="3" t="s">
        <v>416</v>
      </c>
      <c r="D90" s="3" t="s">
        <v>495</v>
      </c>
      <c r="E90" s="101"/>
      <c r="F90" s="3" t="s">
        <v>200</v>
      </c>
      <c r="G90" s="53">
        <v>3901004</v>
      </c>
      <c r="H90" s="3" t="s">
        <v>192</v>
      </c>
      <c r="I90" s="53">
        <v>3357004</v>
      </c>
    </row>
    <row r="91" spans="2:9" x14ac:dyDescent="0.3">
      <c r="B91" s="44">
        <v>45983</v>
      </c>
      <c r="C91" s="3" t="s">
        <v>416</v>
      </c>
      <c r="D91" s="3" t="s">
        <v>495</v>
      </c>
      <c r="E91" s="101"/>
      <c r="F91" s="3" t="s">
        <v>164</v>
      </c>
      <c r="G91" s="4">
        <v>3349402</v>
      </c>
      <c r="H91" s="3" t="s">
        <v>196</v>
      </c>
      <c r="I91" s="4">
        <v>3353102</v>
      </c>
    </row>
    <row r="92" spans="2:9" x14ac:dyDescent="0.3">
      <c r="B92" s="44">
        <v>45983</v>
      </c>
      <c r="C92" s="3" t="s">
        <v>416</v>
      </c>
      <c r="D92" s="3" t="s">
        <v>495</v>
      </c>
      <c r="E92" s="101"/>
      <c r="F92" s="3" t="s">
        <v>568</v>
      </c>
      <c r="G92" s="4">
        <v>3969908</v>
      </c>
      <c r="H92" s="3" t="s">
        <v>195</v>
      </c>
      <c r="I92" s="74">
        <v>3361600</v>
      </c>
    </row>
    <row r="93" spans="2:9" x14ac:dyDescent="0.3">
      <c r="B93" s="44">
        <v>45983</v>
      </c>
      <c r="C93" s="3" t="s">
        <v>416</v>
      </c>
      <c r="D93" s="3" t="s">
        <v>495</v>
      </c>
      <c r="E93" s="101"/>
      <c r="F93" s="3" t="s">
        <v>224</v>
      </c>
      <c r="G93" s="4">
        <v>3347008</v>
      </c>
      <c r="H93" s="3" t="s">
        <v>193</v>
      </c>
      <c r="I93" s="4">
        <v>3357108</v>
      </c>
    </row>
    <row r="94" spans="2:9" x14ac:dyDescent="0.3">
      <c r="B94" s="44">
        <v>45983</v>
      </c>
      <c r="C94" s="3" t="s">
        <v>416</v>
      </c>
      <c r="D94" s="3" t="s">
        <v>495</v>
      </c>
      <c r="E94" s="101"/>
      <c r="F94" s="3" t="s">
        <v>569</v>
      </c>
      <c r="G94" s="4">
        <v>3125708</v>
      </c>
      <c r="H94" s="3" t="s">
        <v>197</v>
      </c>
      <c r="I94" s="4">
        <v>3353300</v>
      </c>
    </row>
    <row r="95" spans="2:9" x14ac:dyDescent="0.3">
      <c r="B95" s="4"/>
      <c r="E95" s="101"/>
      <c r="F95" s="3" t="s">
        <v>418</v>
      </c>
    </row>
    <row r="96" spans="2:9" x14ac:dyDescent="0.3">
      <c r="B96" s="44">
        <v>45990</v>
      </c>
      <c r="C96" s="3" t="s">
        <v>416</v>
      </c>
      <c r="D96" s="3" t="s">
        <v>495</v>
      </c>
      <c r="E96" s="101"/>
      <c r="F96" s="3" t="s">
        <v>193</v>
      </c>
      <c r="G96" s="4">
        <v>3357108</v>
      </c>
      <c r="H96" s="3" t="s">
        <v>569</v>
      </c>
      <c r="I96" s="4">
        <v>3125708</v>
      </c>
    </row>
    <row r="97" spans="2:9" x14ac:dyDescent="0.3">
      <c r="B97" s="44">
        <v>45990</v>
      </c>
      <c r="C97" s="3" t="s">
        <v>416</v>
      </c>
      <c r="D97" s="3" t="s">
        <v>495</v>
      </c>
      <c r="E97" s="101"/>
      <c r="F97" s="3" t="s">
        <v>195</v>
      </c>
      <c r="G97" s="74">
        <v>3361600</v>
      </c>
      <c r="H97" s="3" t="s">
        <v>200</v>
      </c>
      <c r="I97" s="53">
        <v>3901004</v>
      </c>
    </row>
    <row r="98" spans="2:9" x14ac:dyDescent="0.3">
      <c r="B98" s="44">
        <v>45990</v>
      </c>
      <c r="C98" s="3" t="s">
        <v>416</v>
      </c>
      <c r="D98" s="3" t="s">
        <v>495</v>
      </c>
      <c r="E98" s="101"/>
      <c r="F98" s="3" t="s">
        <v>197</v>
      </c>
      <c r="G98" s="4">
        <v>3353300</v>
      </c>
      <c r="H98" s="3" t="s">
        <v>568</v>
      </c>
      <c r="I98" s="4">
        <v>3969908</v>
      </c>
    </row>
    <row r="99" spans="2:9" x14ac:dyDescent="0.3">
      <c r="B99" s="44">
        <v>45990</v>
      </c>
      <c r="C99" s="3" t="s">
        <v>416</v>
      </c>
      <c r="D99" s="3" t="s">
        <v>495</v>
      </c>
      <c r="E99" s="101"/>
      <c r="F99" s="3" t="s">
        <v>196</v>
      </c>
      <c r="G99" s="4">
        <v>3353102</v>
      </c>
      <c r="H99" s="3" t="s">
        <v>570</v>
      </c>
      <c r="I99" s="4" t="s">
        <v>556</v>
      </c>
    </row>
    <row r="100" spans="2:9" x14ac:dyDescent="0.3">
      <c r="B100" s="44">
        <v>45990</v>
      </c>
      <c r="C100" s="3" t="s">
        <v>416</v>
      </c>
      <c r="D100" s="3" t="s">
        <v>495</v>
      </c>
      <c r="E100" s="101"/>
      <c r="F100" s="3" t="s">
        <v>192</v>
      </c>
      <c r="G100" s="53">
        <v>3357004</v>
      </c>
      <c r="H100" s="3" t="s">
        <v>164</v>
      </c>
      <c r="I100" s="4">
        <v>3349402</v>
      </c>
    </row>
    <row r="101" spans="2:9" x14ac:dyDescent="0.3">
      <c r="B101" s="44">
        <v>45990</v>
      </c>
      <c r="C101" s="3" t="s">
        <v>416</v>
      </c>
      <c r="D101" s="3" t="s">
        <v>495</v>
      </c>
      <c r="E101" s="101"/>
      <c r="F101" s="3" t="s">
        <v>199</v>
      </c>
      <c r="G101" s="4">
        <v>3349100</v>
      </c>
      <c r="H101" s="3" t="s">
        <v>224</v>
      </c>
      <c r="I101" s="4">
        <v>3347008</v>
      </c>
    </row>
    <row r="102" spans="2:9" x14ac:dyDescent="0.3">
      <c r="B102" s="4"/>
      <c r="E102" s="101"/>
      <c r="F102" s="3" t="s">
        <v>418</v>
      </c>
    </row>
    <row r="103" spans="2:9" x14ac:dyDescent="0.3">
      <c r="B103" s="44">
        <v>46032</v>
      </c>
      <c r="C103" s="3" t="s">
        <v>416</v>
      </c>
      <c r="D103" s="3" t="s">
        <v>495</v>
      </c>
      <c r="E103" s="101"/>
      <c r="F103" s="3" t="s">
        <v>193</v>
      </c>
      <c r="G103" s="4">
        <v>3357108</v>
      </c>
      <c r="H103" s="3" t="s">
        <v>568</v>
      </c>
      <c r="I103" s="4">
        <v>3969908</v>
      </c>
    </row>
    <row r="104" spans="2:9" x14ac:dyDescent="0.3">
      <c r="B104" s="44">
        <v>46032</v>
      </c>
      <c r="C104" s="3" t="s">
        <v>416</v>
      </c>
      <c r="D104" s="3" t="s">
        <v>495</v>
      </c>
      <c r="E104" s="101"/>
      <c r="F104" s="3" t="s">
        <v>195</v>
      </c>
      <c r="G104" s="74">
        <v>3361600</v>
      </c>
      <c r="H104" s="3" t="s">
        <v>164</v>
      </c>
      <c r="I104" s="4">
        <v>3349402</v>
      </c>
    </row>
    <row r="105" spans="2:9" x14ac:dyDescent="0.3">
      <c r="B105" s="44">
        <v>46032</v>
      </c>
      <c r="C105" s="3" t="s">
        <v>416</v>
      </c>
      <c r="D105" s="3" t="s">
        <v>495</v>
      </c>
      <c r="E105" s="101"/>
      <c r="F105" s="3" t="s">
        <v>197</v>
      </c>
      <c r="G105" s="4">
        <v>3353300</v>
      </c>
      <c r="H105" s="3" t="s">
        <v>200</v>
      </c>
      <c r="I105" s="53">
        <v>3901004</v>
      </c>
    </row>
    <row r="106" spans="2:9" x14ac:dyDescent="0.3">
      <c r="B106" s="44">
        <v>46032</v>
      </c>
      <c r="C106" s="3" t="s">
        <v>416</v>
      </c>
      <c r="D106" s="3" t="s">
        <v>495</v>
      </c>
      <c r="E106" s="101"/>
      <c r="F106" s="3" t="s">
        <v>224</v>
      </c>
      <c r="G106" s="4">
        <v>3347008</v>
      </c>
      <c r="H106" s="3" t="s">
        <v>569</v>
      </c>
      <c r="I106" s="4">
        <v>3125708</v>
      </c>
    </row>
    <row r="107" spans="2:9" x14ac:dyDescent="0.3">
      <c r="B107" s="44">
        <v>46032</v>
      </c>
      <c r="C107" s="3" t="s">
        <v>416</v>
      </c>
      <c r="D107" s="3" t="s">
        <v>495</v>
      </c>
      <c r="E107" s="101"/>
      <c r="F107" s="3" t="s">
        <v>192</v>
      </c>
      <c r="G107" s="53">
        <v>3357004</v>
      </c>
      <c r="H107" s="3" t="s">
        <v>570</v>
      </c>
      <c r="I107" s="4" t="s">
        <v>556</v>
      </c>
    </row>
    <row r="108" spans="2:9" x14ac:dyDescent="0.3">
      <c r="B108" s="44">
        <v>46032</v>
      </c>
      <c r="C108" s="3" t="s">
        <v>416</v>
      </c>
      <c r="D108" s="3" t="s">
        <v>495</v>
      </c>
      <c r="E108" s="101"/>
      <c r="F108" s="3" t="s">
        <v>199</v>
      </c>
      <c r="G108" s="4">
        <v>3349100</v>
      </c>
      <c r="H108" s="3" t="s">
        <v>196</v>
      </c>
      <c r="I108" s="4">
        <v>3353102</v>
      </c>
    </row>
    <row r="109" spans="2:9" x14ac:dyDescent="0.3">
      <c r="B109" s="4"/>
      <c r="E109" s="101"/>
      <c r="F109" s="3" t="s">
        <v>418</v>
      </c>
    </row>
    <row r="110" spans="2:9" x14ac:dyDescent="0.3">
      <c r="B110" s="44">
        <v>46039</v>
      </c>
      <c r="C110" s="3" t="s">
        <v>416</v>
      </c>
      <c r="D110" s="3" t="s">
        <v>495</v>
      </c>
      <c r="E110" s="101"/>
      <c r="F110" s="3" t="s">
        <v>570</v>
      </c>
      <c r="G110" s="4" t="s">
        <v>556</v>
      </c>
      <c r="H110" s="3" t="s">
        <v>195</v>
      </c>
      <c r="I110" s="74">
        <v>3361600</v>
      </c>
    </row>
    <row r="111" spans="2:9" x14ac:dyDescent="0.3">
      <c r="B111" s="44">
        <v>46039</v>
      </c>
      <c r="C111" s="3" t="s">
        <v>416</v>
      </c>
      <c r="D111" s="3" t="s">
        <v>495</v>
      </c>
      <c r="E111" s="101"/>
      <c r="F111" s="3" t="s">
        <v>200</v>
      </c>
      <c r="G111" s="53">
        <v>3901004</v>
      </c>
      <c r="H111" s="3" t="s">
        <v>193</v>
      </c>
      <c r="I111" s="4">
        <v>3357108</v>
      </c>
    </row>
    <row r="112" spans="2:9" x14ac:dyDescent="0.3">
      <c r="B112" s="44">
        <v>46039</v>
      </c>
      <c r="C112" s="3" t="s">
        <v>416</v>
      </c>
      <c r="D112" s="3" t="s">
        <v>495</v>
      </c>
      <c r="E112" s="101"/>
      <c r="F112" s="3" t="s">
        <v>164</v>
      </c>
      <c r="G112" s="4">
        <v>3349402</v>
      </c>
      <c r="H112" s="3" t="s">
        <v>197</v>
      </c>
      <c r="I112" s="4">
        <v>3353300</v>
      </c>
    </row>
    <row r="113" spans="2:9" x14ac:dyDescent="0.3">
      <c r="B113" s="44">
        <v>46039</v>
      </c>
      <c r="C113" s="3" t="s">
        <v>416</v>
      </c>
      <c r="D113" s="3" t="s">
        <v>495</v>
      </c>
      <c r="E113" s="101"/>
      <c r="F113" s="3" t="s">
        <v>568</v>
      </c>
      <c r="G113" s="4">
        <v>3969908</v>
      </c>
      <c r="H113" s="3" t="s">
        <v>224</v>
      </c>
      <c r="I113" s="4">
        <v>3347008</v>
      </c>
    </row>
    <row r="114" spans="2:9" x14ac:dyDescent="0.3">
      <c r="B114" s="44">
        <v>46039</v>
      </c>
      <c r="C114" s="3" t="s">
        <v>416</v>
      </c>
      <c r="D114" s="3" t="s">
        <v>495</v>
      </c>
      <c r="E114" s="101"/>
      <c r="F114" s="3" t="s">
        <v>196</v>
      </c>
      <c r="G114" s="4">
        <v>3353102</v>
      </c>
      <c r="H114" s="3" t="s">
        <v>192</v>
      </c>
      <c r="I114" s="53">
        <v>3357004</v>
      </c>
    </row>
    <row r="115" spans="2:9" x14ac:dyDescent="0.3">
      <c r="B115" s="44">
        <v>46039</v>
      </c>
      <c r="C115" s="3" t="s">
        <v>416</v>
      </c>
      <c r="D115" s="3" t="s">
        <v>495</v>
      </c>
      <c r="E115" s="101"/>
      <c r="F115" s="3" t="s">
        <v>569</v>
      </c>
      <c r="G115" s="4">
        <v>3125708</v>
      </c>
      <c r="H115" s="3" t="s">
        <v>199</v>
      </c>
      <c r="I115" s="4">
        <v>3349100</v>
      </c>
    </row>
    <row r="116" spans="2:9" x14ac:dyDescent="0.3">
      <c r="B116" s="4"/>
      <c r="E116" s="101"/>
      <c r="F116" s="3" t="s">
        <v>418</v>
      </c>
    </row>
    <row r="117" spans="2:9" x14ac:dyDescent="0.3">
      <c r="B117" s="44">
        <v>46046</v>
      </c>
      <c r="C117" s="3" t="s">
        <v>416</v>
      </c>
      <c r="D117" s="3" t="s">
        <v>495</v>
      </c>
      <c r="E117" s="101"/>
      <c r="F117" s="3" t="s">
        <v>193</v>
      </c>
      <c r="G117" s="4">
        <v>3357108</v>
      </c>
      <c r="H117" s="3" t="s">
        <v>164</v>
      </c>
      <c r="I117" s="4">
        <v>3349402</v>
      </c>
    </row>
    <row r="118" spans="2:9" x14ac:dyDescent="0.3">
      <c r="B118" s="44">
        <v>46046</v>
      </c>
      <c r="C118" s="3" t="s">
        <v>416</v>
      </c>
      <c r="D118" s="3" t="s">
        <v>495</v>
      </c>
      <c r="E118" s="101"/>
      <c r="F118" s="3" t="s">
        <v>195</v>
      </c>
      <c r="G118" s="74">
        <v>3361600</v>
      </c>
      <c r="H118" s="3" t="s">
        <v>196</v>
      </c>
      <c r="I118" s="4">
        <v>3353102</v>
      </c>
    </row>
    <row r="119" spans="2:9" x14ac:dyDescent="0.3">
      <c r="B119" s="44">
        <v>46046</v>
      </c>
      <c r="C119" s="3" t="s">
        <v>416</v>
      </c>
      <c r="D119" s="3" t="s">
        <v>495</v>
      </c>
      <c r="E119" s="101"/>
      <c r="F119" s="3" t="s">
        <v>197</v>
      </c>
      <c r="G119" s="4">
        <v>3353300</v>
      </c>
      <c r="H119" s="3" t="s">
        <v>570</v>
      </c>
      <c r="I119" s="4" t="s">
        <v>556</v>
      </c>
    </row>
    <row r="120" spans="2:9" x14ac:dyDescent="0.3">
      <c r="B120" s="44">
        <v>46046</v>
      </c>
      <c r="C120" s="3" t="s">
        <v>416</v>
      </c>
      <c r="D120" s="3" t="s">
        <v>495</v>
      </c>
      <c r="E120" s="101"/>
      <c r="F120" s="3" t="s">
        <v>224</v>
      </c>
      <c r="G120" s="4">
        <v>3347008</v>
      </c>
      <c r="H120" s="3" t="s">
        <v>200</v>
      </c>
      <c r="I120" s="53">
        <v>3901004</v>
      </c>
    </row>
    <row r="121" spans="2:9" x14ac:dyDescent="0.3">
      <c r="B121" s="44">
        <v>46046</v>
      </c>
      <c r="C121" s="3" t="s">
        <v>416</v>
      </c>
      <c r="D121" s="3" t="s">
        <v>495</v>
      </c>
      <c r="E121" s="101"/>
      <c r="F121" s="3" t="s">
        <v>192</v>
      </c>
      <c r="G121" s="53">
        <v>3357004</v>
      </c>
      <c r="H121" s="3" t="s">
        <v>199</v>
      </c>
      <c r="I121" s="4">
        <v>3349100</v>
      </c>
    </row>
    <row r="122" spans="2:9" x14ac:dyDescent="0.3">
      <c r="B122" s="44">
        <v>46046</v>
      </c>
      <c r="C122" s="3" t="s">
        <v>416</v>
      </c>
      <c r="D122" s="3" t="s">
        <v>495</v>
      </c>
      <c r="E122" s="101"/>
      <c r="F122" s="3" t="s">
        <v>569</v>
      </c>
      <c r="G122" s="4">
        <v>3125708</v>
      </c>
      <c r="H122" s="3" t="s">
        <v>568</v>
      </c>
      <c r="I122" s="4">
        <v>3969908</v>
      </c>
    </row>
    <row r="123" spans="2:9" x14ac:dyDescent="0.3">
      <c r="B123" s="4"/>
      <c r="E123" s="101"/>
      <c r="F123" s="3" t="s">
        <v>418</v>
      </c>
    </row>
    <row r="124" spans="2:9" x14ac:dyDescent="0.3">
      <c r="B124" s="44">
        <v>46053</v>
      </c>
      <c r="C124" s="3" t="s">
        <v>416</v>
      </c>
      <c r="D124" s="3" t="s">
        <v>495</v>
      </c>
      <c r="E124" s="101"/>
      <c r="F124" s="3" t="s">
        <v>570</v>
      </c>
      <c r="G124" s="4" t="s">
        <v>556</v>
      </c>
      <c r="H124" s="3" t="s">
        <v>193</v>
      </c>
      <c r="I124" s="4">
        <v>3357108</v>
      </c>
    </row>
    <row r="125" spans="2:9" x14ac:dyDescent="0.3">
      <c r="B125" s="44">
        <v>46053</v>
      </c>
      <c r="C125" s="3" t="s">
        <v>416</v>
      </c>
      <c r="D125" s="3" t="s">
        <v>495</v>
      </c>
      <c r="E125" s="101"/>
      <c r="F125" s="3" t="s">
        <v>200</v>
      </c>
      <c r="G125" s="53">
        <v>3901004</v>
      </c>
      <c r="H125" s="3" t="s">
        <v>569</v>
      </c>
      <c r="I125" s="4">
        <v>3125708</v>
      </c>
    </row>
    <row r="126" spans="2:9" x14ac:dyDescent="0.3">
      <c r="B126" s="44">
        <v>46053</v>
      </c>
      <c r="C126" s="3" t="s">
        <v>416</v>
      </c>
      <c r="D126" s="3" t="s">
        <v>495</v>
      </c>
      <c r="E126" s="101"/>
      <c r="F126" s="3" t="s">
        <v>164</v>
      </c>
      <c r="G126" s="4">
        <v>3349402</v>
      </c>
      <c r="H126" s="3" t="s">
        <v>224</v>
      </c>
      <c r="I126" s="4">
        <v>3347008</v>
      </c>
    </row>
    <row r="127" spans="2:9" x14ac:dyDescent="0.3">
      <c r="B127" s="44">
        <v>46053</v>
      </c>
      <c r="C127" s="3" t="s">
        <v>416</v>
      </c>
      <c r="D127" s="3" t="s">
        <v>495</v>
      </c>
      <c r="E127" s="101"/>
      <c r="F127" s="3" t="s">
        <v>196</v>
      </c>
      <c r="G127" s="4">
        <v>3353102</v>
      </c>
      <c r="H127" s="3" t="s">
        <v>197</v>
      </c>
      <c r="I127" s="4">
        <v>3353300</v>
      </c>
    </row>
    <row r="128" spans="2:9" x14ac:dyDescent="0.3">
      <c r="B128" s="44">
        <v>46053</v>
      </c>
      <c r="C128" s="3" t="s">
        <v>416</v>
      </c>
      <c r="D128" s="3" t="s">
        <v>495</v>
      </c>
      <c r="E128" s="101"/>
      <c r="F128" s="3" t="s">
        <v>192</v>
      </c>
      <c r="G128" s="53">
        <v>3357004</v>
      </c>
      <c r="H128" s="3" t="s">
        <v>195</v>
      </c>
      <c r="I128" s="74">
        <v>3361600</v>
      </c>
    </row>
    <row r="129" spans="2:9" x14ac:dyDescent="0.3">
      <c r="B129" s="44">
        <v>46053</v>
      </c>
      <c r="C129" s="3" t="s">
        <v>416</v>
      </c>
      <c r="D129" s="3" t="s">
        <v>495</v>
      </c>
      <c r="E129" s="101"/>
      <c r="F129" s="3" t="s">
        <v>199</v>
      </c>
      <c r="G129" s="4">
        <v>3349100</v>
      </c>
      <c r="H129" s="3" t="s">
        <v>568</v>
      </c>
      <c r="I129" s="4">
        <v>3969908</v>
      </c>
    </row>
    <row r="130" spans="2:9" x14ac:dyDescent="0.3">
      <c r="B130" s="4"/>
      <c r="E130" s="101"/>
      <c r="F130" s="3" t="s">
        <v>418</v>
      </c>
    </row>
    <row r="131" spans="2:9" x14ac:dyDescent="0.3">
      <c r="B131" s="44">
        <v>46060</v>
      </c>
      <c r="C131" s="3" t="s">
        <v>416</v>
      </c>
      <c r="D131" s="3" t="s">
        <v>495</v>
      </c>
      <c r="E131" s="101"/>
      <c r="F131" s="3" t="s">
        <v>193</v>
      </c>
      <c r="G131" s="4">
        <v>3357108</v>
      </c>
      <c r="H131" s="3" t="s">
        <v>196</v>
      </c>
      <c r="I131" s="4">
        <v>3353102</v>
      </c>
    </row>
    <row r="132" spans="2:9" x14ac:dyDescent="0.3">
      <c r="B132" s="44">
        <v>46060</v>
      </c>
      <c r="C132" s="3" t="s">
        <v>416</v>
      </c>
      <c r="D132" s="3" t="s">
        <v>495</v>
      </c>
      <c r="E132" s="101"/>
      <c r="F132" s="3" t="s">
        <v>195</v>
      </c>
      <c r="G132" s="74">
        <v>3361600</v>
      </c>
      <c r="H132" s="3" t="s">
        <v>199</v>
      </c>
      <c r="I132" s="4">
        <v>3349100</v>
      </c>
    </row>
    <row r="133" spans="2:9" x14ac:dyDescent="0.3">
      <c r="B133" s="44">
        <v>46060</v>
      </c>
      <c r="C133" s="3" t="s">
        <v>416</v>
      </c>
      <c r="D133" s="3" t="s">
        <v>495</v>
      </c>
      <c r="E133" s="101"/>
      <c r="F133" s="3" t="s">
        <v>197</v>
      </c>
      <c r="G133" s="4">
        <v>3353300</v>
      </c>
      <c r="H133" s="3" t="s">
        <v>192</v>
      </c>
      <c r="I133" s="53">
        <v>3357004</v>
      </c>
    </row>
    <row r="134" spans="2:9" x14ac:dyDescent="0.3">
      <c r="B134" s="44">
        <v>46060</v>
      </c>
      <c r="C134" s="3" t="s">
        <v>416</v>
      </c>
      <c r="D134" s="3" t="s">
        <v>495</v>
      </c>
      <c r="E134" s="101"/>
      <c r="F134" s="3" t="s">
        <v>568</v>
      </c>
      <c r="G134" s="4">
        <v>3969908</v>
      </c>
      <c r="H134" s="3" t="s">
        <v>200</v>
      </c>
      <c r="I134" s="53">
        <v>3901004</v>
      </c>
    </row>
    <row r="135" spans="2:9" x14ac:dyDescent="0.3">
      <c r="B135" s="44">
        <v>46060</v>
      </c>
      <c r="C135" s="3" t="s">
        <v>416</v>
      </c>
      <c r="D135" s="3" t="s">
        <v>495</v>
      </c>
      <c r="E135" s="101"/>
      <c r="F135" s="3" t="s">
        <v>224</v>
      </c>
      <c r="G135" s="4">
        <v>3347008</v>
      </c>
      <c r="H135" s="3" t="s">
        <v>570</v>
      </c>
      <c r="I135" s="4" t="s">
        <v>556</v>
      </c>
    </row>
    <row r="136" spans="2:9" x14ac:dyDescent="0.3">
      <c r="B136" s="44">
        <v>46060</v>
      </c>
      <c r="C136" s="3" t="s">
        <v>416</v>
      </c>
      <c r="D136" s="3" t="s">
        <v>495</v>
      </c>
      <c r="E136" s="101"/>
      <c r="F136" s="3" t="s">
        <v>569</v>
      </c>
      <c r="G136" s="4">
        <v>3125708</v>
      </c>
      <c r="H136" s="3" t="s">
        <v>164</v>
      </c>
      <c r="I136" s="4">
        <v>3349402</v>
      </c>
    </row>
    <row r="137" spans="2:9" x14ac:dyDescent="0.3">
      <c r="B137" s="4"/>
      <c r="E137" s="101"/>
      <c r="F137" s="3" t="s">
        <v>418</v>
      </c>
    </row>
    <row r="138" spans="2:9" x14ac:dyDescent="0.3">
      <c r="B138" s="44">
        <v>46074</v>
      </c>
      <c r="C138" s="3" t="s">
        <v>416</v>
      </c>
      <c r="D138" s="3" t="s">
        <v>495</v>
      </c>
      <c r="E138" s="101"/>
      <c r="F138" s="3" t="s">
        <v>570</v>
      </c>
      <c r="G138" s="4" t="s">
        <v>556</v>
      </c>
      <c r="H138" s="3" t="s">
        <v>569</v>
      </c>
      <c r="I138" s="4">
        <v>3125708</v>
      </c>
    </row>
    <row r="139" spans="2:9" x14ac:dyDescent="0.3">
      <c r="B139" s="44">
        <v>46074</v>
      </c>
      <c r="C139" s="3" t="s">
        <v>416</v>
      </c>
      <c r="D139" s="3" t="s">
        <v>495</v>
      </c>
      <c r="E139" s="101"/>
      <c r="F139" s="3" t="s">
        <v>195</v>
      </c>
      <c r="G139" s="74">
        <v>3361600</v>
      </c>
      <c r="H139" s="3" t="s">
        <v>197</v>
      </c>
      <c r="I139" s="4">
        <v>3353300</v>
      </c>
    </row>
    <row r="140" spans="2:9" x14ac:dyDescent="0.3">
      <c r="B140" s="44">
        <v>46074</v>
      </c>
      <c r="C140" s="3" t="s">
        <v>416</v>
      </c>
      <c r="D140" s="3" t="s">
        <v>495</v>
      </c>
      <c r="E140" s="101"/>
      <c r="F140" s="3" t="s">
        <v>164</v>
      </c>
      <c r="G140" s="4">
        <v>3349402</v>
      </c>
      <c r="H140" s="3" t="s">
        <v>568</v>
      </c>
      <c r="I140" s="4">
        <v>3969908</v>
      </c>
    </row>
    <row r="141" spans="2:9" x14ac:dyDescent="0.3">
      <c r="B141" s="44">
        <v>46074</v>
      </c>
      <c r="C141" s="3" t="s">
        <v>416</v>
      </c>
      <c r="D141" s="3" t="s">
        <v>495</v>
      </c>
      <c r="E141" s="101"/>
      <c r="F141" s="3" t="s">
        <v>196</v>
      </c>
      <c r="G141" s="4">
        <v>3353102</v>
      </c>
      <c r="H141" s="3" t="s">
        <v>224</v>
      </c>
      <c r="I141" s="4">
        <v>3347008</v>
      </c>
    </row>
    <row r="142" spans="2:9" x14ac:dyDescent="0.3">
      <c r="B142" s="44">
        <v>46074</v>
      </c>
      <c r="C142" s="3" t="s">
        <v>416</v>
      </c>
      <c r="D142" s="3" t="s">
        <v>495</v>
      </c>
      <c r="E142" s="101"/>
      <c r="F142" s="3" t="s">
        <v>192</v>
      </c>
      <c r="G142" s="53">
        <v>3357004</v>
      </c>
      <c r="H142" s="3" t="s">
        <v>193</v>
      </c>
      <c r="I142" s="4">
        <v>3357108</v>
      </c>
    </row>
    <row r="143" spans="2:9" x14ac:dyDescent="0.3">
      <c r="B143" s="44">
        <v>46074</v>
      </c>
      <c r="C143" s="3" t="s">
        <v>416</v>
      </c>
      <c r="D143" s="3" t="s">
        <v>495</v>
      </c>
      <c r="E143" s="101"/>
      <c r="F143" s="3" t="s">
        <v>199</v>
      </c>
      <c r="G143" s="4">
        <v>3349100</v>
      </c>
      <c r="H143" s="3" t="s">
        <v>200</v>
      </c>
      <c r="I143" s="53">
        <v>3901004</v>
      </c>
    </row>
    <row r="144" spans="2:9" x14ac:dyDescent="0.3">
      <c r="B144" s="4"/>
      <c r="E144" s="101"/>
      <c r="F144" s="3" t="s">
        <v>418</v>
      </c>
    </row>
    <row r="145" spans="2:9" x14ac:dyDescent="0.3">
      <c r="B145" s="44">
        <v>46081</v>
      </c>
      <c r="C145" s="3" t="s">
        <v>416</v>
      </c>
      <c r="D145" s="3" t="s">
        <v>495</v>
      </c>
      <c r="E145" s="101"/>
      <c r="F145" s="3" t="s">
        <v>193</v>
      </c>
      <c r="G145" s="4">
        <v>3357108</v>
      </c>
      <c r="H145" s="3" t="s">
        <v>195</v>
      </c>
      <c r="I145" s="74">
        <v>3361600</v>
      </c>
    </row>
    <row r="146" spans="2:9" x14ac:dyDescent="0.3">
      <c r="B146" s="44">
        <v>46081</v>
      </c>
      <c r="C146" s="3" t="s">
        <v>416</v>
      </c>
      <c r="D146" s="3" t="s">
        <v>495</v>
      </c>
      <c r="E146" s="101"/>
      <c r="F146" s="3" t="s">
        <v>200</v>
      </c>
      <c r="G146" s="53">
        <v>3901004</v>
      </c>
      <c r="H146" s="3" t="s">
        <v>164</v>
      </c>
      <c r="I146" s="4">
        <v>3349402</v>
      </c>
    </row>
    <row r="147" spans="2:9" x14ac:dyDescent="0.3">
      <c r="B147" s="44">
        <v>46081</v>
      </c>
      <c r="C147" s="3" t="s">
        <v>416</v>
      </c>
      <c r="D147" s="3" t="s">
        <v>495</v>
      </c>
      <c r="E147" s="101"/>
      <c r="F147" s="3" t="s">
        <v>197</v>
      </c>
      <c r="G147" s="4">
        <v>3353300</v>
      </c>
      <c r="H147" s="3" t="s">
        <v>199</v>
      </c>
      <c r="I147" s="4">
        <v>3349100</v>
      </c>
    </row>
    <row r="148" spans="2:9" x14ac:dyDescent="0.3">
      <c r="B148" s="44">
        <v>46081</v>
      </c>
      <c r="C148" s="3" t="s">
        <v>416</v>
      </c>
      <c r="D148" s="3" t="s">
        <v>495</v>
      </c>
      <c r="E148" s="101"/>
      <c r="F148" s="3" t="s">
        <v>568</v>
      </c>
      <c r="G148" s="4">
        <v>3969908</v>
      </c>
      <c r="H148" s="3" t="s">
        <v>570</v>
      </c>
      <c r="I148" s="4" t="s">
        <v>556</v>
      </c>
    </row>
    <row r="149" spans="2:9" x14ac:dyDescent="0.3">
      <c r="B149" s="44">
        <v>46081</v>
      </c>
      <c r="C149" s="3" t="s">
        <v>416</v>
      </c>
      <c r="D149" s="3" t="s">
        <v>495</v>
      </c>
      <c r="E149" s="101"/>
      <c r="F149" s="3" t="s">
        <v>224</v>
      </c>
      <c r="G149" s="4">
        <v>3347008</v>
      </c>
      <c r="H149" s="3" t="s">
        <v>192</v>
      </c>
      <c r="I149" s="53">
        <v>3357004</v>
      </c>
    </row>
    <row r="150" spans="2:9" x14ac:dyDescent="0.3">
      <c r="B150" s="44">
        <v>46081</v>
      </c>
      <c r="C150" s="3" t="s">
        <v>416</v>
      </c>
      <c r="D150" s="3" t="s">
        <v>495</v>
      </c>
      <c r="E150" s="101"/>
      <c r="F150" s="3" t="s">
        <v>569</v>
      </c>
      <c r="G150" s="4">
        <v>3125708</v>
      </c>
      <c r="H150" s="3" t="s">
        <v>196</v>
      </c>
      <c r="I150" s="4">
        <v>3353102</v>
      </c>
    </row>
    <row r="151" spans="2:9" x14ac:dyDescent="0.3">
      <c r="B151" s="4"/>
      <c r="E151" s="101"/>
      <c r="F151" s="3" t="s">
        <v>418</v>
      </c>
    </row>
    <row r="152" spans="2:9" x14ac:dyDescent="0.3">
      <c r="B152" s="44">
        <v>46088</v>
      </c>
      <c r="C152" s="3" t="s">
        <v>416</v>
      </c>
      <c r="D152" s="3" t="s">
        <v>495</v>
      </c>
      <c r="E152" s="101"/>
      <c r="F152" s="3" t="s">
        <v>570</v>
      </c>
      <c r="G152" s="4" t="s">
        <v>556</v>
      </c>
      <c r="H152" s="3" t="s">
        <v>200</v>
      </c>
      <c r="I152" s="53">
        <v>3901004</v>
      </c>
    </row>
    <row r="153" spans="2:9" x14ac:dyDescent="0.3">
      <c r="B153" s="44">
        <v>46088</v>
      </c>
      <c r="C153" s="3" t="s">
        <v>416</v>
      </c>
      <c r="D153" s="3" t="s">
        <v>495</v>
      </c>
      <c r="E153" s="101"/>
      <c r="F153" s="3" t="s">
        <v>195</v>
      </c>
      <c r="G153" s="74">
        <v>3361600</v>
      </c>
      <c r="H153" s="3" t="s">
        <v>224</v>
      </c>
      <c r="I153" s="4">
        <v>3347008</v>
      </c>
    </row>
    <row r="154" spans="2:9" x14ac:dyDescent="0.3">
      <c r="B154" s="44">
        <v>46088</v>
      </c>
      <c r="C154" s="3" t="s">
        <v>416</v>
      </c>
      <c r="D154" s="3" t="s">
        <v>495</v>
      </c>
      <c r="E154" s="101"/>
      <c r="F154" s="3" t="s">
        <v>197</v>
      </c>
      <c r="G154" s="4">
        <v>3353300</v>
      </c>
      <c r="H154" s="3" t="s">
        <v>193</v>
      </c>
      <c r="I154" s="4">
        <v>3357108</v>
      </c>
    </row>
    <row r="155" spans="2:9" x14ac:dyDescent="0.3">
      <c r="B155" s="44">
        <v>46088</v>
      </c>
      <c r="C155" s="3" t="s">
        <v>416</v>
      </c>
      <c r="D155" s="3" t="s">
        <v>495</v>
      </c>
      <c r="E155" s="101"/>
      <c r="F155" s="3" t="s">
        <v>196</v>
      </c>
      <c r="G155" s="4">
        <v>3353102</v>
      </c>
      <c r="H155" s="3" t="s">
        <v>568</v>
      </c>
      <c r="I155" s="4">
        <v>3969908</v>
      </c>
    </row>
    <row r="156" spans="2:9" x14ac:dyDescent="0.3">
      <c r="B156" s="44">
        <v>46088</v>
      </c>
      <c r="C156" s="3" t="s">
        <v>416</v>
      </c>
      <c r="D156" s="3" t="s">
        <v>495</v>
      </c>
      <c r="E156" s="101"/>
      <c r="F156" s="3" t="s">
        <v>192</v>
      </c>
      <c r="G156" s="53">
        <v>3357004</v>
      </c>
      <c r="H156" s="3" t="s">
        <v>569</v>
      </c>
      <c r="I156" s="4">
        <v>3125708</v>
      </c>
    </row>
    <row r="157" spans="2:9" x14ac:dyDescent="0.3">
      <c r="B157" s="44">
        <v>46088</v>
      </c>
      <c r="C157" s="3" t="s">
        <v>416</v>
      </c>
      <c r="D157" s="3" t="s">
        <v>495</v>
      </c>
      <c r="E157" s="101"/>
      <c r="F157" s="3" t="s">
        <v>199</v>
      </c>
      <c r="G157" s="4">
        <v>3349100</v>
      </c>
      <c r="H157" s="3" t="s">
        <v>164</v>
      </c>
      <c r="I157" s="4">
        <v>3349402</v>
      </c>
    </row>
    <row r="158" spans="2:9" x14ac:dyDescent="0.3">
      <c r="B158" s="4"/>
      <c r="E158" s="101"/>
      <c r="F158" s="3" t="s">
        <v>418</v>
      </c>
    </row>
    <row r="159" spans="2:9" x14ac:dyDescent="0.3">
      <c r="B159" s="44">
        <v>46095</v>
      </c>
      <c r="C159" s="3" t="s">
        <v>416</v>
      </c>
      <c r="D159" s="3" t="s">
        <v>495</v>
      </c>
      <c r="E159" s="101"/>
      <c r="F159" s="3" t="s">
        <v>193</v>
      </c>
      <c r="G159" s="4">
        <v>3357108</v>
      </c>
      <c r="H159" s="3" t="s">
        <v>199</v>
      </c>
      <c r="I159" s="4">
        <v>3349100</v>
      </c>
    </row>
    <row r="160" spans="2:9" x14ac:dyDescent="0.3">
      <c r="B160" s="44">
        <v>46095</v>
      </c>
      <c r="C160" s="3" t="s">
        <v>416</v>
      </c>
      <c r="D160" s="3" t="s">
        <v>495</v>
      </c>
      <c r="E160" s="101"/>
      <c r="F160" s="3" t="s">
        <v>200</v>
      </c>
      <c r="G160" s="53">
        <v>3901004</v>
      </c>
      <c r="H160" s="3" t="s">
        <v>196</v>
      </c>
      <c r="I160" s="4">
        <v>3353102</v>
      </c>
    </row>
    <row r="161" spans="2:9" x14ac:dyDescent="0.3">
      <c r="B161" s="44">
        <v>46095</v>
      </c>
      <c r="C161" s="3" t="s">
        <v>416</v>
      </c>
      <c r="D161" s="3" t="s">
        <v>495</v>
      </c>
      <c r="E161" s="101"/>
      <c r="F161" s="3" t="s">
        <v>164</v>
      </c>
      <c r="G161" s="4">
        <v>3349402</v>
      </c>
      <c r="H161" s="3" t="s">
        <v>570</v>
      </c>
      <c r="I161" s="4" t="s">
        <v>556</v>
      </c>
    </row>
    <row r="162" spans="2:9" x14ac:dyDescent="0.3">
      <c r="B162" s="44">
        <v>46095</v>
      </c>
      <c r="C162" s="3" t="s">
        <v>416</v>
      </c>
      <c r="D162" s="3" t="s">
        <v>495</v>
      </c>
      <c r="E162" s="101"/>
      <c r="F162" s="3" t="s">
        <v>568</v>
      </c>
      <c r="G162" s="4">
        <v>3969908</v>
      </c>
      <c r="H162" s="3" t="s">
        <v>192</v>
      </c>
      <c r="I162" s="53">
        <v>3357004</v>
      </c>
    </row>
    <row r="163" spans="2:9" x14ac:dyDescent="0.3">
      <c r="B163" s="44">
        <v>46095</v>
      </c>
      <c r="C163" s="3" t="s">
        <v>416</v>
      </c>
      <c r="D163" s="3" t="s">
        <v>495</v>
      </c>
      <c r="E163" s="101"/>
      <c r="F163" s="3" t="s">
        <v>224</v>
      </c>
      <c r="G163" s="4">
        <v>3347008</v>
      </c>
      <c r="H163" s="3" t="s">
        <v>197</v>
      </c>
      <c r="I163" s="4">
        <v>3353300</v>
      </c>
    </row>
    <row r="164" spans="2:9" x14ac:dyDescent="0.3">
      <c r="B164" s="44">
        <v>46095</v>
      </c>
      <c r="C164" s="3" t="s">
        <v>416</v>
      </c>
      <c r="D164" s="3" t="s">
        <v>495</v>
      </c>
      <c r="E164" s="101"/>
      <c r="F164" s="3" t="s">
        <v>569</v>
      </c>
      <c r="G164" s="4">
        <v>3125708</v>
      </c>
      <c r="H164" s="3" t="s">
        <v>195</v>
      </c>
      <c r="I164" s="74">
        <v>3361600</v>
      </c>
    </row>
    <row r="165" spans="2:9" x14ac:dyDescent="0.3">
      <c r="B165" s="4"/>
      <c r="E165" s="101"/>
      <c r="F165" s="3" t="s">
        <v>418</v>
      </c>
    </row>
    <row r="166" spans="2:9" x14ac:dyDescent="0.3">
      <c r="B166" s="44">
        <v>46102</v>
      </c>
      <c r="C166" s="3" t="s">
        <v>416</v>
      </c>
      <c r="D166" s="3" t="s">
        <v>495</v>
      </c>
      <c r="E166" s="101"/>
      <c r="F166" s="3" t="s">
        <v>193</v>
      </c>
      <c r="G166" s="4">
        <v>3357108</v>
      </c>
      <c r="H166" s="3" t="s">
        <v>224</v>
      </c>
      <c r="I166" s="4">
        <v>3347008</v>
      </c>
    </row>
    <row r="167" spans="2:9" x14ac:dyDescent="0.3">
      <c r="B167" s="44">
        <v>46102</v>
      </c>
      <c r="C167" s="3" t="s">
        <v>416</v>
      </c>
      <c r="D167" s="3" t="s">
        <v>495</v>
      </c>
      <c r="E167" s="101"/>
      <c r="F167" s="3" t="s">
        <v>195</v>
      </c>
      <c r="G167" s="74">
        <v>3361600</v>
      </c>
      <c r="H167" s="3" t="s">
        <v>568</v>
      </c>
      <c r="I167" s="4">
        <v>3969908</v>
      </c>
    </row>
    <row r="168" spans="2:9" x14ac:dyDescent="0.3">
      <c r="B168" s="44">
        <v>46102</v>
      </c>
      <c r="C168" s="3" t="s">
        <v>416</v>
      </c>
      <c r="D168" s="3" t="s">
        <v>495</v>
      </c>
      <c r="E168" s="101"/>
      <c r="F168" s="3" t="s">
        <v>197</v>
      </c>
      <c r="G168" s="4">
        <v>3353300</v>
      </c>
      <c r="H168" s="3" t="s">
        <v>569</v>
      </c>
      <c r="I168" s="4">
        <v>3125708</v>
      </c>
    </row>
    <row r="169" spans="2:9" x14ac:dyDescent="0.3">
      <c r="B169" s="44">
        <v>46102</v>
      </c>
      <c r="C169" s="3" t="s">
        <v>416</v>
      </c>
      <c r="D169" s="3" t="s">
        <v>495</v>
      </c>
      <c r="E169" s="101"/>
      <c r="F169" s="3" t="s">
        <v>196</v>
      </c>
      <c r="G169" s="4">
        <v>3353102</v>
      </c>
      <c r="H169" s="3" t="s">
        <v>164</v>
      </c>
      <c r="I169" s="4">
        <v>3349402</v>
      </c>
    </row>
    <row r="170" spans="2:9" x14ac:dyDescent="0.3">
      <c r="B170" s="44">
        <v>46102</v>
      </c>
      <c r="C170" s="3" t="s">
        <v>416</v>
      </c>
      <c r="D170" s="3" t="s">
        <v>495</v>
      </c>
      <c r="E170" s="101"/>
      <c r="F170" s="3" t="s">
        <v>192</v>
      </c>
      <c r="G170" s="53">
        <v>3357004</v>
      </c>
      <c r="H170" s="3" t="s">
        <v>200</v>
      </c>
      <c r="I170" s="53">
        <v>3901004</v>
      </c>
    </row>
    <row r="171" spans="2:9" x14ac:dyDescent="0.3">
      <c r="B171" s="44">
        <v>46102</v>
      </c>
      <c r="C171" s="3" t="s">
        <v>416</v>
      </c>
      <c r="D171" s="3" t="s">
        <v>495</v>
      </c>
      <c r="E171" s="101"/>
      <c r="F171" s="3" t="s">
        <v>199</v>
      </c>
      <c r="G171" s="4">
        <v>3349100</v>
      </c>
      <c r="H171" s="3" t="s">
        <v>570</v>
      </c>
      <c r="I171" s="4" t="s">
        <v>556</v>
      </c>
    </row>
    <row r="172" spans="2:9" x14ac:dyDescent="0.3">
      <c r="B172" s="4"/>
      <c r="E172" s="101"/>
      <c r="F172" s="3" t="s">
        <v>418</v>
      </c>
    </row>
    <row r="173" spans="2:9" x14ac:dyDescent="0.3">
      <c r="B173" s="44">
        <v>46109</v>
      </c>
      <c r="C173" s="3" t="s">
        <v>416</v>
      </c>
      <c r="D173" s="3" t="s">
        <v>495</v>
      </c>
      <c r="E173" s="101"/>
      <c r="F173" s="3" t="s">
        <v>570</v>
      </c>
      <c r="G173" s="4" t="s">
        <v>556</v>
      </c>
      <c r="H173" s="3" t="s">
        <v>196</v>
      </c>
      <c r="I173" s="4">
        <v>3353102</v>
      </c>
    </row>
    <row r="174" spans="2:9" x14ac:dyDescent="0.3">
      <c r="B174" s="44">
        <v>46109</v>
      </c>
      <c r="C174" s="3" t="s">
        <v>416</v>
      </c>
      <c r="D174" s="3" t="s">
        <v>495</v>
      </c>
      <c r="E174" s="101"/>
      <c r="F174" s="3" t="s">
        <v>200</v>
      </c>
      <c r="G174" s="53">
        <v>3901004</v>
      </c>
      <c r="H174" s="3" t="s">
        <v>195</v>
      </c>
      <c r="I174" s="74">
        <v>3361600</v>
      </c>
    </row>
    <row r="175" spans="2:9" x14ac:dyDescent="0.3">
      <c r="B175" s="44">
        <v>46109</v>
      </c>
      <c r="C175" s="3" t="s">
        <v>416</v>
      </c>
      <c r="D175" s="3" t="s">
        <v>495</v>
      </c>
      <c r="E175" s="101"/>
      <c r="F175" s="3" t="s">
        <v>164</v>
      </c>
      <c r="G175" s="4">
        <v>3349402</v>
      </c>
      <c r="H175" s="3" t="s">
        <v>192</v>
      </c>
      <c r="I175" s="53">
        <v>3357004</v>
      </c>
    </row>
    <row r="176" spans="2:9" x14ac:dyDescent="0.3">
      <c r="B176" s="44">
        <v>46109</v>
      </c>
      <c r="C176" s="3" t="s">
        <v>416</v>
      </c>
      <c r="D176" s="3" t="s">
        <v>495</v>
      </c>
      <c r="E176" s="101"/>
      <c r="F176" s="3" t="s">
        <v>568</v>
      </c>
      <c r="G176" s="4">
        <v>3969908</v>
      </c>
      <c r="H176" s="3" t="s">
        <v>197</v>
      </c>
      <c r="I176" s="4">
        <v>3353300</v>
      </c>
    </row>
    <row r="177" spans="2:9" x14ac:dyDescent="0.3">
      <c r="B177" s="44">
        <v>46109</v>
      </c>
      <c r="C177" s="3" t="s">
        <v>416</v>
      </c>
      <c r="D177" s="3" t="s">
        <v>495</v>
      </c>
      <c r="E177" s="101"/>
      <c r="F177" s="3" t="s">
        <v>224</v>
      </c>
      <c r="G177" s="4">
        <v>3347008</v>
      </c>
      <c r="H177" s="3" t="s">
        <v>199</v>
      </c>
      <c r="I177" s="4">
        <v>3349100</v>
      </c>
    </row>
    <row r="178" spans="2:9" x14ac:dyDescent="0.3">
      <c r="B178" s="44">
        <v>46109</v>
      </c>
      <c r="C178" s="3" t="s">
        <v>416</v>
      </c>
      <c r="D178" s="3" t="s">
        <v>495</v>
      </c>
      <c r="E178" s="101"/>
      <c r="F178" s="3" t="s">
        <v>569</v>
      </c>
      <c r="G178" s="4">
        <v>3125708</v>
      </c>
      <c r="H178" s="3" t="s">
        <v>193</v>
      </c>
      <c r="I178" s="4">
        <v>3357108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496" priority="64"/>
  </conditionalFormatting>
  <conditionalFormatting sqref="B11:B17 B19 B21">
    <cfRule type="duplicateValues" dxfId="5495" priority="3027"/>
  </conditionalFormatting>
  <conditionalFormatting sqref="F1:I1048576">
    <cfRule type="containsText" dxfId="5494" priority="5" operator="containsText" text="Code">
      <formula>NOT(ISERROR(SEARCH("Code",F1)))</formula>
    </cfRule>
  </conditionalFormatting>
  <conditionalFormatting sqref="I9:I21">
    <cfRule type="containsText" dxfId="5493" priority="12" operator="containsText" text="Code">
      <formula>NOT(ISERROR(SEARCH("Code",I9)))</formula>
    </cfRule>
    <cfRule type="containsText" dxfId="5492" priority="17" operator="containsText" text="c'[Fixtures All.xlsx]Women Filtered'!$F$2">
      <formula>NOT(ISERROR(SEARCH("c'[Fixtures All.xlsx]Women Filtered'!$F$2",I9)))</formula>
    </cfRule>
  </conditionalFormatting>
  <conditionalFormatting sqref="I10:L21">
    <cfRule type="cellIs" dxfId="5491" priority="10" operator="lessThan">
      <formula>5</formula>
    </cfRule>
    <cfRule type="cellIs" dxfId="5490" priority="11" operator="greaterThan">
      <formula>6</formula>
    </cfRule>
  </conditionalFormatting>
  <conditionalFormatting sqref="J10:J21">
    <cfRule type="containsText" dxfId="5489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488" priority="65"/>
  </conditionalFormatting>
  <conditionalFormatting sqref="K5">
    <cfRule type="duplicateValues" dxfId="5487" priority="62"/>
  </conditionalFormatting>
  <conditionalFormatting sqref="K9:K21">
    <cfRule type="containsText" dxfId="5486" priority="4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485" priority="2" operator="containsText" text="Code">
      <formula>NOT(ISERROR(SEARCH("Code",K10)))</formula>
    </cfRule>
  </conditionalFormatting>
  <conditionalFormatting sqref="K37:M37">
    <cfRule type="containsText" dxfId="5484" priority="8" operator="containsText" text="birk">
      <formula>NOT(ISERROR(SEARCH("birk",K37)))</formula>
    </cfRule>
  </conditionalFormatting>
  <conditionalFormatting sqref="L10:L21">
    <cfRule type="containsText" dxfId="5483" priority="13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32B714A8-1E50-4ECB-84C1-8D4A76CCC0A8}"/>
    <hyperlink ref="K5:K6" location="'All Fixtures'!A1" display="See all NW Fixtures" xr:uid="{4BC38F94-6434-49B5-82E7-8D7A96C47366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C802D-2555-4E4B-A211-9F7123027F28}">
  <dimension ref="A2:AQ178"/>
  <sheetViews>
    <sheetView workbookViewId="0"/>
  </sheetViews>
  <sheetFormatPr defaultRowHeight="14.4" x14ac:dyDescent="0.3"/>
  <cols>
    <col min="1" max="1" width="5" style="47" customWidth="1"/>
    <col min="2" max="2" width="20.6640625" style="3" customWidth="1"/>
    <col min="3" max="3" width="28.21875" style="3" customWidth="1"/>
    <col min="4" max="4" width="42.6640625" style="3" customWidth="1"/>
    <col min="5" max="5" width="16.21875" style="3" customWidth="1"/>
    <col min="6" max="6" width="29.33203125" style="3" customWidth="1"/>
    <col min="7" max="7" width="10.33203125" style="3" customWidth="1"/>
    <col min="8" max="8" width="29.33203125" style="3" customWidth="1"/>
    <col min="9" max="9" width="10" style="3" customWidth="1"/>
    <col min="10" max="10" width="10.6640625" style="3" customWidth="1"/>
    <col min="11" max="11" width="17.66406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496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E7" s="59"/>
      <c r="F7" s="59"/>
      <c r="G7" s="59"/>
      <c r="H7" s="59"/>
      <c r="I7" s="59"/>
      <c r="J7" s="59"/>
    </row>
    <row r="8" spans="1:12" ht="15" customHeight="1" x14ac:dyDescent="0.7">
      <c r="B8" s="16"/>
      <c r="E8" s="59"/>
      <c r="F8" s="59"/>
      <c r="G8" s="59"/>
      <c r="H8" s="59"/>
      <c r="I8" s="59"/>
      <c r="J8" s="59"/>
    </row>
    <row r="9" spans="1:12" ht="15" customHeight="1" x14ac:dyDescent="0.4">
      <c r="B9" s="21" t="s">
        <v>85</v>
      </c>
      <c r="D9" s="47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COUNTIF(F$26:H$178,"Bebington 2")</f>
        <v>22</v>
      </c>
      <c r="B10" s="3" t="s">
        <v>202</v>
      </c>
      <c r="C10" s="74">
        <v>3361808</v>
      </c>
      <c r="D10" s="57">
        <f>COUNTIF(F$26:I$178,"3361808")</f>
        <v>22</v>
      </c>
      <c r="E10" s="59"/>
      <c r="F10" s="57">
        <f>COUNTIF(F$26:F$178,"Bebington 2")</f>
        <v>11</v>
      </c>
      <c r="G10" s="47"/>
      <c r="H10" s="57">
        <f>COUNTIF(H$26:H$178,"Bebington 2")</f>
        <v>11</v>
      </c>
      <c r="I10" s="57">
        <f>COUNTIF(F$26:F$101,"Bebington 2")</f>
        <v>5</v>
      </c>
      <c r="J10" s="57">
        <f>COUNTIF(F$102:F$178,"Bebington 2")</f>
        <v>6</v>
      </c>
      <c r="K10" s="57">
        <f>COUNTIF(H$26:H$101,"Bebington 2")</f>
        <v>6</v>
      </c>
      <c r="L10" s="57">
        <f>COUNTIF(H$102:H$178,"Bebington 2")</f>
        <v>5</v>
      </c>
    </row>
    <row r="11" spans="1:12" ht="15" customHeight="1" x14ac:dyDescent="0.3">
      <c r="A11" s="47">
        <f>COUNTIF(F$26:H$178,"Chester 4")</f>
        <v>22</v>
      </c>
      <c r="B11" s="3" t="s">
        <v>203</v>
      </c>
      <c r="C11" s="74">
        <v>3359304</v>
      </c>
      <c r="D11" s="57">
        <f>COUNTIF(F$26:I$178,"3359304")</f>
        <v>22</v>
      </c>
      <c r="E11" s="59"/>
      <c r="F11" s="57">
        <f>COUNTIF(F$26:F$178,"Chester 4")</f>
        <v>11</v>
      </c>
      <c r="G11" s="47"/>
      <c r="H11" s="57">
        <f>COUNTIF(H$26:H$178,"Chester 4")</f>
        <v>11</v>
      </c>
      <c r="I11" s="57">
        <f>COUNTIF(F$26:F$101,"Chester 4")</f>
        <v>5</v>
      </c>
      <c r="J11" s="57">
        <f>COUNTIF(F$102:F$178,"Chester 4")</f>
        <v>6</v>
      </c>
      <c r="K11" s="57">
        <f>COUNTIF(H$26:H$101,"Chester 4")</f>
        <v>6</v>
      </c>
      <c r="L11" s="57">
        <f>COUNTIF(H$102:H$178,"Chester 4")</f>
        <v>5</v>
      </c>
    </row>
    <row r="12" spans="1:12" ht="15" customHeight="1" x14ac:dyDescent="0.3">
      <c r="A12" s="47">
        <f>COUNTIF(F$26:H$178,"Chester 5")</f>
        <v>22</v>
      </c>
      <c r="B12" s="3" t="s">
        <v>227</v>
      </c>
      <c r="C12" s="74">
        <v>3359408</v>
      </c>
      <c r="D12" s="57">
        <f>COUNTIF(F$26:I$178,"3359408")</f>
        <v>22</v>
      </c>
      <c r="E12" s="59"/>
      <c r="F12" s="57">
        <f>COUNTIF(F$26:F$178,"Chester 5")</f>
        <v>11</v>
      </c>
      <c r="G12" s="47"/>
      <c r="H12" s="57">
        <f>COUNTIF(H$26:H$178,"Chester 5")</f>
        <v>11</v>
      </c>
      <c r="I12" s="57">
        <f>COUNTIF(F$26:F$101,"Chester 5")</f>
        <v>6</v>
      </c>
      <c r="J12" s="57">
        <f>COUNTIF(F$102:F$178,"Chester 4")</f>
        <v>6</v>
      </c>
      <c r="K12" s="57">
        <f>COUNTIF(H$26:H$101,"Chester 5")</f>
        <v>5</v>
      </c>
      <c r="L12" s="57">
        <f>COUNTIF(H$102:H$178,"Chester 4")</f>
        <v>5</v>
      </c>
    </row>
    <row r="13" spans="1:12" ht="15" customHeight="1" x14ac:dyDescent="0.3">
      <c r="A13" s="47">
        <f>COUNTIF(F$26:H$178,"Clwb Hoci Eirias 3")</f>
        <v>22</v>
      </c>
      <c r="B13" s="3" t="s">
        <v>229</v>
      </c>
      <c r="C13" s="74">
        <v>3358409</v>
      </c>
      <c r="D13" s="57">
        <f>COUNTIF(F$26:I$178,"3358409")</f>
        <v>22</v>
      </c>
      <c r="E13" s="59"/>
      <c r="F13" s="57">
        <f>COUNTIF(F$26:F$178,"Clwb Hoci Eirias 3")</f>
        <v>11</v>
      </c>
      <c r="G13" s="57"/>
      <c r="H13" s="57">
        <f>COUNTIF(H$26:H$178,"Clwb Hoci Eirias 3")</f>
        <v>11</v>
      </c>
      <c r="I13" s="57">
        <f>COUNTIF(F$26:F$101,"Clwb Hoci Eirias 3")</f>
        <v>5</v>
      </c>
      <c r="J13" s="57">
        <f>COUNTIF(F$102:F$178,"Clwb Hoci Eirias 3")</f>
        <v>6</v>
      </c>
      <c r="K13" s="57">
        <f>COUNTIF(H$26:H$101,"Clwb Hoci Eirias 3")</f>
        <v>6</v>
      </c>
      <c r="L13" s="57">
        <f>COUNTIF(H$102:H$178,"Clwb Hoci Eirias 3")</f>
        <v>5</v>
      </c>
    </row>
    <row r="14" spans="1:12" ht="15" customHeight="1" x14ac:dyDescent="0.3">
      <c r="A14" s="47">
        <f>COUNTIF(F$26:H$178,"Denbigh 1")</f>
        <v>22</v>
      </c>
      <c r="B14" s="3" t="s">
        <v>204</v>
      </c>
      <c r="C14" s="82">
        <v>3357400</v>
      </c>
      <c r="D14" s="57">
        <f>COUNTIF(F$26:I$178,"3357400")</f>
        <v>22</v>
      </c>
      <c r="E14" s="59"/>
      <c r="F14" s="57">
        <f>COUNTIF(F$26:F$178,"Denbigh 1")</f>
        <v>11</v>
      </c>
      <c r="G14" s="47"/>
      <c r="H14" s="57">
        <f>COUNTIF(H$26:H$178,"Denbigh 1")</f>
        <v>11</v>
      </c>
      <c r="I14" s="57">
        <f>COUNTIF(F$26:F$101,"Denbigh 1")</f>
        <v>6</v>
      </c>
      <c r="J14" s="57">
        <f>COUNTIF(F$102:F$178,"Denbigh 1")</f>
        <v>5</v>
      </c>
      <c r="K14" s="57">
        <f>COUNTIF(H$26:H$101,"Denbigh 1")</f>
        <v>5</v>
      </c>
      <c r="L14" s="57">
        <f>COUNTIF(H$102:H$178,"Denbigh 1")</f>
        <v>6</v>
      </c>
    </row>
    <row r="15" spans="1:12" ht="15" customHeight="1" x14ac:dyDescent="0.3">
      <c r="A15" s="47">
        <f>COUNTIF(F$26:H$178,"Neston 5")</f>
        <v>22</v>
      </c>
      <c r="B15" s="3" t="s">
        <v>426</v>
      </c>
      <c r="C15" s="74">
        <v>3352603</v>
      </c>
      <c r="D15" s="57">
        <f>COUNTIF(F$26:I$178,"3352603")</f>
        <v>22</v>
      </c>
      <c r="E15" s="59"/>
      <c r="F15" s="57">
        <f>COUNTIF(F$26:F$178,"Neston 5")</f>
        <v>11</v>
      </c>
      <c r="G15" s="47"/>
      <c r="H15" s="57">
        <f>COUNTIF(H$26:H$178,"Neston 5")</f>
        <v>11</v>
      </c>
      <c r="I15" s="57">
        <f>COUNTIF(F$26:F$101,"Neston 5")</f>
        <v>6</v>
      </c>
      <c r="J15" s="57">
        <f>COUNTIF(F$102:F$178,"Neston 5")</f>
        <v>5</v>
      </c>
      <c r="K15" s="57">
        <f>COUNTIF(H$26:H$101,"Neston 5")</f>
        <v>5</v>
      </c>
      <c r="L15" s="57">
        <f>COUNTIF(H$102:H$178,"Neston 5")</f>
        <v>6</v>
      </c>
    </row>
    <row r="16" spans="1:12" x14ac:dyDescent="0.3">
      <c r="A16" s="47">
        <f>COUNTIF(F$26:H$178,"Northop Hall 2")</f>
        <v>22</v>
      </c>
      <c r="B16" s="3" t="s">
        <v>205</v>
      </c>
      <c r="C16" s="74">
        <v>3351906</v>
      </c>
      <c r="D16" s="57">
        <f>COUNTIF(F$26:I$178,"3351906")</f>
        <v>22</v>
      </c>
      <c r="E16" s="59"/>
      <c r="F16" s="57">
        <f>COUNTIF(F$26:F$178,"Northop Hall 2")</f>
        <v>11</v>
      </c>
      <c r="G16" s="47"/>
      <c r="H16" s="57">
        <f>COUNTIF(H$26:H$178,"Northop Hall 2")</f>
        <v>11</v>
      </c>
      <c r="I16" s="57">
        <f>COUNTIF(F$26:F$101,"Northop Hall 2")</f>
        <v>6</v>
      </c>
      <c r="J16" s="57">
        <f>COUNTIF(F$102:F$178,"Northop Hall 2")</f>
        <v>5</v>
      </c>
      <c r="K16" s="57">
        <f>COUNTIF(H$26:H$101,"Northop Hall 2")</f>
        <v>5</v>
      </c>
      <c r="L16" s="57">
        <f>COUNTIF(H$102:H$178,"Northop Hall 2")</f>
        <v>6</v>
      </c>
    </row>
    <row r="17" spans="1:12" x14ac:dyDescent="0.3">
      <c r="A17" s="47">
        <f>COUNTIF(F$26:H$178,"Oxton 3")</f>
        <v>22</v>
      </c>
      <c r="B17" s="3" t="s">
        <v>206</v>
      </c>
      <c r="C17" s="74">
        <v>3352103</v>
      </c>
      <c r="D17" s="57">
        <f>COUNTIF(F$26:I$178,"3352103")</f>
        <v>22</v>
      </c>
      <c r="E17" s="59"/>
      <c r="F17" s="57">
        <f>COUNTIF(F$26:F$178,"Oxton 3")</f>
        <v>11</v>
      </c>
      <c r="G17" s="47"/>
      <c r="H17" s="57">
        <f>COUNTIF(H$26:H$178,"Oxton 3")</f>
        <v>11</v>
      </c>
      <c r="I17" s="57">
        <f>COUNTIF(F$26:F$101,"Oxton 3")</f>
        <v>6</v>
      </c>
      <c r="J17" s="57">
        <f>COUNTIF(F$102:F$178,"Oxton 3")</f>
        <v>5</v>
      </c>
      <c r="K17" s="57">
        <f>COUNTIF(H$26:H$101,"Oxton 3")</f>
        <v>5</v>
      </c>
      <c r="L17" s="57">
        <f>COUNTIF(H$102:H$178,"Oxton 3")</f>
        <v>6</v>
      </c>
    </row>
    <row r="18" spans="1:12" x14ac:dyDescent="0.3">
      <c r="A18" s="47">
        <f>COUNTIF(F$26:H$178,"Oxton 4")</f>
        <v>22</v>
      </c>
      <c r="B18" s="103" t="s">
        <v>462</v>
      </c>
      <c r="C18" s="53">
        <v>3352207</v>
      </c>
      <c r="D18" s="57">
        <f>COUNTIF(F$26:I$178,"3352207")</f>
        <v>22</v>
      </c>
      <c r="E18" s="59"/>
      <c r="F18" s="57">
        <f>COUNTIF(F$26:F$178,"Oxton 4")</f>
        <v>11</v>
      </c>
      <c r="G18" s="47"/>
      <c r="H18" s="57">
        <f>COUNTIF(H$26:H$178,"Oxton 4")</f>
        <v>11</v>
      </c>
      <c r="I18" s="57">
        <f>COUNTIF(F$26:F$101,"Oxton 4")</f>
        <v>5</v>
      </c>
      <c r="J18" s="57">
        <f>COUNTIF(F$102:F$178,"Oxton 4")</f>
        <v>6</v>
      </c>
      <c r="K18" s="57">
        <f>COUNTIF(H$26:H$101,"Oxton 4")</f>
        <v>6</v>
      </c>
      <c r="L18" s="57">
        <f>COUNTIF(H$102:H$178,"Oxton 4")</f>
        <v>5</v>
      </c>
    </row>
    <row r="19" spans="1:12" x14ac:dyDescent="0.3">
      <c r="A19" s="47">
        <f>COUNTIF(F$26:H$178,"Rhyl &amp; District 1")</f>
        <v>22</v>
      </c>
      <c r="B19" s="3" t="s">
        <v>427</v>
      </c>
      <c r="C19" s="74">
        <v>3351500</v>
      </c>
      <c r="D19" s="57">
        <f>COUNTIF(F$26:I$178,"3351500")</f>
        <v>22</v>
      </c>
      <c r="E19" s="59"/>
      <c r="F19" s="57">
        <f>COUNTIF(F$26:F$178,"Rhyl &amp; District 1")</f>
        <v>11</v>
      </c>
      <c r="G19" s="47"/>
      <c r="H19" s="57">
        <f>COUNTIF(H$26:H$178,"Rhyl &amp; District 1")</f>
        <v>11</v>
      </c>
      <c r="I19" s="57">
        <f>COUNTIF(F$26:F$101,"Rhyl &amp; District 1")</f>
        <v>5</v>
      </c>
      <c r="J19" s="57">
        <f>COUNTIF(F$102:F$178,"Rhyl &amp; District 1")</f>
        <v>6</v>
      </c>
      <c r="K19" s="57">
        <f>COUNTIF(H$26:H$101,"Rhyl &amp; District 1")</f>
        <v>6</v>
      </c>
      <c r="L19" s="57">
        <f>COUNTIF(H$102:H$178,"Rhyl &amp; District 1")</f>
        <v>5</v>
      </c>
    </row>
    <row r="20" spans="1:12" x14ac:dyDescent="0.3">
      <c r="A20" s="47">
        <f>COUNTIF(F$26:H$178,"Runcorn 1")</f>
        <v>22</v>
      </c>
      <c r="B20" s="103" t="s">
        <v>198</v>
      </c>
      <c r="C20" s="53">
        <v>3350803</v>
      </c>
      <c r="D20" s="57">
        <f>COUNTIF(F$26:I$178,"3350803")</f>
        <v>22</v>
      </c>
      <c r="E20" s="59"/>
      <c r="F20" s="57">
        <f>COUNTIF(F$26:F$178,"Runcorn 1")</f>
        <v>11</v>
      </c>
      <c r="G20" s="47"/>
      <c r="H20" s="57">
        <f>COUNTIF(H$26:H$178,"Runcorn 1")</f>
        <v>11</v>
      </c>
      <c r="I20" s="57">
        <f>COUNTIF(F$26:F$101,"Runcorn 1")</f>
        <v>5</v>
      </c>
      <c r="J20" s="57">
        <f>COUNTIF(F$102:F$178,"Runcorn 1")</f>
        <v>6</v>
      </c>
      <c r="K20" s="57">
        <f>COUNTIF(H$26:H$101,"Runcorn 1")</f>
        <v>6</v>
      </c>
      <c r="L20" s="57">
        <f>COUNTIF(H$102:H$178,"Runcorn 1")</f>
        <v>5</v>
      </c>
    </row>
    <row r="21" spans="1:12" x14ac:dyDescent="0.3">
      <c r="A21" s="47">
        <f>COUNTIF(F$26:H$178,"Wrexham Glyndwr 1")</f>
        <v>22</v>
      </c>
      <c r="B21" s="3" t="s">
        <v>207</v>
      </c>
      <c r="C21" s="74">
        <v>3346801</v>
      </c>
      <c r="D21" s="57">
        <f>COUNTIF(F$26:I$178,"3346801")</f>
        <v>22</v>
      </c>
      <c r="E21" s="59"/>
      <c r="F21" s="57">
        <f>COUNTIF(F$26:F$178,"Wrexham Glyndwr 1")</f>
        <v>11</v>
      </c>
      <c r="G21" s="47"/>
      <c r="H21" s="57">
        <f>COUNTIF(H$26:H$178,"Wrexham Glyndwr 1")</f>
        <v>11</v>
      </c>
      <c r="I21" s="57">
        <f>COUNTIF(F$26:F$101,"Wrexham Glyndwr 1")</f>
        <v>6</v>
      </c>
      <c r="J21" s="57">
        <f>COUNTIF(F$102:F$178,"Wrexham Glyndwr 1")</f>
        <v>5</v>
      </c>
      <c r="K21" s="57">
        <f>COUNTIF(H$26:H$101,"Wrexham Glyndwr 1")</f>
        <v>5</v>
      </c>
      <c r="L21" s="57">
        <f>COUNTIF(H$102:H$178,"Wrexham Glyndwr 1")</f>
        <v>6</v>
      </c>
    </row>
    <row r="22" spans="1:12" x14ac:dyDescent="0.3">
      <c r="B22"/>
      <c r="E22" s="59"/>
      <c r="F22" s="47"/>
      <c r="G22" s="47"/>
      <c r="H22" s="47"/>
      <c r="I22" s="59"/>
      <c r="J22" s="59"/>
    </row>
    <row r="23" spans="1:12" ht="21" x14ac:dyDescent="0.4">
      <c r="B23" s="22" t="s">
        <v>93</v>
      </c>
      <c r="E23" s="59"/>
      <c r="F23" s="59"/>
      <c r="G23" s="59"/>
      <c r="H23" s="59"/>
      <c r="I23" s="59"/>
      <c r="J23" s="59"/>
    </row>
    <row r="24" spans="1:12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K24" s="51"/>
    </row>
    <row r="25" spans="1:12" s="3" customFormat="1" x14ac:dyDescent="0.3">
      <c r="A25" s="47"/>
      <c r="K25" s="51"/>
    </row>
    <row r="26" spans="1:12" x14ac:dyDescent="0.3">
      <c r="B26" s="44">
        <v>45913</v>
      </c>
      <c r="C26" s="3" t="s">
        <v>416</v>
      </c>
      <c r="D26" s="3" t="s">
        <v>496</v>
      </c>
      <c r="E26" s="101"/>
      <c r="F26" s="4" t="s">
        <v>427</v>
      </c>
      <c r="G26" s="4">
        <v>3351500</v>
      </c>
      <c r="H26" s="3" t="s">
        <v>229</v>
      </c>
      <c r="I26" s="4">
        <v>3358409</v>
      </c>
    </row>
    <row r="27" spans="1:12" x14ac:dyDescent="0.3">
      <c r="B27" s="44">
        <v>45913</v>
      </c>
      <c r="C27" s="3" t="s">
        <v>416</v>
      </c>
      <c r="D27" s="3" t="s">
        <v>496</v>
      </c>
      <c r="E27" s="101"/>
      <c r="F27" s="4" t="s">
        <v>204</v>
      </c>
      <c r="G27" s="4">
        <v>3357400</v>
      </c>
      <c r="H27" s="3" t="s">
        <v>202</v>
      </c>
      <c r="I27" s="74">
        <v>3361808</v>
      </c>
      <c r="K27" s="3"/>
      <c r="L27" s="4"/>
    </row>
    <row r="28" spans="1:12" x14ac:dyDescent="0.3">
      <c r="B28" s="44">
        <v>45913</v>
      </c>
      <c r="C28" s="3" t="s">
        <v>416</v>
      </c>
      <c r="D28" s="3" t="s">
        <v>496</v>
      </c>
      <c r="E28" s="101"/>
      <c r="F28" s="4" t="s">
        <v>206</v>
      </c>
      <c r="G28" s="4">
        <v>3352103</v>
      </c>
      <c r="H28" s="3" t="s">
        <v>462</v>
      </c>
      <c r="I28" s="4">
        <v>3352207</v>
      </c>
      <c r="K28" s="3"/>
      <c r="L28" s="4"/>
    </row>
    <row r="29" spans="1:12" x14ac:dyDescent="0.3">
      <c r="B29" s="44">
        <v>45913</v>
      </c>
      <c r="C29" s="3" t="s">
        <v>416</v>
      </c>
      <c r="D29" s="3" t="s">
        <v>496</v>
      </c>
      <c r="E29" s="101"/>
      <c r="F29" s="4" t="s">
        <v>426</v>
      </c>
      <c r="G29" s="4">
        <v>3352603</v>
      </c>
      <c r="H29" s="3" t="s">
        <v>198</v>
      </c>
      <c r="I29" s="4">
        <v>3350803</v>
      </c>
    </row>
    <row r="30" spans="1:12" x14ac:dyDescent="0.3">
      <c r="B30" s="44">
        <v>45913</v>
      </c>
      <c r="C30" s="3" t="s">
        <v>416</v>
      </c>
      <c r="D30" s="3" t="s">
        <v>496</v>
      </c>
      <c r="E30" s="101"/>
      <c r="F30" s="4" t="s">
        <v>207</v>
      </c>
      <c r="G30" s="4">
        <v>3346801</v>
      </c>
      <c r="H30" s="3" t="s">
        <v>203</v>
      </c>
      <c r="I30" s="4">
        <v>3359304</v>
      </c>
    </row>
    <row r="31" spans="1:12" x14ac:dyDescent="0.3">
      <c r="B31" s="44">
        <v>45913</v>
      </c>
      <c r="C31" s="3" t="s">
        <v>416</v>
      </c>
      <c r="D31" s="3" t="s">
        <v>496</v>
      </c>
      <c r="E31" s="101"/>
      <c r="F31" s="3" t="s">
        <v>205</v>
      </c>
      <c r="G31" s="74">
        <v>3351906</v>
      </c>
      <c r="H31" s="3" t="s">
        <v>227</v>
      </c>
      <c r="I31" s="4">
        <v>3359408</v>
      </c>
    </row>
    <row r="32" spans="1:12" x14ac:dyDescent="0.3">
      <c r="B32" s="4"/>
      <c r="E32" s="101"/>
      <c r="F32" s="4"/>
    </row>
    <row r="33" spans="2:9" x14ac:dyDescent="0.3">
      <c r="B33" s="44">
        <v>45920</v>
      </c>
      <c r="C33" s="3" t="s">
        <v>416</v>
      </c>
      <c r="D33" s="3" t="s">
        <v>496</v>
      </c>
      <c r="E33" s="101"/>
      <c r="F33" s="3" t="s">
        <v>227</v>
      </c>
      <c r="G33" s="4">
        <v>3359408</v>
      </c>
      <c r="H33" s="3" t="s">
        <v>427</v>
      </c>
      <c r="I33" s="4">
        <v>3351500</v>
      </c>
    </row>
    <row r="34" spans="2:9" x14ac:dyDescent="0.3">
      <c r="B34" s="44">
        <v>45920</v>
      </c>
      <c r="C34" s="3" t="s">
        <v>416</v>
      </c>
      <c r="D34" s="3" t="s">
        <v>496</v>
      </c>
      <c r="E34" s="101"/>
      <c r="F34" s="3" t="s">
        <v>203</v>
      </c>
      <c r="G34" s="4">
        <v>3359304</v>
      </c>
      <c r="H34" s="3" t="s">
        <v>205</v>
      </c>
      <c r="I34" s="74">
        <v>3351906</v>
      </c>
    </row>
    <row r="35" spans="2:9" x14ac:dyDescent="0.3">
      <c r="B35" s="44">
        <v>45920</v>
      </c>
      <c r="C35" s="3" t="s">
        <v>416</v>
      </c>
      <c r="D35" s="3" t="s">
        <v>496</v>
      </c>
      <c r="E35" s="101"/>
      <c r="F35" s="3" t="s">
        <v>198</v>
      </c>
      <c r="G35" s="4">
        <v>3350803</v>
      </c>
      <c r="H35" s="4" t="s">
        <v>207</v>
      </c>
      <c r="I35" s="4">
        <v>3346801</v>
      </c>
    </row>
    <row r="36" spans="2:9" x14ac:dyDescent="0.3">
      <c r="B36" s="44">
        <v>45920</v>
      </c>
      <c r="C36" s="3" t="s">
        <v>416</v>
      </c>
      <c r="D36" s="3" t="s">
        <v>496</v>
      </c>
      <c r="E36" s="101"/>
      <c r="F36" s="3" t="s">
        <v>229</v>
      </c>
      <c r="G36" s="4">
        <v>3358409</v>
      </c>
      <c r="H36" s="4" t="s">
        <v>204</v>
      </c>
      <c r="I36" s="4">
        <v>3357400</v>
      </c>
    </row>
    <row r="37" spans="2:9" x14ac:dyDescent="0.3">
      <c r="B37" s="44">
        <v>45920</v>
      </c>
      <c r="C37" s="3" t="s">
        <v>416</v>
      </c>
      <c r="D37" s="3" t="s">
        <v>496</v>
      </c>
      <c r="E37" s="101"/>
      <c r="F37" s="3" t="s">
        <v>462</v>
      </c>
      <c r="G37" s="4">
        <v>3352207</v>
      </c>
      <c r="H37" s="4" t="s">
        <v>426</v>
      </c>
      <c r="I37" s="4">
        <v>3352603</v>
      </c>
    </row>
    <row r="38" spans="2:9" x14ac:dyDescent="0.3">
      <c r="B38" s="44">
        <v>45920</v>
      </c>
      <c r="C38" s="3" t="s">
        <v>416</v>
      </c>
      <c r="D38" s="3" t="s">
        <v>496</v>
      </c>
      <c r="E38" s="101"/>
      <c r="F38" s="3" t="s">
        <v>202</v>
      </c>
      <c r="G38" s="74">
        <v>3361808</v>
      </c>
      <c r="H38" s="4" t="s">
        <v>206</v>
      </c>
      <c r="I38" s="4">
        <v>3352103</v>
      </c>
    </row>
    <row r="39" spans="2:9" x14ac:dyDescent="0.3">
      <c r="B39" s="4"/>
      <c r="E39" s="101"/>
      <c r="F39" s="4"/>
    </row>
    <row r="40" spans="2:9" x14ac:dyDescent="0.3">
      <c r="B40" s="44">
        <v>45927</v>
      </c>
      <c r="C40" s="3" t="s">
        <v>416</v>
      </c>
      <c r="D40" s="3" t="s">
        <v>496</v>
      </c>
      <c r="E40" s="101"/>
      <c r="F40" s="3" t="s">
        <v>227</v>
      </c>
      <c r="G40" s="4">
        <v>3359408</v>
      </c>
      <c r="H40" s="3" t="s">
        <v>203</v>
      </c>
      <c r="I40" s="4">
        <v>3359304</v>
      </c>
    </row>
    <row r="41" spans="2:9" x14ac:dyDescent="0.3">
      <c r="B41" s="44">
        <v>45927</v>
      </c>
      <c r="C41" s="3" t="s">
        <v>416</v>
      </c>
      <c r="D41" s="3" t="s">
        <v>496</v>
      </c>
      <c r="E41" s="101"/>
      <c r="F41" s="4" t="s">
        <v>204</v>
      </c>
      <c r="G41" s="4">
        <v>3357400</v>
      </c>
      <c r="H41" s="3" t="s">
        <v>427</v>
      </c>
      <c r="I41" s="4">
        <v>3351500</v>
      </c>
    </row>
    <row r="42" spans="2:9" x14ac:dyDescent="0.3">
      <c r="B42" s="44">
        <v>45927</v>
      </c>
      <c r="C42" s="3" t="s">
        <v>416</v>
      </c>
      <c r="D42" s="3" t="s">
        <v>496</v>
      </c>
      <c r="E42" s="101"/>
      <c r="F42" s="4" t="s">
        <v>206</v>
      </c>
      <c r="G42" s="4">
        <v>3352103</v>
      </c>
      <c r="H42" s="3" t="s">
        <v>229</v>
      </c>
      <c r="I42" s="4">
        <v>3358409</v>
      </c>
    </row>
    <row r="43" spans="2:9" x14ac:dyDescent="0.3">
      <c r="B43" s="44">
        <v>45927</v>
      </c>
      <c r="C43" s="3" t="s">
        <v>416</v>
      </c>
      <c r="D43" s="3" t="s">
        <v>496</v>
      </c>
      <c r="E43" s="101"/>
      <c r="F43" s="4" t="s">
        <v>426</v>
      </c>
      <c r="G43" s="4">
        <v>3352603</v>
      </c>
      <c r="H43" s="3" t="s">
        <v>202</v>
      </c>
      <c r="I43" s="74">
        <v>3361808</v>
      </c>
    </row>
    <row r="44" spans="2:9" x14ac:dyDescent="0.3">
      <c r="B44" s="44">
        <v>45927</v>
      </c>
      <c r="C44" s="3" t="s">
        <v>416</v>
      </c>
      <c r="D44" s="3" t="s">
        <v>496</v>
      </c>
      <c r="E44" s="101"/>
      <c r="F44" s="4" t="s">
        <v>207</v>
      </c>
      <c r="G44" s="4">
        <v>3346801</v>
      </c>
      <c r="H44" s="3" t="s">
        <v>462</v>
      </c>
      <c r="I44" s="4">
        <v>3352207</v>
      </c>
    </row>
    <row r="45" spans="2:9" x14ac:dyDescent="0.3">
      <c r="B45" s="44">
        <v>45927</v>
      </c>
      <c r="C45" s="3" t="s">
        <v>416</v>
      </c>
      <c r="D45" s="3" t="s">
        <v>496</v>
      </c>
      <c r="E45" s="101"/>
      <c r="F45" s="3" t="s">
        <v>205</v>
      </c>
      <c r="G45" s="74">
        <v>3351906</v>
      </c>
      <c r="H45" s="3" t="s">
        <v>198</v>
      </c>
      <c r="I45" s="4">
        <v>3350803</v>
      </c>
    </row>
    <row r="46" spans="2:9" x14ac:dyDescent="0.3">
      <c r="B46" s="4"/>
      <c r="E46" s="101"/>
      <c r="F46" s="4"/>
    </row>
    <row r="47" spans="2:9" x14ac:dyDescent="0.3">
      <c r="B47" s="44">
        <v>45934</v>
      </c>
      <c r="C47" s="3" t="s">
        <v>416</v>
      </c>
      <c r="D47" s="3" t="s">
        <v>496</v>
      </c>
      <c r="E47" s="101"/>
      <c r="F47" s="4" t="s">
        <v>427</v>
      </c>
      <c r="G47" s="4">
        <v>3351500</v>
      </c>
      <c r="H47" s="4" t="s">
        <v>206</v>
      </c>
      <c r="I47" s="4">
        <v>3352103</v>
      </c>
    </row>
    <row r="48" spans="2:9" x14ac:dyDescent="0.3">
      <c r="B48" s="44">
        <v>45934</v>
      </c>
      <c r="C48" s="3" t="s">
        <v>416</v>
      </c>
      <c r="D48" s="3" t="s">
        <v>496</v>
      </c>
      <c r="E48" s="101"/>
      <c r="F48" s="4" t="s">
        <v>204</v>
      </c>
      <c r="G48" s="4">
        <v>3357400</v>
      </c>
      <c r="H48" s="3" t="s">
        <v>227</v>
      </c>
      <c r="I48" s="4">
        <v>3359408</v>
      </c>
    </row>
    <row r="49" spans="2:9" x14ac:dyDescent="0.3">
      <c r="B49" s="44">
        <v>45934</v>
      </c>
      <c r="C49" s="3" t="s">
        <v>416</v>
      </c>
      <c r="D49" s="3" t="s">
        <v>496</v>
      </c>
      <c r="E49" s="101"/>
      <c r="F49" s="3" t="s">
        <v>198</v>
      </c>
      <c r="G49" s="4">
        <v>3350803</v>
      </c>
      <c r="H49" s="3" t="s">
        <v>203</v>
      </c>
      <c r="I49" s="4">
        <v>3359304</v>
      </c>
    </row>
    <row r="50" spans="2:9" x14ac:dyDescent="0.3">
      <c r="B50" s="44">
        <v>45934</v>
      </c>
      <c r="C50" s="3" t="s">
        <v>416</v>
      </c>
      <c r="D50" s="3" t="s">
        <v>496</v>
      </c>
      <c r="E50" s="101"/>
      <c r="F50" s="3" t="s">
        <v>229</v>
      </c>
      <c r="G50" s="4">
        <v>3358409</v>
      </c>
      <c r="H50" s="4" t="s">
        <v>426</v>
      </c>
      <c r="I50" s="4">
        <v>3352603</v>
      </c>
    </row>
    <row r="51" spans="2:9" x14ac:dyDescent="0.3">
      <c r="B51" s="44">
        <v>45934</v>
      </c>
      <c r="C51" s="3" t="s">
        <v>416</v>
      </c>
      <c r="D51" s="3" t="s">
        <v>496</v>
      </c>
      <c r="E51" s="101"/>
      <c r="F51" s="3" t="s">
        <v>462</v>
      </c>
      <c r="G51" s="4">
        <v>3352207</v>
      </c>
      <c r="H51" s="3" t="s">
        <v>205</v>
      </c>
      <c r="I51" s="74">
        <v>3351906</v>
      </c>
    </row>
    <row r="52" spans="2:9" x14ac:dyDescent="0.3">
      <c r="B52" s="44">
        <v>45934</v>
      </c>
      <c r="C52" s="3" t="s">
        <v>416</v>
      </c>
      <c r="D52" s="3" t="s">
        <v>496</v>
      </c>
      <c r="E52" s="101"/>
      <c r="F52" s="3" t="s">
        <v>202</v>
      </c>
      <c r="G52" s="74">
        <v>3361808</v>
      </c>
      <c r="H52" s="4" t="s">
        <v>207</v>
      </c>
      <c r="I52" s="4">
        <v>3346801</v>
      </c>
    </row>
    <row r="53" spans="2:9" x14ac:dyDescent="0.3">
      <c r="B53" s="4"/>
      <c r="E53" s="101"/>
      <c r="F53" s="4"/>
    </row>
    <row r="54" spans="2:9" x14ac:dyDescent="0.3">
      <c r="B54" s="44">
        <v>45941</v>
      </c>
      <c r="C54" s="3" t="s">
        <v>416</v>
      </c>
      <c r="D54" s="3" t="s">
        <v>496</v>
      </c>
      <c r="E54" s="101"/>
      <c r="F54" s="3" t="s">
        <v>227</v>
      </c>
      <c r="G54" s="4">
        <v>3359408</v>
      </c>
      <c r="H54" s="3" t="s">
        <v>198</v>
      </c>
      <c r="I54" s="4">
        <v>3350803</v>
      </c>
    </row>
    <row r="55" spans="2:9" x14ac:dyDescent="0.3">
      <c r="B55" s="44">
        <v>45941</v>
      </c>
      <c r="C55" s="3" t="s">
        <v>416</v>
      </c>
      <c r="D55" s="3" t="s">
        <v>496</v>
      </c>
      <c r="E55" s="101"/>
      <c r="F55" s="3" t="s">
        <v>203</v>
      </c>
      <c r="G55" s="4">
        <v>3359304</v>
      </c>
      <c r="H55" s="3" t="s">
        <v>462</v>
      </c>
      <c r="I55" s="4">
        <v>3352207</v>
      </c>
    </row>
    <row r="56" spans="2:9" x14ac:dyDescent="0.3">
      <c r="B56" s="44">
        <v>45941</v>
      </c>
      <c r="C56" s="3" t="s">
        <v>416</v>
      </c>
      <c r="D56" s="3" t="s">
        <v>496</v>
      </c>
      <c r="E56" s="101"/>
      <c r="F56" s="4" t="s">
        <v>206</v>
      </c>
      <c r="G56" s="4">
        <v>3352103</v>
      </c>
      <c r="H56" s="4" t="s">
        <v>204</v>
      </c>
      <c r="I56" s="4">
        <v>3357400</v>
      </c>
    </row>
    <row r="57" spans="2:9" x14ac:dyDescent="0.3">
      <c r="B57" s="44">
        <v>45941</v>
      </c>
      <c r="C57" s="3" t="s">
        <v>416</v>
      </c>
      <c r="D57" s="3" t="s">
        <v>496</v>
      </c>
      <c r="E57" s="101"/>
      <c r="F57" s="4" t="s">
        <v>426</v>
      </c>
      <c r="G57" s="4">
        <v>3352603</v>
      </c>
      <c r="H57" s="3" t="s">
        <v>427</v>
      </c>
      <c r="I57" s="4">
        <v>3351500</v>
      </c>
    </row>
    <row r="58" spans="2:9" x14ac:dyDescent="0.3">
      <c r="B58" s="44">
        <v>45941</v>
      </c>
      <c r="C58" s="3" t="s">
        <v>416</v>
      </c>
      <c r="D58" s="3" t="s">
        <v>496</v>
      </c>
      <c r="E58" s="101"/>
      <c r="F58" s="4" t="s">
        <v>207</v>
      </c>
      <c r="G58" s="4">
        <v>3346801</v>
      </c>
      <c r="H58" s="3" t="s">
        <v>229</v>
      </c>
      <c r="I58" s="4">
        <v>3358409</v>
      </c>
    </row>
    <row r="59" spans="2:9" x14ac:dyDescent="0.3">
      <c r="B59" s="44">
        <v>45941</v>
      </c>
      <c r="C59" s="3" t="s">
        <v>416</v>
      </c>
      <c r="D59" s="3" t="s">
        <v>496</v>
      </c>
      <c r="E59" s="101"/>
      <c r="F59" s="3" t="s">
        <v>205</v>
      </c>
      <c r="G59" s="74">
        <v>3351906</v>
      </c>
      <c r="H59" s="3" t="s">
        <v>202</v>
      </c>
      <c r="I59" s="74">
        <v>3361808</v>
      </c>
    </row>
    <row r="60" spans="2:9" x14ac:dyDescent="0.3">
      <c r="B60" s="4"/>
      <c r="E60" s="101"/>
      <c r="F60" s="4"/>
    </row>
    <row r="61" spans="2:9" x14ac:dyDescent="0.3">
      <c r="B61" s="44">
        <v>45948</v>
      </c>
      <c r="C61" s="3" t="s">
        <v>416</v>
      </c>
      <c r="D61" s="3" t="s">
        <v>496</v>
      </c>
      <c r="E61" s="101"/>
      <c r="F61" s="4" t="s">
        <v>427</v>
      </c>
      <c r="G61" s="4">
        <v>3351500</v>
      </c>
      <c r="H61" s="4" t="s">
        <v>207</v>
      </c>
      <c r="I61" s="4">
        <v>3346801</v>
      </c>
    </row>
    <row r="62" spans="2:9" x14ac:dyDescent="0.3">
      <c r="B62" s="44">
        <v>45948</v>
      </c>
      <c r="C62" s="3" t="s">
        <v>416</v>
      </c>
      <c r="D62" s="3" t="s">
        <v>496</v>
      </c>
      <c r="E62" s="101"/>
      <c r="F62" s="4" t="s">
        <v>204</v>
      </c>
      <c r="G62" s="4">
        <v>3357400</v>
      </c>
      <c r="H62" s="4" t="s">
        <v>426</v>
      </c>
      <c r="I62" s="4">
        <v>3352603</v>
      </c>
    </row>
    <row r="63" spans="2:9" x14ac:dyDescent="0.3">
      <c r="B63" s="44">
        <v>45948</v>
      </c>
      <c r="C63" s="3" t="s">
        <v>416</v>
      </c>
      <c r="D63" s="3" t="s">
        <v>496</v>
      </c>
      <c r="E63" s="101"/>
      <c r="F63" s="4" t="s">
        <v>206</v>
      </c>
      <c r="G63" s="4">
        <v>3352103</v>
      </c>
      <c r="H63" s="3" t="s">
        <v>227</v>
      </c>
      <c r="I63" s="4">
        <v>3359408</v>
      </c>
    </row>
    <row r="64" spans="2:9" x14ac:dyDescent="0.3">
      <c r="B64" s="44">
        <v>45948</v>
      </c>
      <c r="C64" s="3" t="s">
        <v>416</v>
      </c>
      <c r="D64" s="3" t="s">
        <v>496</v>
      </c>
      <c r="E64" s="101"/>
      <c r="F64" s="3" t="s">
        <v>229</v>
      </c>
      <c r="G64" s="4">
        <v>3358409</v>
      </c>
      <c r="H64" s="3" t="s">
        <v>205</v>
      </c>
      <c r="I64" s="74">
        <v>3351906</v>
      </c>
    </row>
    <row r="65" spans="2:9" x14ac:dyDescent="0.3">
      <c r="B65" s="44">
        <v>45948</v>
      </c>
      <c r="C65" s="3" t="s">
        <v>416</v>
      </c>
      <c r="D65" s="3" t="s">
        <v>496</v>
      </c>
      <c r="E65" s="101"/>
      <c r="F65" s="3" t="s">
        <v>462</v>
      </c>
      <c r="G65" s="4">
        <v>3352207</v>
      </c>
      <c r="H65" s="3" t="s">
        <v>198</v>
      </c>
      <c r="I65" s="4">
        <v>3350803</v>
      </c>
    </row>
    <row r="66" spans="2:9" x14ac:dyDescent="0.3">
      <c r="B66" s="44">
        <v>45948</v>
      </c>
      <c r="C66" s="3" t="s">
        <v>416</v>
      </c>
      <c r="D66" s="3" t="s">
        <v>496</v>
      </c>
      <c r="E66" s="101"/>
      <c r="F66" s="3" t="s">
        <v>202</v>
      </c>
      <c r="G66" s="74">
        <v>3361808</v>
      </c>
      <c r="H66" s="3" t="s">
        <v>203</v>
      </c>
      <c r="I66" s="4">
        <v>3359304</v>
      </c>
    </row>
    <row r="67" spans="2:9" x14ac:dyDescent="0.3">
      <c r="B67" s="4"/>
      <c r="E67" s="101"/>
      <c r="F67" s="4"/>
    </row>
    <row r="68" spans="2:9" x14ac:dyDescent="0.3">
      <c r="B68" s="44">
        <v>45962</v>
      </c>
      <c r="C68" s="3" t="s">
        <v>416</v>
      </c>
      <c r="D68" s="3" t="s">
        <v>496</v>
      </c>
      <c r="E68" s="101"/>
      <c r="F68" s="3" t="s">
        <v>227</v>
      </c>
      <c r="G68" s="4">
        <v>3359408</v>
      </c>
      <c r="H68" s="3" t="s">
        <v>462</v>
      </c>
      <c r="I68" s="4">
        <v>3352207</v>
      </c>
    </row>
    <row r="69" spans="2:9" x14ac:dyDescent="0.3">
      <c r="B69" s="44">
        <v>45962</v>
      </c>
      <c r="C69" s="3" t="s">
        <v>416</v>
      </c>
      <c r="D69" s="3" t="s">
        <v>496</v>
      </c>
      <c r="E69" s="101"/>
      <c r="F69" s="3" t="s">
        <v>203</v>
      </c>
      <c r="G69" s="4">
        <v>3359304</v>
      </c>
      <c r="H69" s="3" t="s">
        <v>229</v>
      </c>
      <c r="I69" s="4">
        <v>3358409</v>
      </c>
    </row>
    <row r="70" spans="2:9" x14ac:dyDescent="0.3">
      <c r="B70" s="44">
        <v>45962</v>
      </c>
      <c r="C70" s="3" t="s">
        <v>416</v>
      </c>
      <c r="D70" s="3" t="s">
        <v>496</v>
      </c>
      <c r="E70" s="101"/>
      <c r="F70" s="3" t="s">
        <v>198</v>
      </c>
      <c r="G70" s="4">
        <v>3350803</v>
      </c>
      <c r="H70" s="3" t="s">
        <v>202</v>
      </c>
      <c r="I70" s="74">
        <v>3361808</v>
      </c>
    </row>
    <row r="71" spans="2:9" x14ac:dyDescent="0.3">
      <c r="B71" s="44">
        <v>45962</v>
      </c>
      <c r="C71" s="3" t="s">
        <v>416</v>
      </c>
      <c r="D71" s="3" t="s">
        <v>496</v>
      </c>
      <c r="E71" s="101"/>
      <c r="F71" s="4" t="s">
        <v>426</v>
      </c>
      <c r="G71" s="4">
        <v>3352603</v>
      </c>
      <c r="H71" s="4" t="s">
        <v>206</v>
      </c>
      <c r="I71" s="4">
        <v>3352103</v>
      </c>
    </row>
    <row r="72" spans="2:9" x14ac:dyDescent="0.3">
      <c r="B72" s="44">
        <v>45962</v>
      </c>
      <c r="C72" s="3" t="s">
        <v>416</v>
      </c>
      <c r="D72" s="3" t="s">
        <v>496</v>
      </c>
      <c r="E72" s="101"/>
      <c r="F72" s="4" t="s">
        <v>207</v>
      </c>
      <c r="G72" s="4">
        <v>3346801</v>
      </c>
      <c r="H72" s="4" t="s">
        <v>204</v>
      </c>
      <c r="I72" s="4">
        <v>3357400</v>
      </c>
    </row>
    <row r="73" spans="2:9" x14ac:dyDescent="0.3">
      <c r="B73" s="44">
        <v>45962</v>
      </c>
      <c r="C73" s="3" t="s">
        <v>416</v>
      </c>
      <c r="D73" s="3" t="s">
        <v>496</v>
      </c>
      <c r="E73" s="101"/>
      <c r="F73" s="3" t="s">
        <v>205</v>
      </c>
      <c r="G73" s="74">
        <v>3351906</v>
      </c>
      <c r="H73" s="3" t="s">
        <v>427</v>
      </c>
      <c r="I73" s="4">
        <v>3351500</v>
      </c>
    </row>
    <row r="74" spans="2:9" x14ac:dyDescent="0.3">
      <c r="B74" s="4"/>
      <c r="E74" s="101"/>
      <c r="F74" s="4"/>
    </row>
    <row r="75" spans="2:9" x14ac:dyDescent="0.3">
      <c r="B75" s="44">
        <v>45969</v>
      </c>
      <c r="C75" s="3" t="s">
        <v>416</v>
      </c>
      <c r="D75" s="3" t="s">
        <v>496</v>
      </c>
      <c r="E75" s="101"/>
      <c r="F75" s="4" t="s">
        <v>427</v>
      </c>
      <c r="G75" s="4">
        <v>3351500</v>
      </c>
      <c r="H75" s="3" t="s">
        <v>203</v>
      </c>
      <c r="I75" s="4">
        <v>3359304</v>
      </c>
    </row>
    <row r="76" spans="2:9" x14ac:dyDescent="0.3">
      <c r="B76" s="44">
        <v>45969</v>
      </c>
      <c r="C76" s="3" t="s">
        <v>416</v>
      </c>
      <c r="D76" s="3" t="s">
        <v>496</v>
      </c>
      <c r="E76" s="101"/>
      <c r="F76" s="4" t="s">
        <v>204</v>
      </c>
      <c r="G76" s="4">
        <v>3357400</v>
      </c>
      <c r="H76" s="3" t="s">
        <v>205</v>
      </c>
      <c r="I76" s="74">
        <v>3351906</v>
      </c>
    </row>
    <row r="77" spans="2:9" x14ac:dyDescent="0.3">
      <c r="B77" s="44">
        <v>45969</v>
      </c>
      <c r="C77" s="3" t="s">
        <v>416</v>
      </c>
      <c r="D77" s="3" t="s">
        <v>496</v>
      </c>
      <c r="E77" s="101"/>
      <c r="F77" s="4" t="s">
        <v>206</v>
      </c>
      <c r="G77" s="4">
        <v>3352103</v>
      </c>
      <c r="H77" s="4" t="s">
        <v>207</v>
      </c>
      <c r="I77" s="4">
        <v>3346801</v>
      </c>
    </row>
    <row r="78" spans="2:9" x14ac:dyDescent="0.3">
      <c r="B78" s="44">
        <v>45969</v>
      </c>
      <c r="C78" s="3" t="s">
        <v>416</v>
      </c>
      <c r="D78" s="3" t="s">
        <v>496</v>
      </c>
      <c r="E78" s="101"/>
      <c r="F78" s="4" t="s">
        <v>426</v>
      </c>
      <c r="G78" s="4">
        <v>3352603</v>
      </c>
      <c r="H78" s="3" t="s">
        <v>227</v>
      </c>
      <c r="I78" s="4">
        <v>3359408</v>
      </c>
    </row>
    <row r="79" spans="2:9" x14ac:dyDescent="0.3">
      <c r="B79" s="44">
        <v>45969</v>
      </c>
      <c r="C79" s="3" t="s">
        <v>416</v>
      </c>
      <c r="D79" s="3" t="s">
        <v>496</v>
      </c>
      <c r="E79" s="101"/>
      <c r="F79" s="3" t="s">
        <v>229</v>
      </c>
      <c r="G79" s="4">
        <v>3358409</v>
      </c>
      <c r="H79" s="3" t="s">
        <v>198</v>
      </c>
      <c r="I79" s="4">
        <v>3350803</v>
      </c>
    </row>
    <row r="80" spans="2:9" x14ac:dyDescent="0.3">
      <c r="B80" s="44">
        <v>45969</v>
      </c>
      <c r="C80" s="3" t="s">
        <v>416</v>
      </c>
      <c r="D80" s="3" t="s">
        <v>496</v>
      </c>
      <c r="E80" s="101"/>
      <c r="F80" s="3" t="s">
        <v>202</v>
      </c>
      <c r="G80" s="74">
        <v>3361808</v>
      </c>
      <c r="H80" s="3" t="s">
        <v>462</v>
      </c>
      <c r="I80" s="4">
        <v>3352207</v>
      </c>
    </row>
    <row r="81" spans="2:9" x14ac:dyDescent="0.3">
      <c r="B81" s="4"/>
      <c r="E81" s="101"/>
      <c r="F81" s="4"/>
    </row>
    <row r="82" spans="2:9" x14ac:dyDescent="0.3">
      <c r="B82" s="44">
        <v>45976</v>
      </c>
      <c r="C82" s="3" t="s">
        <v>416</v>
      </c>
      <c r="D82" s="3" t="s">
        <v>496</v>
      </c>
      <c r="E82" s="101"/>
      <c r="F82" s="3" t="s">
        <v>227</v>
      </c>
      <c r="G82" s="4">
        <v>3359408</v>
      </c>
      <c r="H82" s="3" t="s">
        <v>202</v>
      </c>
      <c r="I82" s="74">
        <v>3361808</v>
      </c>
    </row>
    <row r="83" spans="2:9" x14ac:dyDescent="0.3">
      <c r="B83" s="44">
        <v>45976</v>
      </c>
      <c r="C83" s="3" t="s">
        <v>416</v>
      </c>
      <c r="D83" s="3" t="s">
        <v>496</v>
      </c>
      <c r="E83" s="101"/>
      <c r="F83" s="3" t="s">
        <v>203</v>
      </c>
      <c r="G83" s="4">
        <v>3359304</v>
      </c>
      <c r="H83" s="4" t="s">
        <v>204</v>
      </c>
      <c r="I83" s="4">
        <v>3357400</v>
      </c>
    </row>
    <row r="84" spans="2:9" x14ac:dyDescent="0.3">
      <c r="B84" s="44">
        <v>45976</v>
      </c>
      <c r="C84" s="3" t="s">
        <v>416</v>
      </c>
      <c r="D84" s="3" t="s">
        <v>496</v>
      </c>
      <c r="E84" s="101"/>
      <c r="F84" s="3" t="s">
        <v>198</v>
      </c>
      <c r="G84" s="4">
        <v>3350803</v>
      </c>
      <c r="H84" s="3" t="s">
        <v>427</v>
      </c>
      <c r="I84" s="4">
        <v>3351500</v>
      </c>
    </row>
    <row r="85" spans="2:9" x14ac:dyDescent="0.3">
      <c r="B85" s="44">
        <v>45976</v>
      </c>
      <c r="C85" s="3" t="s">
        <v>416</v>
      </c>
      <c r="D85" s="3" t="s">
        <v>496</v>
      </c>
      <c r="E85" s="101"/>
      <c r="F85" s="4" t="s">
        <v>207</v>
      </c>
      <c r="G85" s="4">
        <v>3346801</v>
      </c>
      <c r="H85" s="4" t="s">
        <v>426</v>
      </c>
      <c r="I85" s="4">
        <v>3352603</v>
      </c>
    </row>
    <row r="86" spans="2:9" x14ac:dyDescent="0.3">
      <c r="B86" s="44">
        <v>45976</v>
      </c>
      <c r="C86" s="3" t="s">
        <v>416</v>
      </c>
      <c r="D86" s="3" t="s">
        <v>496</v>
      </c>
      <c r="E86" s="101"/>
      <c r="F86" s="3" t="s">
        <v>205</v>
      </c>
      <c r="G86" s="74">
        <v>3351906</v>
      </c>
      <c r="H86" s="4" t="s">
        <v>206</v>
      </c>
      <c r="I86" s="4">
        <v>3352103</v>
      </c>
    </row>
    <row r="87" spans="2:9" x14ac:dyDescent="0.3">
      <c r="B87" s="44">
        <v>45976</v>
      </c>
      <c r="C87" s="3" t="s">
        <v>416</v>
      </c>
      <c r="D87" s="3" t="s">
        <v>496</v>
      </c>
      <c r="E87" s="101"/>
      <c r="F87" s="3" t="s">
        <v>462</v>
      </c>
      <c r="G87" s="4">
        <v>3352207</v>
      </c>
      <c r="H87" s="3" t="s">
        <v>229</v>
      </c>
      <c r="I87" s="4">
        <v>3358409</v>
      </c>
    </row>
    <row r="88" spans="2:9" x14ac:dyDescent="0.3">
      <c r="B88" s="4"/>
      <c r="E88" s="101"/>
      <c r="F88" s="4"/>
    </row>
    <row r="89" spans="2:9" x14ac:dyDescent="0.3">
      <c r="B89" s="44">
        <v>45983</v>
      </c>
      <c r="C89" s="3" t="s">
        <v>416</v>
      </c>
      <c r="D89" s="3" t="s">
        <v>496</v>
      </c>
      <c r="E89" s="101"/>
      <c r="F89" s="4" t="s">
        <v>427</v>
      </c>
      <c r="G89" s="4">
        <v>3351500</v>
      </c>
      <c r="H89" s="3" t="s">
        <v>462</v>
      </c>
      <c r="I89" s="4">
        <v>3352207</v>
      </c>
    </row>
    <row r="90" spans="2:9" x14ac:dyDescent="0.3">
      <c r="B90" s="44">
        <v>45983</v>
      </c>
      <c r="C90" s="3" t="s">
        <v>416</v>
      </c>
      <c r="D90" s="3" t="s">
        <v>496</v>
      </c>
      <c r="E90" s="101"/>
      <c r="F90" s="4" t="s">
        <v>204</v>
      </c>
      <c r="G90" s="4">
        <v>3357400</v>
      </c>
      <c r="H90" s="3" t="s">
        <v>198</v>
      </c>
      <c r="I90" s="4">
        <v>3350803</v>
      </c>
    </row>
    <row r="91" spans="2:9" x14ac:dyDescent="0.3">
      <c r="B91" s="44">
        <v>45983</v>
      </c>
      <c r="C91" s="3" t="s">
        <v>416</v>
      </c>
      <c r="D91" s="3" t="s">
        <v>496</v>
      </c>
      <c r="E91" s="101"/>
      <c r="F91" s="4" t="s">
        <v>206</v>
      </c>
      <c r="G91" s="4">
        <v>3352103</v>
      </c>
      <c r="H91" s="3" t="s">
        <v>203</v>
      </c>
      <c r="I91" s="4">
        <v>3359304</v>
      </c>
    </row>
    <row r="92" spans="2:9" x14ac:dyDescent="0.3">
      <c r="B92" s="44">
        <v>45983</v>
      </c>
      <c r="C92" s="3" t="s">
        <v>416</v>
      </c>
      <c r="D92" s="3" t="s">
        <v>496</v>
      </c>
      <c r="E92" s="101"/>
      <c r="F92" s="4" t="s">
        <v>426</v>
      </c>
      <c r="G92" s="4">
        <v>3352603</v>
      </c>
      <c r="H92" s="3" t="s">
        <v>205</v>
      </c>
      <c r="I92" s="74">
        <v>3351906</v>
      </c>
    </row>
    <row r="93" spans="2:9" x14ac:dyDescent="0.3">
      <c r="B93" s="44">
        <v>45983</v>
      </c>
      <c r="C93" s="3" t="s">
        <v>416</v>
      </c>
      <c r="D93" s="3" t="s">
        <v>496</v>
      </c>
      <c r="E93" s="101"/>
      <c r="F93" s="4" t="s">
        <v>207</v>
      </c>
      <c r="G93" s="4">
        <v>3346801</v>
      </c>
      <c r="H93" s="3" t="s">
        <v>227</v>
      </c>
      <c r="I93" s="4">
        <v>3359408</v>
      </c>
    </row>
    <row r="94" spans="2:9" x14ac:dyDescent="0.3">
      <c r="B94" s="44">
        <v>45983</v>
      </c>
      <c r="C94" s="3" t="s">
        <v>416</v>
      </c>
      <c r="D94" s="3" t="s">
        <v>496</v>
      </c>
      <c r="E94" s="101"/>
      <c r="F94" s="3" t="s">
        <v>229</v>
      </c>
      <c r="G94" s="4">
        <v>3358409</v>
      </c>
      <c r="H94" s="3" t="s">
        <v>202</v>
      </c>
      <c r="I94" s="74">
        <v>3361808</v>
      </c>
    </row>
    <row r="95" spans="2:9" x14ac:dyDescent="0.3">
      <c r="B95" s="4"/>
      <c r="E95" s="101"/>
      <c r="F95" s="4"/>
    </row>
    <row r="96" spans="2:9" x14ac:dyDescent="0.3">
      <c r="B96" s="44">
        <v>45990</v>
      </c>
      <c r="C96" s="3" t="s">
        <v>416</v>
      </c>
      <c r="D96" s="3" t="s">
        <v>496</v>
      </c>
      <c r="E96" s="101"/>
      <c r="F96" s="3" t="s">
        <v>227</v>
      </c>
      <c r="G96" s="4">
        <v>3359408</v>
      </c>
      <c r="H96" s="3" t="s">
        <v>229</v>
      </c>
      <c r="I96" s="4">
        <v>3358409</v>
      </c>
    </row>
    <row r="97" spans="2:9" x14ac:dyDescent="0.3">
      <c r="B97" s="44">
        <v>45990</v>
      </c>
      <c r="C97" s="3" t="s">
        <v>416</v>
      </c>
      <c r="D97" s="3" t="s">
        <v>496</v>
      </c>
      <c r="E97" s="101"/>
      <c r="F97" s="3" t="s">
        <v>203</v>
      </c>
      <c r="G97" s="4">
        <v>3359304</v>
      </c>
      <c r="H97" s="4" t="s">
        <v>426</v>
      </c>
      <c r="I97" s="4">
        <v>3352603</v>
      </c>
    </row>
    <row r="98" spans="2:9" x14ac:dyDescent="0.3">
      <c r="B98" s="44">
        <v>45990</v>
      </c>
      <c r="C98" s="3" t="s">
        <v>416</v>
      </c>
      <c r="D98" s="3" t="s">
        <v>496</v>
      </c>
      <c r="E98" s="101"/>
      <c r="F98" s="3" t="s">
        <v>198</v>
      </c>
      <c r="G98" s="4">
        <v>3350803</v>
      </c>
      <c r="H98" s="4" t="s">
        <v>206</v>
      </c>
      <c r="I98" s="4">
        <v>3352103</v>
      </c>
    </row>
    <row r="99" spans="2:9" x14ac:dyDescent="0.3">
      <c r="B99" s="44">
        <v>45990</v>
      </c>
      <c r="C99" s="3" t="s">
        <v>416</v>
      </c>
      <c r="D99" s="3" t="s">
        <v>496</v>
      </c>
      <c r="E99" s="101"/>
      <c r="F99" s="3" t="s">
        <v>205</v>
      </c>
      <c r="G99" s="74">
        <v>3351906</v>
      </c>
      <c r="H99" s="4" t="s">
        <v>207</v>
      </c>
      <c r="I99" s="4">
        <v>3346801</v>
      </c>
    </row>
    <row r="100" spans="2:9" x14ac:dyDescent="0.3">
      <c r="B100" s="44">
        <v>45990</v>
      </c>
      <c r="C100" s="3" t="s">
        <v>416</v>
      </c>
      <c r="D100" s="3" t="s">
        <v>496</v>
      </c>
      <c r="E100" s="101"/>
      <c r="F100" s="3" t="s">
        <v>462</v>
      </c>
      <c r="G100" s="4">
        <v>3352207</v>
      </c>
      <c r="H100" s="4" t="s">
        <v>204</v>
      </c>
      <c r="I100" s="4">
        <v>3357400</v>
      </c>
    </row>
    <row r="101" spans="2:9" x14ac:dyDescent="0.3">
      <c r="B101" s="44">
        <v>45990</v>
      </c>
      <c r="C101" s="3" t="s">
        <v>416</v>
      </c>
      <c r="D101" s="3" t="s">
        <v>496</v>
      </c>
      <c r="E101" s="101"/>
      <c r="F101" s="3" t="s">
        <v>202</v>
      </c>
      <c r="G101" s="74">
        <v>3361808</v>
      </c>
      <c r="H101" s="4" t="s">
        <v>427</v>
      </c>
      <c r="I101" s="4">
        <v>3351500</v>
      </c>
    </row>
    <row r="102" spans="2:9" x14ac:dyDescent="0.3">
      <c r="B102" s="4"/>
      <c r="E102" s="42"/>
      <c r="F102" s="4"/>
    </row>
    <row r="103" spans="2:9" x14ac:dyDescent="0.3">
      <c r="B103" s="44">
        <v>46032</v>
      </c>
      <c r="C103" s="3" t="s">
        <v>416</v>
      </c>
      <c r="D103" s="3" t="s">
        <v>496</v>
      </c>
      <c r="E103" s="101"/>
      <c r="F103" s="3" t="s">
        <v>227</v>
      </c>
      <c r="G103" s="4">
        <v>3359408</v>
      </c>
      <c r="H103" s="3" t="s">
        <v>205</v>
      </c>
      <c r="I103" s="74">
        <v>3351906</v>
      </c>
    </row>
    <row r="104" spans="2:9" x14ac:dyDescent="0.3">
      <c r="B104" s="44">
        <v>46032</v>
      </c>
      <c r="C104" s="3" t="s">
        <v>416</v>
      </c>
      <c r="D104" s="3" t="s">
        <v>496</v>
      </c>
      <c r="E104" s="101"/>
      <c r="F104" s="3" t="s">
        <v>203</v>
      </c>
      <c r="G104" s="4">
        <v>3359304</v>
      </c>
      <c r="H104" s="4" t="s">
        <v>207</v>
      </c>
      <c r="I104" s="4">
        <v>3346801</v>
      </c>
    </row>
    <row r="105" spans="2:9" x14ac:dyDescent="0.3">
      <c r="B105" s="44">
        <v>46032</v>
      </c>
      <c r="C105" s="3" t="s">
        <v>416</v>
      </c>
      <c r="D105" s="3" t="s">
        <v>496</v>
      </c>
      <c r="E105" s="101"/>
      <c r="F105" s="3" t="s">
        <v>198</v>
      </c>
      <c r="G105" s="4">
        <v>3350803</v>
      </c>
      <c r="H105" s="4" t="s">
        <v>426</v>
      </c>
      <c r="I105" s="4">
        <v>3352603</v>
      </c>
    </row>
    <row r="106" spans="2:9" x14ac:dyDescent="0.3">
      <c r="B106" s="44">
        <v>46032</v>
      </c>
      <c r="C106" s="3" t="s">
        <v>416</v>
      </c>
      <c r="D106" s="3" t="s">
        <v>496</v>
      </c>
      <c r="E106" s="101"/>
      <c r="F106" s="3" t="s">
        <v>229</v>
      </c>
      <c r="G106" s="4">
        <v>3358409</v>
      </c>
      <c r="H106" s="3" t="s">
        <v>427</v>
      </c>
      <c r="I106" s="4">
        <v>3351500</v>
      </c>
    </row>
    <row r="107" spans="2:9" x14ac:dyDescent="0.3">
      <c r="B107" s="44">
        <v>46032</v>
      </c>
      <c r="C107" s="3" t="s">
        <v>416</v>
      </c>
      <c r="D107" s="3" t="s">
        <v>496</v>
      </c>
      <c r="E107" s="101"/>
      <c r="F107" s="3" t="s">
        <v>462</v>
      </c>
      <c r="G107" s="4">
        <v>3352207</v>
      </c>
      <c r="H107" s="4" t="s">
        <v>206</v>
      </c>
      <c r="I107" s="4">
        <v>3352103</v>
      </c>
    </row>
    <row r="108" spans="2:9" x14ac:dyDescent="0.3">
      <c r="B108" s="44">
        <v>46032</v>
      </c>
      <c r="C108" s="3" t="s">
        <v>416</v>
      </c>
      <c r="D108" s="3" t="s">
        <v>496</v>
      </c>
      <c r="E108" s="101"/>
      <c r="F108" s="3" t="s">
        <v>202</v>
      </c>
      <c r="G108" s="74">
        <v>3361808</v>
      </c>
      <c r="H108" s="4" t="s">
        <v>204</v>
      </c>
      <c r="I108" s="4">
        <v>3357400</v>
      </c>
    </row>
    <row r="109" spans="2:9" x14ac:dyDescent="0.3">
      <c r="B109" s="4"/>
      <c r="E109" s="101"/>
      <c r="F109" s="4"/>
    </row>
    <row r="110" spans="2:9" x14ac:dyDescent="0.3">
      <c r="B110" s="44">
        <v>46039</v>
      </c>
      <c r="C110" s="3" t="s">
        <v>416</v>
      </c>
      <c r="D110" s="3" t="s">
        <v>496</v>
      </c>
      <c r="E110" s="101"/>
      <c r="F110" s="4" t="s">
        <v>427</v>
      </c>
      <c r="G110" s="4">
        <v>3351500</v>
      </c>
      <c r="H110" s="3" t="s">
        <v>227</v>
      </c>
      <c r="I110" s="4">
        <v>3359408</v>
      </c>
    </row>
    <row r="111" spans="2:9" x14ac:dyDescent="0.3">
      <c r="B111" s="44">
        <v>46039</v>
      </c>
      <c r="C111" s="3" t="s">
        <v>416</v>
      </c>
      <c r="D111" s="3" t="s">
        <v>496</v>
      </c>
      <c r="E111" s="101"/>
      <c r="F111" s="4" t="s">
        <v>204</v>
      </c>
      <c r="G111" s="4">
        <v>3357400</v>
      </c>
      <c r="H111" s="3" t="s">
        <v>229</v>
      </c>
      <c r="I111" s="4">
        <v>3358409</v>
      </c>
    </row>
    <row r="112" spans="2:9" x14ac:dyDescent="0.3">
      <c r="B112" s="44">
        <v>46039</v>
      </c>
      <c r="C112" s="3" t="s">
        <v>416</v>
      </c>
      <c r="D112" s="3" t="s">
        <v>496</v>
      </c>
      <c r="E112" s="101"/>
      <c r="F112" s="4" t="s">
        <v>206</v>
      </c>
      <c r="G112" s="4">
        <v>3352103</v>
      </c>
      <c r="H112" s="3" t="s">
        <v>202</v>
      </c>
      <c r="I112" s="74">
        <v>3361808</v>
      </c>
    </row>
    <row r="113" spans="2:9" x14ac:dyDescent="0.3">
      <c r="B113" s="44">
        <v>46039</v>
      </c>
      <c r="C113" s="3" t="s">
        <v>416</v>
      </c>
      <c r="D113" s="3" t="s">
        <v>496</v>
      </c>
      <c r="E113" s="101"/>
      <c r="F113" s="4" t="s">
        <v>426</v>
      </c>
      <c r="G113" s="4">
        <v>3352603</v>
      </c>
      <c r="H113" s="3" t="s">
        <v>462</v>
      </c>
      <c r="I113" s="4">
        <v>3352207</v>
      </c>
    </row>
    <row r="114" spans="2:9" x14ac:dyDescent="0.3">
      <c r="B114" s="44">
        <v>46039</v>
      </c>
      <c r="C114" s="3" t="s">
        <v>416</v>
      </c>
      <c r="D114" s="3" t="s">
        <v>496</v>
      </c>
      <c r="E114" s="101"/>
      <c r="F114" s="4" t="s">
        <v>207</v>
      </c>
      <c r="G114" s="4">
        <v>3346801</v>
      </c>
      <c r="H114" s="3" t="s">
        <v>198</v>
      </c>
      <c r="I114" s="4">
        <v>3350803</v>
      </c>
    </row>
    <row r="115" spans="2:9" x14ac:dyDescent="0.3">
      <c r="B115" s="44">
        <v>46039</v>
      </c>
      <c r="C115" s="3" t="s">
        <v>416</v>
      </c>
      <c r="D115" s="3" t="s">
        <v>496</v>
      </c>
      <c r="E115" s="101"/>
      <c r="F115" s="3" t="s">
        <v>205</v>
      </c>
      <c r="G115" s="74">
        <v>3351906</v>
      </c>
      <c r="H115" s="3" t="s">
        <v>203</v>
      </c>
      <c r="I115" s="4">
        <v>3359304</v>
      </c>
    </row>
    <row r="116" spans="2:9" x14ac:dyDescent="0.3">
      <c r="B116" s="4"/>
      <c r="E116" s="101"/>
      <c r="F116" s="4"/>
    </row>
    <row r="117" spans="2:9" x14ac:dyDescent="0.3">
      <c r="B117" s="44">
        <v>46046</v>
      </c>
      <c r="C117" s="3" t="s">
        <v>416</v>
      </c>
      <c r="D117" s="3" t="s">
        <v>496</v>
      </c>
      <c r="E117" s="101"/>
      <c r="F117" s="4" t="s">
        <v>427</v>
      </c>
      <c r="G117" s="4">
        <v>3351500</v>
      </c>
      <c r="H117" s="4" t="s">
        <v>204</v>
      </c>
      <c r="I117" s="4">
        <v>3357400</v>
      </c>
    </row>
    <row r="118" spans="2:9" x14ac:dyDescent="0.3">
      <c r="B118" s="44">
        <v>46046</v>
      </c>
      <c r="C118" s="3" t="s">
        <v>416</v>
      </c>
      <c r="D118" s="3" t="s">
        <v>496</v>
      </c>
      <c r="E118" s="101"/>
      <c r="F118" s="3" t="s">
        <v>203</v>
      </c>
      <c r="G118" s="4">
        <v>3359304</v>
      </c>
      <c r="H118" s="3" t="s">
        <v>227</v>
      </c>
      <c r="I118" s="4">
        <v>3359408</v>
      </c>
    </row>
    <row r="119" spans="2:9" x14ac:dyDescent="0.3">
      <c r="B119" s="44">
        <v>46046</v>
      </c>
      <c r="C119" s="3" t="s">
        <v>416</v>
      </c>
      <c r="D119" s="3" t="s">
        <v>496</v>
      </c>
      <c r="E119" s="101"/>
      <c r="F119" s="3" t="s">
        <v>198</v>
      </c>
      <c r="G119" s="4">
        <v>3350803</v>
      </c>
      <c r="H119" s="3" t="s">
        <v>205</v>
      </c>
      <c r="I119" s="74">
        <v>3351906</v>
      </c>
    </row>
    <row r="120" spans="2:9" x14ac:dyDescent="0.3">
      <c r="B120" s="44">
        <v>46046</v>
      </c>
      <c r="C120" s="3" t="s">
        <v>416</v>
      </c>
      <c r="D120" s="3" t="s">
        <v>496</v>
      </c>
      <c r="E120" s="101"/>
      <c r="F120" s="3" t="s">
        <v>229</v>
      </c>
      <c r="G120" s="4">
        <v>3358409</v>
      </c>
      <c r="H120" s="4" t="s">
        <v>206</v>
      </c>
      <c r="I120" s="4">
        <v>3352103</v>
      </c>
    </row>
    <row r="121" spans="2:9" x14ac:dyDescent="0.3">
      <c r="B121" s="44">
        <v>46046</v>
      </c>
      <c r="C121" s="3" t="s">
        <v>416</v>
      </c>
      <c r="D121" s="3" t="s">
        <v>496</v>
      </c>
      <c r="E121" s="101"/>
      <c r="F121" s="3" t="s">
        <v>462</v>
      </c>
      <c r="G121" s="4">
        <v>3352207</v>
      </c>
      <c r="H121" s="4" t="s">
        <v>207</v>
      </c>
      <c r="I121" s="4">
        <v>3346801</v>
      </c>
    </row>
    <row r="122" spans="2:9" x14ac:dyDescent="0.3">
      <c r="B122" s="44">
        <v>46046</v>
      </c>
      <c r="C122" s="3" t="s">
        <v>416</v>
      </c>
      <c r="D122" s="3" t="s">
        <v>496</v>
      </c>
      <c r="E122" s="101"/>
      <c r="F122" s="3" t="s">
        <v>202</v>
      </c>
      <c r="G122" s="74">
        <v>3361808</v>
      </c>
      <c r="H122" s="4" t="s">
        <v>426</v>
      </c>
      <c r="I122" s="4">
        <v>3352603</v>
      </c>
    </row>
    <row r="123" spans="2:9" x14ac:dyDescent="0.3">
      <c r="B123" s="4"/>
      <c r="E123" s="101"/>
      <c r="F123" s="4"/>
    </row>
    <row r="124" spans="2:9" x14ac:dyDescent="0.3">
      <c r="B124" s="44">
        <v>46053</v>
      </c>
      <c r="C124" s="3" t="s">
        <v>416</v>
      </c>
      <c r="D124" s="3" t="s">
        <v>496</v>
      </c>
      <c r="E124" s="101"/>
      <c r="F124" s="3" t="s">
        <v>227</v>
      </c>
      <c r="G124" s="4">
        <v>3359408</v>
      </c>
      <c r="H124" s="4" t="s">
        <v>204</v>
      </c>
      <c r="I124" s="4">
        <v>3357400</v>
      </c>
    </row>
    <row r="125" spans="2:9" x14ac:dyDescent="0.3">
      <c r="B125" s="44">
        <v>46053</v>
      </c>
      <c r="C125" s="3" t="s">
        <v>416</v>
      </c>
      <c r="D125" s="3" t="s">
        <v>496</v>
      </c>
      <c r="E125" s="101"/>
      <c r="F125" s="3" t="s">
        <v>203</v>
      </c>
      <c r="G125" s="4">
        <v>3359304</v>
      </c>
      <c r="H125" s="3" t="s">
        <v>198</v>
      </c>
      <c r="I125" s="4">
        <v>3350803</v>
      </c>
    </row>
    <row r="126" spans="2:9" x14ac:dyDescent="0.3">
      <c r="B126" s="44">
        <v>46053</v>
      </c>
      <c r="C126" s="3" t="s">
        <v>416</v>
      </c>
      <c r="D126" s="3" t="s">
        <v>496</v>
      </c>
      <c r="E126" s="101"/>
      <c r="F126" s="4" t="s">
        <v>206</v>
      </c>
      <c r="G126" s="4">
        <v>3352103</v>
      </c>
      <c r="H126" s="3" t="s">
        <v>427</v>
      </c>
      <c r="I126" s="4">
        <v>3351500</v>
      </c>
    </row>
    <row r="127" spans="2:9" x14ac:dyDescent="0.3">
      <c r="B127" s="44">
        <v>46053</v>
      </c>
      <c r="C127" s="3" t="s">
        <v>416</v>
      </c>
      <c r="D127" s="3" t="s">
        <v>496</v>
      </c>
      <c r="E127" s="101"/>
      <c r="F127" s="4" t="s">
        <v>426</v>
      </c>
      <c r="G127" s="4">
        <v>3352603</v>
      </c>
      <c r="H127" s="3" t="s">
        <v>229</v>
      </c>
      <c r="I127" s="4">
        <v>3358409</v>
      </c>
    </row>
    <row r="128" spans="2:9" x14ac:dyDescent="0.3">
      <c r="B128" s="44">
        <v>46053</v>
      </c>
      <c r="C128" s="3" t="s">
        <v>416</v>
      </c>
      <c r="D128" s="3" t="s">
        <v>496</v>
      </c>
      <c r="E128" s="101"/>
      <c r="F128" s="4" t="s">
        <v>207</v>
      </c>
      <c r="G128" s="4">
        <v>3346801</v>
      </c>
      <c r="H128" s="3" t="s">
        <v>202</v>
      </c>
      <c r="I128" s="74">
        <v>3361808</v>
      </c>
    </row>
    <row r="129" spans="2:9" x14ac:dyDescent="0.3">
      <c r="B129" s="44">
        <v>46053</v>
      </c>
      <c r="C129" s="3" t="s">
        <v>416</v>
      </c>
      <c r="D129" s="3" t="s">
        <v>496</v>
      </c>
      <c r="E129" s="101"/>
      <c r="F129" s="3" t="s">
        <v>205</v>
      </c>
      <c r="G129" s="74">
        <v>3351906</v>
      </c>
      <c r="H129" s="3" t="s">
        <v>462</v>
      </c>
      <c r="I129" s="4">
        <v>3352207</v>
      </c>
    </row>
    <row r="130" spans="2:9" x14ac:dyDescent="0.3">
      <c r="B130" s="4"/>
      <c r="E130" s="101"/>
      <c r="F130" s="4"/>
    </row>
    <row r="131" spans="2:9" x14ac:dyDescent="0.3">
      <c r="B131" s="44">
        <v>46060</v>
      </c>
      <c r="C131" s="3" t="s">
        <v>416</v>
      </c>
      <c r="D131" s="3" t="s">
        <v>496</v>
      </c>
      <c r="E131" s="101"/>
      <c r="F131" s="4" t="s">
        <v>427</v>
      </c>
      <c r="G131" s="4">
        <v>3351500</v>
      </c>
      <c r="H131" s="4" t="s">
        <v>426</v>
      </c>
      <c r="I131" s="4">
        <v>3352603</v>
      </c>
    </row>
    <row r="132" spans="2:9" x14ac:dyDescent="0.3">
      <c r="B132" s="44">
        <v>46060</v>
      </c>
      <c r="C132" s="3" t="s">
        <v>416</v>
      </c>
      <c r="D132" s="3" t="s">
        <v>496</v>
      </c>
      <c r="E132" s="101"/>
      <c r="F132" s="4" t="s">
        <v>204</v>
      </c>
      <c r="G132" s="4">
        <v>3357400</v>
      </c>
      <c r="H132" s="4" t="s">
        <v>206</v>
      </c>
      <c r="I132" s="4">
        <v>3352103</v>
      </c>
    </row>
    <row r="133" spans="2:9" x14ac:dyDescent="0.3">
      <c r="B133" s="44">
        <v>46060</v>
      </c>
      <c r="C133" s="3" t="s">
        <v>416</v>
      </c>
      <c r="D133" s="3" t="s">
        <v>496</v>
      </c>
      <c r="E133" s="101"/>
      <c r="F133" s="3" t="s">
        <v>198</v>
      </c>
      <c r="G133" s="4">
        <v>3350803</v>
      </c>
      <c r="H133" s="3" t="s">
        <v>227</v>
      </c>
      <c r="I133" s="4">
        <v>3359408</v>
      </c>
    </row>
    <row r="134" spans="2:9" x14ac:dyDescent="0.3">
      <c r="B134" s="44">
        <v>46060</v>
      </c>
      <c r="C134" s="3" t="s">
        <v>416</v>
      </c>
      <c r="D134" s="3" t="s">
        <v>496</v>
      </c>
      <c r="E134" s="101"/>
      <c r="F134" s="3" t="s">
        <v>229</v>
      </c>
      <c r="G134" s="4">
        <v>3358409</v>
      </c>
      <c r="H134" s="4" t="s">
        <v>207</v>
      </c>
      <c r="I134" s="4">
        <v>3346801</v>
      </c>
    </row>
    <row r="135" spans="2:9" x14ac:dyDescent="0.3">
      <c r="B135" s="44">
        <v>46060</v>
      </c>
      <c r="C135" s="3" t="s">
        <v>416</v>
      </c>
      <c r="D135" s="3" t="s">
        <v>496</v>
      </c>
      <c r="E135" s="101"/>
      <c r="F135" s="3" t="s">
        <v>462</v>
      </c>
      <c r="G135" s="4">
        <v>3352207</v>
      </c>
      <c r="H135" s="3" t="s">
        <v>203</v>
      </c>
      <c r="I135" s="4">
        <v>3359304</v>
      </c>
    </row>
    <row r="136" spans="2:9" x14ac:dyDescent="0.3">
      <c r="B136" s="44">
        <v>46060</v>
      </c>
      <c r="C136" s="3" t="s">
        <v>416</v>
      </c>
      <c r="D136" s="3" t="s">
        <v>496</v>
      </c>
      <c r="E136" s="101"/>
      <c r="F136" s="3" t="s">
        <v>202</v>
      </c>
      <c r="G136" s="74">
        <v>3361808</v>
      </c>
      <c r="H136" s="3" t="s">
        <v>205</v>
      </c>
      <c r="I136" s="74">
        <v>3351906</v>
      </c>
    </row>
    <row r="137" spans="2:9" x14ac:dyDescent="0.3">
      <c r="B137" s="4"/>
      <c r="E137" s="101"/>
      <c r="F137" s="4"/>
    </row>
    <row r="138" spans="2:9" x14ac:dyDescent="0.3">
      <c r="B138" s="44">
        <v>46074</v>
      </c>
      <c r="C138" s="3" t="s">
        <v>416</v>
      </c>
      <c r="D138" s="3" t="s">
        <v>496</v>
      </c>
      <c r="E138" s="101"/>
      <c r="F138" s="3" t="s">
        <v>227</v>
      </c>
      <c r="G138" s="4">
        <v>3359408</v>
      </c>
      <c r="H138" s="4" t="s">
        <v>206</v>
      </c>
      <c r="I138" s="4">
        <v>3352103</v>
      </c>
    </row>
    <row r="139" spans="2:9" x14ac:dyDescent="0.3">
      <c r="B139" s="44">
        <v>46074</v>
      </c>
      <c r="C139" s="3" t="s">
        <v>416</v>
      </c>
      <c r="D139" s="3" t="s">
        <v>496</v>
      </c>
      <c r="E139" s="101"/>
      <c r="F139" s="3" t="s">
        <v>203</v>
      </c>
      <c r="G139" s="4">
        <v>3359304</v>
      </c>
      <c r="H139" s="3" t="s">
        <v>202</v>
      </c>
      <c r="I139" s="74">
        <v>3361808</v>
      </c>
    </row>
    <row r="140" spans="2:9" x14ac:dyDescent="0.3">
      <c r="B140" s="44">
        <v>46074</v>
      </c>
      <c r="C140" s="3" t="s">
        <v>416</v>
      </c>
      <c r="D140" s="3" t="s">
        <v>496</v>
      </c>
      <c r="E140" s="101"/>
      <c r="F140" s="3" t="s">
        <v>198</v>
      </c>
      <c r="G140" s="4">
        <v>3350803</v>
      </c>
      <c r="H140" s="3" t="s">
        <v>462</v>
      </c>
      <c r="I140" s="4">
        <v>3352207</v>
      </c>
    </row>
    <row r="141" spans="2:9" x14ac:dyDescent="0.3">
      <c r="B141" s="44">
        <v>46074</v>
      </c>
      <c r="C141" s="3" t="s">
        <v>416</v>
      </c>
      <c r="D141" s="3" t="s">
        <v>496</v>
      </c>
      <c r="E141" s="101"/>
      <c r="F141" s="4" t="s">
        <v>426</v>
      </c>
      <c r="G141" s="4">
        <v>3352603</v>
      </c>
      <c r="H141" s="4" t="s">
        <v>204</v>
      </c>
      <c r="I141" s="4">
        <v>3357400</v>
      </c>
    </row>
    <row r="142" spans="2:9" x14ac:dyDescent="0.3">
      <c r="B142" s="44">
        <v>46074</v>
      </c>
      <c r="C142" s="3" t="s">
        <v>416</v>
      </c>
      <c r="D142" s="3" t="s">
        <v>496</v>
      </c>
      <c r="E142" s="101"/>
      <c r="F142" s="4" t="s">
        <v>207</v>
      </c>
      <c r="G142" s="4">
        <v>3346801</v>
      </c>
      <c r="H142" s="3" t="s">
        <v>427</v>
      </c>
      <c r="I142" s="4">
        <v>3351500</v>
      </c>
    </row>
    <row r="143" spans="2:9" x14ac:dyDescent="0.3">
      <c r="B143" s="44">
        <v>46074</v>
      </c>
      <c r="C143" s="3" t="s">
        <v>416</v>
      </c>
      <c r="D143" s="3" t="s">
        <v>496</v>
      </c>
      <c r="E143" s="101"/>
      <c r="F143" s="3" t="s">
        <v>205</v>
      </c>
      <c r="G143" s="74">
        <v>3351906</v>
      </c>
      <c r="H143" s="3" t="s">
        <v>229</v>
      </c>
      <c r="I143" s="4">
        <v>3358409</v>
      </c>
    </row>
    <row r="144" spans="2:9" x14ac:dyDescent="0.3">
      <c r="B144" s="4"/>
      <c r="E144" s="101"/>
      <c r="F144" s="4"/>
    </row>
    <row r="145" spans="2:9" x14ac:dyDescent="0.3">
      <c r="B145" s="44">
        <v>46081</v>
      </c>
      <c r="C145" s="3" t="s">
        <v>416</v>
      </c>
      <c r="D145" s="3" t="s">
        <v>496</v>
      </c>
      <c r="E145" s="101"/>
      <c r="F145" s="4" t="s">
        <v>427</v>
      </c>
      <c r="G145" s="4">
        <v>3351500</v>
      </c>
      <c r="H145" s="3" t="s">
        <v>205</v>
      </c>
      <c r="I145" s="74">
        <v>3351906</v>
      </c>
    </row>
    <row r="146" spans="2:9" x14ac:dyDescent="0.3">
      <c r="B146" s="44">
        <v>46081</v>
      </c>
      <c r="C146" s="3" t="s">
        <v>416</v>
      </c>
      <c r="D146" s="3" t="s">
        <v>496</v>
      </c>
      <c r="E146" s="101"/>
      <c r="F146" s="4" t="s">
        <v>204</v>
      </c>
      <c r="G146" s="4">
        <v>3357400</v>
      </c>
      <c r="H146" s="4" t="s">
        <v>207</v>
      </c>
      <c r="I146" s="4">
        <v>3346801</v>
      </c>
    </row>
    <row r="147" spans="2:9" x14ac:dyDescent="0.3">
      <c r="B147" s="44">
        <v>46081</v>
      </c>
      <c r="C147" s="3" t="s">
        <v>416</v>
      </c>
      <c r="D147" s="3" t="s">
        <v>496</v>
      </c>
      <c r="E147" s="101"/>
      <c r="F147" s="4" t="s">
        <v>206</v>
      </c>
      <c r="G147" s="4">
        <v>3352103</v>
      </c>
      <c r="H147" s="4" t="s">
        <v>426</v>
      </c>
      <c r="I147" s="4">
        <v>3352603</v>
      </c>
    </row>
    <row r="148" spans="2:9" x14ac:dyDescent="0.3">
      <c r="B148" s="44">
        <v>46081</v>
      </c>
      <c r="C148" s="3" t="s">
        <v>416</v>
      </c>
      <c r="D148" s="3" t="s">
        <v>496</v>
      </c>
      <c r="E148" s="101"/>
      <c r="F148" s="3" t="s">
        <v>229</v>
      </c>
      <c r="G148" s="4">
        <v>3358409</v>
      </c>
      <c r="H148" s="3" t="s">
        <v>203</v>
      </c>
      <c r="I148" s="4">
        <v>3359304</v>
      </c>
    </row>
    <row r="149" spans="2:9" x14ac:dyDescent="0.3">
      <c r="B149" s="44">
        <v>46081</v>
      </c>
      <c r="C149" s="3" t="s">
        <v>416</v>
      </c>
      <c r="D149" s="3" t="s">
        <v>496</v>
      </c>
      <c r="E149" s="101"/>
      <c r="F149" s="3" t="s">
        <v>462</v>
      </c>
      <c r="G149" s="4">
        <v>3352207</v>
      </c>
      <c r="H149" s="3" t="s">
        <v>227</v>
      </c>
      <c r="I149" s="4">
        <v>3359408</v>
      </c>
    </row>
    <row r="150" spans="2:9" x14ac:dyDescent="0.3">
      <c r="B150" s="44">
        <v>46081</v>
      </c>
      <c r="C150" s="3" t="s">
        <v>416</v>
      </c>
      <c r="D150" s="3" t="s">
        <v>496</v>
      </c>
      <c r="E150" s="101"/>
      <c r="F150" s="3" t="s">
        <v>202</v>
      </c>
      <c r="G150" s="74">
        <v>3361808</v>
      </c>
      <c r="H150" s="3" t="s">
        <v>198</v>
      </c>
      <c r="I150" s="4">
        <v>3350803</v>
      </c>
    </row>
    <row r="151" spans="2:9" x14ac:dyDescent="0.3">
      <c r="B151" s="4"/>
      <c r="E151" s="101"/>
      <c r="F151" s="4"/>
    </row>
    <row r="152" spans="2:9" x14ac:dyDescent="0.3">
      <c r="B152" s="44">
        <v>46088</v>
      </c>
      <c r="C152" s="3" t="s">
        <v>416</v>
      </c>
      <c r="D152" s="3" t="s">
        <v>496</v>
      </c>
      <c r="E152" s="101"/>
      <c r="F152" s="3" t="s">
        <v>227</v>
      </c>
      <c r="G152" s="4">
        <v>3359408</v>
      </c>
      <c r="H152" s="4" t="s">
        <v>426</v>
      </c>
      <c r="I152" s="4">
        <v>3352603</v>
      </c>
    </row>
    <row r="153" spans="2:9" x14ac:dyDescent="0.3">
      <c r="B153" s="44">
        <v>46088</v>
      </c>
      <c r="C153" s="3" t="s">
        <v>416</v>
      </c>
      <c r="D153" s="3" t="s">
        <v>496</v>
      </c>
      <c r="E153" s="101"/>
      <c r="F153" s="3" t="s">
        <v>203</v>
      </c>
      <c r="G153" s="4">
        <v>3359304</v>
      </c>
      <c r="H153" s="3" t="s">
        <v>427</v>
      </c>
      <c r="I153" s="4">
        <v>3351500</v>
      </c>
    </row>
    <row r="154" spans="2:9" x14ac:dyDescent="0.3">
      <c r="B154" s="44">
        <v>46088</v>
      </c>
      <c r="C154" s="3" t="s">
        <v>416</v>
      </c>
      <c r="D154" s="3" t="s">
        <v>496</v>
      </c>
      <c r="E154" s="101"/>
      <c r="F154" s="3" t="s">
        <v>198</v>
      </c>
      <c r="G154" s="4">
        <v>3350803</v>
      </c>
      <c r="H154" s="3" t="s">
        <v>229</v>
      </c>
      <c r="I154" s="4">
        <v>3358409</v>
      </c>
    </row>
    <row r="155" spans="2:9" x14ac:dyDescent="0.3">
      <c r="B155" s="44">
        <v>46088</v>
      </c>
      <c r="C155" s="3" t="s">
        <v>416</v>
      </c>
      <c r="D155" s="3" t="s">
        <v>496</v>
      </c>
      <c r="E155" s="101"/>
      <c r="F155" s="4" t="s">
        <v>207</v>
      </c>
      <c r="G155" s="4">
        <v>3346801</v>
      </c>
      <c r="H155" s="4" t="s">
        <v>206</v>
      </c>
      <c r="I155" s="4">
        <v>3352103</v>
      </c>
    </row>
    <row r="156" spans="2:9" x14ac:dyDescent="0.3">
      <c r="B156" s="44">
        <v>46088</v>
      </c>
      <c r="C156" s="3" t="s">
        <v>416</v>
      </c>
      <c r="D156" s="3" t="s">
        <v>496</v>
      </c>
      <c r="E156" s="101"/>
      <c r="F156" s="3" t="s">
        <v>205</v>
      </c>
      <c r="G156" s="74">
        <v>3351906</v>
      </c>
      <c r="H156" s="4" t="s">
        <v>204</v>
      </c>
      <c r="I156" s="4">
        <v>3357400</v>
      </c>
    </row>
    <row r="157" spans="2:9" x14ac:dyDescent="0.3">
      <c r="B157" s="44">
        <v>46088</v>
      </c>
      <c r="C157" s="3" t="s">
        <v>416</v>
      </c>
      <c r="D157" s="3" t="s">
        <v>496</v>
      </c>
      <c r="E157" s="101"/>
      <c r="F157" s="3" t="s">
        <v>462</v>
      </c>
      <c r="G157" s="4">
        <v>3352207</v>
      </c>
      <c r="H157" s="3" t="s">
        <v>202</v>
      </c>
      <c r="I157" s="74">
        <v>3361808</v>
      </c>
    </row>
    <row r="158" spans="2:9" x14ac:dyDescent="0.3">
      <c r="B158" s="4"/>
      <c r="E158" s="101"/>
      <c r="F158" s="4"/>
    </row>
    <row r="159" spans="2:9" x14ac:dyDescent="0.3">
      <c r="B159" s="44">
        <v>46095</v>
      </c>
      <c r="C159" s="3" t="s">
        <v>416</v>
      </c>
      <c r="D159" s="3" t="s">
        <v>496</v>
      </c>
      <c r="E159" s="101"/>
      <c r="F159" s="4" t="s">
        <v>427</v>
      </c>
      <c r="G159" s="4">
        <v>3351500</v>
      </c>
      <c r="H159" s="3" t="s">
        <v>198</v>
      </c>
      <c r="I159" s="4">
        <v>3350803</v>
      </c>
    </row>
    <row r="160" spans="2:9" x14ac:dyDescent="0.3">
      <c r="B160" s="44">
        <v>46095</v>
      </c>
      <c r="C160" s="3" t="s">
        <v>416</v>
      </c>
      <c r="D160" s="3" t="s">
        <v>496</v>
      </c>
      <c r="E160" s="101"/>
      <c r="F160" s="4" t="s">
        <v>204</v>
      </c>
      <c r="G160" s="4">
        <v>3357400</v>
      </c>
      <c r="H160" s="3" t="s">
        <v>203</v>
      </c>
      <c r="I160" s="4">
        <v>3359304</v>
      </c>
    </row>
    <row r="161" spans="2:9" x14ac:dyDescent="0.3">
      <c r="B161" s="44">
        <v>46095</v>
      </c>
      <c r="C161" s="3" t="s">
        <v>416</v>
      </c>
      <c r="D161" s="3" t="s">
        <v>496</v>
      </c>
      <c r="E161" s="101"/>
      <c r="F161" s="4" t="s">
        <v>206</v>
      </c>
      <c r="G161" s="4">
        <v>3352103</v>
      </c>
      <c r="H161" s="3" t="s">
        <v>205</v>
      </c>
      <c r="I161" s="74">
        <v>3351906</v>
      </c>
    </row>
    <row r="162" spans="2:9" x14ac:dyDescent="0.3">
      <c r="B162" s="44">
        <v>46095</v>
      </c>
      <c r="C162" s="3" t="s">
        <v>416</v>
      </c>
      <c r="D162" s="3" t="s">
        <v>496</v>
      </c>
      <c r="E162" s="101"/>
      <c r="F162" s="4" t="s">
        <v>426</v>
      </c>
      <c r="G162" s="4">
        <v>3352603</v>
      </c>
      <c r="H162" s="4" t="s">
        <v>207</v>
      </c>
      <c r="I162" s="4">
        <v>3346801</v>
      </c>
    </row>
    <row r="163" spans="2:9" x14ac:dyDescent="0.3">
      <c r="B163" s="44">
        <v>46095</v>
      </c>
      <c r="C163" s="3" t="s">
        <v>416</v>
      </c>
      <c r="D163" s="3" t="s">
        <v>496</v>
      </c>
      <c r="E163" s="101"/>
      <c r="F163" s="3" t="s">
        <v>229</v>
      </c>
      <c r="G163" s="4">
        <v>3358409</v>
      </c>
      <c r="H163" s="3" t="s">
        <v>462</v>
      </c>
      <c r="I163" s="4">
        <v>3352207</v>
      </c>
    </row>
    <row r="164" spans="2:9" x14ac:dyDescent="0.3">
      <c r="B164" s="44">
        <v>46095</v>
      </c>
      <c r="C164" s="3" t="s">
        <v>416</v>
      </c>
      <c r="D164" s="3" t="s">
        <v>496</v>
      </c>
      <c r="E164" s="101"/>
      <c r="F164" s="3" t="s">
        <v>202</v>
      </c>
      <c r="G164" s="74">
        <v>3361808</v>
      </c>
      <c r="H164" s="3" t="s">
        <v>227</v>
      </c>
      <c r="I164" s="4">
        <v>3359408</v>
      </c>
    </row>
    <row r="165" spans="2:9" x14ac:dyDescent="0.3">
      <c r="B165" s="4"/>
      <c r="E165" s="101"/>
      <c r="F165" s="4"/>
    </row>
    <row r="166" spans="2:9" x14ac:dyDescent="0.3">
      <c r="B166" s="44">
        <v>46102</v>
      </c>
      <c r="C166" s="3" t="s">
        <v>416</v>
      </c>
      <c r="D166" s="3" t="s">
        <v>496</v>
      </c>
      <c r="E166" s="101"/>
      <c r="F166" s="3" t="s">
        <v>227</v>
      </c>
      <c r="G166" s="4">
        <v>3359408</v>
      </c>
      <c r="H166" s="4" t="s">
        <v>207</v>
      </c>
      <c r="I166" s="4">
        <v>3346801</v>
      </c>
    </row>
    <row r="167" spans="2:9" x14ac:dyDescent="0.3">
      <c r="B167" s="44">
        <v>46102</v>
      </c>
      <c r="C167" s="3" t="s">
        <v>416</v>
      </c>
      <c r="D167" s="3" t="s">
        <v>496</v>
      </c>
      <c r="E167" s="101"/>
      <c r="F167" s="3" t="s">
        <v>203</v>
      </c>
      <c r="G167" s="4">
        <v>3359304</v>
      </c>
      <c r="H167" s="4" t="s">
        <v>206</v>
      </c>
      <c r="I167" s="4">
        <v>3352103</v>
      </c>
    </row>
    <row r="168" spans="2:9" x14ac:dyDescent="0.3">
      <c r="B168" s="44">
        <v>46102</v>
      </c>
      <c r="C168" s="3" t="s">
        <v>416</v>
      </c>
      <c r="D168" s="3" t="s">
        <v>496</v>
      </c>
      <c r="E168" s="101"/>
      <c r="F168" s="3" t="s">
        <v>198</v>
      </c>
      <c r="G168" s="4">
        <v>3350803</v>
      </c>
      <c r="H168" s="4" t="s">
        <v>204</v>
      </c>
      <c r="I168" s="4">
        <v>3357400</v>
      </c>
    </row>
    <row r="169" spans="2:9" x14ac:dyDescent="0.3">
      <c r="B169" s="44">
        <v>46102</v>
      </c>
      <c r="C169" s="3" t="s">
        <v>416</v>
      </c>
      <c r="D169" s="3" t="s">
        <v>496</v>
      </c>
      <c r="E169" s="101"/>
      <c r="F169" s="3" t="s">
        <v>205</v>
      </c>
      <c r="G169" s="74">
        <v>3351906</v>
      </c>
      <c r="H169" s="4" t="s">
        <v>426</v>
      </c>
      <c r="I169" s="4">
        <v>3352603</v>
      </c>
    </row>
    <row r="170" spans="2:9" x14ac:dyDescent="0.3">
      <c r="B170" s="44">
        <v>46102</v>
      </c>
      <c r="C170" s="3" t="s">
        <v>416</v>
      </c>
      <c r="D170" s="3" t="s">
        <v>496</v>
      </c>
      <c r="E170" s="101"/>
      <c r="F170" s="3" t="s">
        <v>462</v>
      </c>
      <c r="G170" s="4">
        <v>3352207</v>
      </c>
      <c r="H170" s="3" t="s">
        <v>427</v>
      </c>
      <c r="I170" s="4">
        <v>3351500</v>
      </c>
    </row>
    <row r="171" spans="2:9" x14ac:dyDescent="0.3">
      <c r="B171" s="44">
        <v>46102</v>
      </c>
      <c r="C171" s="3" t="s">
        <v>416</v>
      </c>
      <c r="D171" s="3" t="s">
        <v>496</v>
      </c>
      <c r="E171" s="101"/>
      <c r="F171" s="3" t="s">
        <v>202</v>
      </c>
      <c r="G171" s="74">
        <v>3361808</v>
      </c>
      <c r="H171" s="3" t="s">
        <v>229</v>
      </c>
      <c r="I171" s="4">
        <v>3358409</v>
      </c>
    </row>
    <row r="172" spans="2:9" x14ac:dyDescent="0.3">
      <c r="B172" s="4"/>
      <c r="E172" s="101"/>
      <c r="F172" s="4"/>
    </row>
    <row r="173" spans="2:9" x14ac:dyDescent="0.3">
      <c r="B173" s="44">
        <v>46109</v>
      </c>
      <c r="C173" s="3" t="s">
        <v>416</v>
      </c>
      <c r="D173" s="3" t="s">
        <v>496</v>
      </c>
      <c r="E173" s="101"/>
      <c r="F173" s="4" t="s">
        <v>427</v>
      </c>
      <c r="G173" s="4">
        <v>3351500</v>
      </c>
      <c r="H173" s="3" t="s">
        <v>202</v>
      </c>
      <c r="I173" s="74">
        <v>3361808</v>
      </c>
    </row>
    <row r="174" spans="2:9" x14ac:dyDescent="0.3">
      <c r="B174" s="44">
        <v>46109</v>
      </c>
      <c r="C174" s="3" t="s">
        <v>416</v>
      </c>
      <c r="D174" s="3" t="s">
        <v>496</v>
      </c>
      <c r="E174" s="101"/>
      <c r="F174" s="4" t="s">
        <v>204</v>
      </c>
      <c r="G174" s="4">
        <v>3357400</v>
      </c>
      <c r="H174" s="3" t="s">
        <v>462</v>
      </c>
      <c r="I174" s="4">
        <v>3352207</v>
      </c>
    </row>
    <row r="175" spans="2:9" x14ac:dyDescent="0.3">
      <c r="B175" s="44">
        <v>46109</v>
      </c>
      <c r="C175" s="3" t="s">
        <v>416</v>
      </c>
      <c r="D175" s="3" t="s">
        <v>496</v>
      </c>
      <c r="E175" s="101"/>
      <c r="F175" s="4" t="s">
        <v>206</v>
      </c>
      <c r="G175" s="4">
        <v>3352103</v>
      </c>
      <c r="H175" s="3" t="s">
        <v>198</v>
      </c>
      <c r="I175" s="4">
        <v>3350803</v>
      </c>
    </row>
    <row r="176" spans="2:9" x14ac:dyDescent="0.3">
      <c r="B176" s="44">
        <v>46109</v>
      </c>
      <c r="C176" s="3" t="s">
        <v>416</v>
      </c>
      <c r="D176" s="3" t="s">
        <v>496</v>
      </c>
      <c r="E176" s="101"/>
      <c r="F176" s="4" t="s">
        <v>426</v>
      </c>
      <c r="G176" s="4">
        <v>3352603</v>
      </c>
      <c r="H176" s="3" t="s">
        <v>203</v>
      </c>
      <c r="I176" s="4">
        <v>3359304</v>
      </c>
    </row>
    <row r="177" spans="2:9" x14ac:dyDescent="0.3">
      <c r="B177" s="44">
        <v>46109</v>
      </c>
      <c r="C177" s="3" t="s">
        <v>416</v>
      </c>
      <c r="D177" s="3" t="s">
        <v>496</v>
      </c>
      <c r="E177" s="101"/>
      <c r="F177" s="4" t="s">
        <v>207</v>
      </c>
      <c r="G177" s="4">
        <v>3346801</v>
      </c>
      <c r="H177" s="3" t="s">
        <v>205</v>
      </c>
      <c r="I177" s="74">
        <v>3351906</v>
      </c>
    </row>
    <row r="178" spans="2:9" x14ac:dyDescent="0.3">
      <c r="B178" s="44">
        <v>46109</v>
      </c>
      <c r="C178" s="3" t="s">
        <v>416</v>
      </c>
      <c r="D178" s="3" t="s">
        <v>496</v>
      </c>
      <c r="E178" s="101"/>
      <c r="F178" s="3" t="s">
        <v>229</v>
      </c>
      <c r="G178" s="4">
        <v>3358409</v>
      </c>
      <c r="H178" s="3" t="s">
        <v>227</v>
      </c>
      <c r="I178" s="4">
        <v>3359408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482" priority="49"/>
  </conditionalFormatting>
  <conditionalFormatting sqref="B11:B12 B15:B19 B21">
    <cfRule type="duplicateValues" dxfId="5481" priority="3038"/>
  </conditionalFormatting>
  <conditionalFormatting sqref="F31">
    <cfRule type="duplicateValues" dxfId="5480" priority="27"/>
  </conditionalFormatting>
  <conditionalFormatting sqref="F45">
    <cfRule type="duplicateValues" dxfId="5479" priority="25"/>
  </conditionalFormatting>
  <conditionalFormatting sqref="F59">
    <cfRule type="duplicateValues" dxfId="5478" priority="23"/>
  </conditionalFormatting>
  <conditionalFormatting sqref="F73">
    <cfRule type="duplicateValues" dxfId="5477" priority="21"/>
  </conditionalFormatting>
  <conditionalFormatting sqref="F86">
    <cfRule type="duplicateValues" dxfId="5476" priority="19"/>
  </conditionalFormatting>
  <conditionalFormatting sqref="F99">
    <cfRule type="duplicateValues" dxfId="5475" priority="17"/>
  </conditionalFormatting>
  <conditionalFormatting sqref="F115">
    <cfRule type="duplicateValues" dxfId="5474" priority="15"/>
  </conditionalFormatting>
  <conditionalFormatting sqref="F129">
    <cfRule type="duplicateValues" dxfId="5473" priority="13"/>
  </conditionalFormatting>
  <conditionalFormatting sqref="F143">
    <cfRule type="duplicateValues" dxfId="5472" priority="11"/>
  </conditionalFormatting>
  <conditionalFormatting sqref="F156">
    <cfRule type="duplicateValues" dxfId="5471" priority="9"/>
  </conditionalFormatting>
  <conditionalFormatting sqref="F169">
    <cfRule type="duplicateValues" dxfId="5470" priority="7"/>
  </conditionalFormatting>
  <conditionalFormatting sqref="F1:I26 F27:G27 F28:I30 H31:I31 F32:I33 F34:G34 F35:I37 H38:I38 F39:I42 F43:G43 F44:I44 H45:I45 F46:I50 F51:G51 H52:I52 F53:I58 F60:I63 F64:G64 F65:I65 H66:I66 F67:I69 F70:G70 F71:I72 H73:I73 F74:I75 F76:G76 F77:I79 H80:I80 F81:I81 F82:G82 F83:I85 H86:I86 F87:I91 F92:G92 F93:I93 F94:G94 F95:I98 H99:I99 F100:I100 H101:I101 F102:I102 F103:G103 F104:I107 H108:I108 F109:I111 F112:G112 F113:I114 H115:I115 F116:I118 F119:G119 F120:I121 H122:I122 F123:I127 F128:G128 H129:I129 F130:I135 F137:I138 F139:G139 F140:I142 H143:I143 F144:I144 F145:G145 F146:I149 H150:I150 F151:I155 H156:I156 F157:G157 F158:I160 F161:G161 F162:I163 H164:I164 F165:I168 H169:I169 F170:I170 H171:I171 F172:I172 F173:G173 F174:I176 F177:G177 F178:I1048576">
    <cfRule type="containsText" dxfId="5469" priority="28" operator="containsText" text="nor">
      <formula>NOT(ISERROR(SEARCH("nor",F1)))</formula>
    </cfRule>
    <cfRule type="containsText" dxfId="5468" priority="29" operator="containsText" text="beb">
      <formula>NOT(ISERROR(SEARCH("beb",F1)))</formula>
    </cfRule>
  </conditionalFormatting>
  <conditionalFormatting sqref="F26:I26 F27:G27 F28:I30 H31:I31 F32:I33 F34:G34 F35:I37 H38:I38 F39:I42 F43:G43 F44:I44 H45:I45 F46:I50 F51:G51 H52:I52 F53:I58 F60:I63 F64:G64 F65:I65 H66:I66 F67:I69 F70:G70 F71:I72 H73:I73 F74:I75 F76:G76 F77:I79 H80:I80 F81:I81 F82:G82 F83:I85 H86:I86 F87:I91 F92:G92 F93:I93 F94:G94 F95:I98 H99:I99 F100:I100 H101:I101 F102:I102 F103:G103 F104:I107 H108:I108 F109:I111 F112:G112 F113:I114 H115:I115 F116:I118 F119:G119 F120:I121 H122:I122 F123:I127 F128:G128 H129:I129 F130:I135 F137:I138 F139:G139 F140:I142 H143:I143 F144:I144 F145:G145 F146:I149 H150:I150 F151:I155 H156:I156 F157:G157 F158:I160 F161:G161 F162:I163 H164:I164 F165:I168 H169:I169 F170:I170 H171:I171 F172:I172 F173:G173 F174:I176 F177:G177 F178:I178">
    <cfRule type="containsText" dxfId="5467" priority="30" operator="containsText" text="Code">
      <formula>NOT(ISERROR(SEARCH("Code",F26)))</formula>
    </cfRule>
    <cfRule type="containsText" dxfId="5466" priority="31" operator="containsText" text="c'[Fixtures All.xlsx]Women Filtered'!$F$2">
      <formula>NOT(ISERROR(SEARCH("c'[Fixtures All.xlsx]Women Filtered'!$F$2",F26)))</formula>
    </cfRule>
  </conditionalFormatting>
  <conditionalFormatting sqref="H34">
    <cfRule type="duplicateValues" dxfId="5465" priority="26"/>
  </conditionalFormatting>
  <conditionalFormatting sqref="H51">
    <cfRule type="duplicateValues" dxfId="5464" priority="24"/>
  </conditionalFormatting>
  <conditionalFormatting sqref="H64">
    <cfRule type="duplicateValues" dxfId="5463" priority="22"/>
  </conditionalFormatting>
  <conditionalFormatting sqref="H76">
    <cfRule type="duplicateValues" dxfId="5462" priority="20"/>
  </conditionalFormatting>
  <conditionalFormatting sqref="H92">
    <cfRule type="duplicateValues" dxfId="5461" priority="18"/>
  </conditionalFormatting>
  <conditionalFormatting sqref="H103">
    <cfRule type="duplicateValues" dxfId="5460" priority="16"/>
  </conditionalFormatting>
  <conditionalFormatting sqref="H119">
    <cfRule type="duplicateValues" dxfId="5459" priority="14"/>
  </conditionalFormatting>
  <conditionalFormatting sqref="H136">
    <cfRule type="duplicateValues" dxfId="5458" priority="12"/>
  </conditionalFormatting>
  <conditionalFormatting sqref="H145">
    <cfRule type="duplicateValues" dxfId="5457" priority="10"/>
  </conditionalFormatting>
  <conditionalFormatting sqref="H161">
    <cfRule type="duplicateValues" dxfId="5456" priority="8"/>
  </conditionalFormatting>
  <conditionalFormatting sqref="H177">
    <cfRule type="duplicateValues" dxfId="5455" priority="6"/>
  </conditionalFormatting>
  <conditionalFormatting sqref="I1:I8 I22:I25 I179:I1048576">
    <cfRule type="containsText" dxfId="5454" priority="41" operator="containsText" text="OXTON">
      <formula>NOT(ISERROR(SEARCH("OXTON",I1)))</formula>
    </cfRule>
  </conditionalFormatting>
  <conditionalFormatting sqref="I9:I21">
    <cfRule type="containsText" dxfId="5453" priority="34" operator="containsText" text="Code">
      <formula>NOT(ISERROR(SEARCH("Code",I9)))</formula>
    </cfRule>
    <cfRule type="containsText" dxfId="5452" priority="39" operator="containsText" text="c'[Fixtures All.xlsx]Women Filtered'!$F$2">
      <formula>NOT(ISERROR(SEARCH("c'[Fixtures All.xlsx]Women Filtered'!$F$2",I9)))</formula>
    </cfRule>
  </conditionalFormatting>
  <conditionalFormatting sqref="I10:L21">
    <cfRule type="cellIs" dxfId="5451" priority="32" operator="lessThan">
      <formula>5</formula>
    </cfRule>
    <cfRule type="cellIs" dxfId="5450" priority="33" operator="greaterThan">
      <formula>6</formula>
    </cfRule>
  </conditionalFormatting>
  <conditionalFormatting sqref="J10:J21">
    <cfRule type="containsText" dxfId="5449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448" priority="3037"/>
  </conditionalFormatting>
  <conditionalFormatting sqref="K5">
    <cfRule type="duplicateValues" dxfId="5447" priority="47"/>
  </conditionalFormatting>
  <conditionalFormatting sqref="K9:K21">
    <cfRule type="containsText" dxfId="5446" priority="5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445" priority="2" operator="containsText" text="nor">
      <formula>NOT(ISERROR(SEARCH("nor",K10)))</formula>
    </cfRule>
    <cfRule type="containsText" dxfId="5444" priority="3" operator="containsText" text="beb">
      <formula>NOT(ISERROR(SEARCH("beb",K10)))</formula>
    </cfRule>
    <cfRule type="containsText" dxfId="5443" priority="4" operator="containsText" text="Code">
      <formula>NOT(ISERROR(SEARCH("Code",K10)))</formula>
    </cfRule>
  </conditionalFormatting>
  <conditionalFormatting sqref="L10:L21">
    <cfRule type="containsText" dxfId="5442" priority="35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36B3F4B5-5006-4652-8145-2DFC811E4741}"/>
    <hyperlink ref="K5:K6" location="'All Fixtures'!A1" display="See all NW Fixtures" xr:uid="{231117ED-E51C-4F9B-A0AF-AAF7F48B87D2}"/>
  </hyperlinks>
  <pageMargins left="0.7" right="0.7" top="0.75" bottom="0.75" header="0.3" footer="0.3"/>
  <ignoredErrors>
    <ignoredError sqref="J10:J21" formula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C6AC6-8A37-4929-B4ED-5A2DE932A133}">
  <dimension ref="A2:AQ178"/>
  <sheetViews>
    <sheetView zoomScaleNormal="100" workbookViewId="0"/>
  </sheetViews>
  <sheetFormatPr defaultRowHeight="14.4" x14ac:dyDescent="0.3"/>
  <cols>
    <col min="1" max="1" width="5.109375" style="47" customWidth="1"/>
    <col min="2" max="2" width="31.88671875" style="3" customWidth="1"/>
    <col min="3" max="3" width="27" style="3" customWidth="1"/>
    <col min="4" max="4" width="35.77734375" style="3" customWidth="1"/>
    <col min="5" max="5" width="14.5546875" style="3" customWidth="1"/>
    <col min="6" max="6" width="32" style="3" customWidth="1"/>
    <col min="7" max="7" width="11.88671875" style="3" customWidth="1"/>
    <col min="8" max="8" width="31.6640625" style="3" customWidth="1"/>
    <col min="9" max="9" width="8.88671875" style="3"/>
    <col min="10" max="10" width="5.6640625" style="3" customWidth="1"/>
    <col min="11" max="11" width="18.1093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497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F7" s="59"/>
      <c r="G7" s="59"/>
      <c r="H7" s="59"/>
      <c r="I7" s="59"/>
    </row>
    <row r="8" spans="1:12" ht="15" customHeight="1" x14ac:dyDescent="0.7">
      <c r="B8" s="16"/>
      <c r="F8" s="59"/>
      <c r="G8" s="59"/>
      <c r="H8" s="59"/>
      <c r="I8" s="59"/>
    </row>
    <row r="9" spans="1:12" ht="15" customHeight="1" x14ac:dyDescent="0.4">
      <c r="B9" s="21" t="s">
        <v>85</v>
      </c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COUNTIF(F$26:H$178,"Bolton 2")</f>
        <v>22</v>
      </c>
      <c r="B10" s="15" t="s">
        <v>208</v>
      </c>
      <c r="C10" s="106">
        <v>3361308</v>
      </c>
      <c r="D10" s="57">
        <f>COUNTIF(F$26:I$178,"3361308")</f>
        <v>22</v>
      </c>
      <c r="F10" s="57">
        <f>COUNTIF(F$26:F$178,"Bolton 2")</f>
        <v>11</v>
      </c>
      <c r="G10" s="47"/>
      <c r="H10" s="57">
        <f>COUNTIF(H$26:H$178,"Bolton 2")</f>
        <v>11</v>
      </c>
      <c r="I10" s="57">
        <f>COUNTIF(F$26:F$101,"Bolton 2")</f>
        <v>6</v>
      </c>
      <c r="J10" s="57">
        <f>COUNTIF(F$102:F$178,"Bolton 2")</f>
        <v>5</v>
      </c>
      <c r="K10" s="57">
        <f>COUNTIF(H$26:H$101,"Bolton 2")</f>
        <v>5</v>
      </c>
      <c r="L10" s="57">
        <f>COUNTIF(H$102:H$178,"Bolton 2")</f>
        <v>6</v>
      </c>
    </row>
    <row r="11" spans="1:12" ht="15" customHeight="1" x14ac:dyDescent="0.3">
      <c r="A11" s="47">
        <f>COUNTIF(F$26:H$178,"Bolton 3")</f>
        <v>22</v>
      </c>
      <c r="B11" s="17" t="s">
        <v>209</v>
      </c>
      <c r="C11" s="74">
        <v>3360705</v>
      </c>
      <c r="D11" s="57">
        <f>COUNTIF(F$26:I$178,"3360705")</f>
        <v>22</v>
      </c>
      <c r="F11" s="57">
        <f>COUNTIF(F$26:F$178,"Bolton 3")</f>
        <v>11</v>
      </c>
      <c r="G11" s="47"/>
      <c r="H11" s="57">
        <f>COUNTIF(H$26:H$178,"Bolton 3")</f>
        <v>11</v>
      </c>
      <c r="I11" s="57">
        <f>COUNTIF(F$26:F$101,"Bolton 3")</f>
        <v>5</v>
      </c>
      <c r="J11" s="57">
        <f>COUNTIF(F$102:F$178,"Bolton 3")</f>
        <v>6</v>
      </c>
      <c r="K11" s="57">
        <f>COUNTIF(H$26:H$101,"Bolton 3")</f>
        <v>6</v>
      </c>
      <c r="L11" s="57">
        <f>COUNTIF(H$102:H$178,"Bolton 3")</f>
        <v>5</v>
      </c>
    </row>
    <row r="12" spans="1:12" ht="15" customHeight="1" x14ac:dyDescent="0.3">
      <c r="A12" s="47">
        <f>COUNTIF(F$26:H$178,"Brooklands Manchester University 6")</f>
        <v>22</v>
      </c>
      <c r="B12" s="17" t="s">
        <v>428</v>
      </c>
      <c r="C12" s="74">
        <v>3360309</v>
      </c>
      <c r="D12" s="57">
        <f>COUNTIF(F$26:I$178,"3360309")</f>
        <v>22</v>
      </c>
      <c r="F12" s="57">
        <f>COUNTIF(F$26:F$178,"Brooklands Manchester University 6")</f>
        <v>11</v>
      </c>
      <c r="G12" s="47"/>
      <c r="H12" s="57">
        <f>COUNTIF(H$26:H$178,"Brooklands Manchester University 6")</f>
        <v>11</v>
      </c>
      <c r="I12" s="57">
        <f>COUNTIF(F$26:F$101,"Brooklands Manchester University 6")</f>
        <v>5</v>
      </c>
      <c r="J12" s="57">
        <f>COUNTIF(F$102:F$178,"Brooklands Manchester University 6")</f>
        <v>6</v>
      </c>
      <c r="K12" s="57">
        <f>COUNTIF(H$26:H$101,"Brooklands Manchester University 6")</f>
        <v>6</v>
      </c>
      <c r="L12" s="57">
        <f>COUNTIF(H$102:H$178,"Brooklands Manchester University 6")</f>
        <v>5</v>
      </c>
    </row>
    <row r="13" spans="1:12" ht="15" customHeight="1" x14ac:dyDescent="0.3">
      <c r="A13" s="47">
        <f>COUNTIF(F$26:H$178,"Bury 2")</f>
        <v>22</v>
      </c>
      <c r="B13" s="17" t="s">
        <v>212</v>
      </c>
      <c r="C13" s="74">
        <v>3360007</v>
      </c>
      <c r="D13" s="57">
        <f>COUNTIF(F$26:I$178,"3360007")</f>
        <v>22</v>
      </c>
      <c r="F13" s="57">
        <f>COUNTIF(F$26:F$178,"Bury 2")</f>
        <v>11</v>
      </c>
      <c r="G13" s="47"/>
      <c r="H13" s="57">
        <f>COUNTIF(H$26:H$178,"Bury 2")</f>
        <v>11</v>
      </c>
      <c r="I13" s="57">
        <f>COUNTIF(F$26:F$101,"Bury 2")</f>
        <v>5</v>
      </c>
      <c r="J13" s="57">
        <f>COUNTIF(F$102:F$178,"Bury 2")</f>
        <v>6</v>
      </c>
      <c r="K13" s="57">
        <f>COUNTIF(H$26:H$101,"Bury 2")</f>
        <v>6</v>
      </c>
      <c r="L13" s="57">
        <f>COUNTIF(H$102:H$178,"Bury 2")</f>
        <v>5</v>
      </c>
    </row>
    <row r="14" spans="1:12" x14ac:dyDescent="0.3">
      <c r="A14" s="47">
        <f>COUNTIF(F$26:H$178,"Buxton 3")</f>
        <v>22</v>
      </c>
      <c r="B14" s="17" t="s">
        <v>213</v>
      </c>
      <c r="C14" s="74">
        <v>3359502</v>
      </c>
      <c r="D14" s="57">
        <f>COUNTIF(F$26:I$178,"3359502")</f>
        <v>22</v>
      </c>
      <c r="F14" s="57">
        <f>COUNTIF(F$26:F$178,"Buxton 3")</f>
        <v>11</v>
      </c>
      <c r="G14" s="47"/>
      <c r="H14" s="57">
        <f>COUNTIF(H$26:H$178,"Buxton 3")</f>
        <v>11</v>
      </c>
      <c r="I14" s="57">
        <f>COUNTIF(F$26:F$101,"Buxton 3")</f>
        <v>6</v>
      </c>
      <c r="J14" s="57">
        <f>COUNTIF(F$102:F$178,"Buxton 3")</f>
        <v>5</v>
      </c>
      <c r="K14" s="57">
        <f>COUNTIF(H$26:H$101,"Buxton 3")</f>
        <v>5</v>
      </c>
      <c r="L14" s="57">
        <f>COUNTIF(H$102:H$178,"Buxton 3")</f>
        <v>6</v>
      </c>
    </row>
    <row r="15" spans="1:12" x14ac:dyDescent="0.3">
      <c r="A15" s="47">
        <f>COUNTIF(F$26:H$178,"Didsbury Northern 7")</f>
        <v>22</v>
      </c>
      <c r="B15" s="104" t="s">
        <v>234</v>
      </c>
      <c r="C15" s="53">
        <v>3356807</v>
      </c>
      <c r="D15" s="57">
        <f>COUNTIF(F$26:I$178,"3356807")</f>
        <v>22</v>
      </c>
      <c r="F15" s="57">
        <f>COUNTIF(F$26:F$178,"Didsbury Northern 7")</f>
        <v>11</v>
      </c>
      <c r="G15" s="47"/>
      <c r="H15" s="57">
        <f>COUNTIF(H$26:H$178,"Didsbury Northern 7")</f>
        <v>11</v>
      </c>
      <c r="I15" s="57">
        <f>COUNTIF(F$26:F$101,"Didsbury Northern 7")</f>
        <v>6</v>
      </c>
      <c r="J15" s="57">
        <f>COUNTIF(F$102:F$178,"Didsbury Northern 7")</f>
        <v>5</v>
      </c>
      <c r="K15" s="57">
        <f>COUNTIF(H$26:H$101,"Didsbury Northern 7")</f>
        <v>5</v>
      </c>
      <c r="L15" s="57">
        <f>COUNTIF(H$102:H$178,"Didsbury Northern 7")</f>
        <v>6</v>
      </c>
    </row>
    <row r="16" spans="1:12" x14ac:dyDescent="0.3">
      <c r="A16" s="47">
        <f>COUNTIF(F$26:H$178,"Rochdale 2")</f>
        <v>22</v>
      </c>
      <c r="B16" s="104" t="s">
        <v>172</v>
      </c>
      <c r="C16" s="106">
        <v>3350709</v>
      </c>
      <c r="D16" s="57">
        <f>COUNTIF(F$26:I$178,"3350709")</f>
        <v>22</v>
      </c>
      <c r="F16" s="57">
        <f>COUNTIF(F$26:F$178,"Rochdale 2")</f>
        <v>11</v>
      </c>
      <c r="G16" s="47"/>
      <c r="H16" s="57">
        <f>COUNTIF(H$26:H$178,"Rochdale 2")</f>
        <v>11</v>
      </c>
      <c r="I16" s="57">
        <f>COUNTIF(F$26:F$101,"Rochdale 2")</f>
        <v>5</v>
      </c>
      <c r="J16" s="57">
        <f>COUNTIF(F$102:F$178,"Rochdale 2")</f>
        <v>6</v>
      </c>
      <c r="K16" s="57">
        <f>COUNTIF(H$26:H$101,"Rochdale 2")</f>
        <v>6</v>
      </c>
      <c r="L16" s="57">
        <f>COUNTIF(H$102:H$178,"Rochdale 2")</f>
        <v>5</v>
      </c>
    </row>
    <row r="17" spans="1:14" x14ac:dyDescent="0.3">
      <c r="A17" s="47">
        <f>COUNTIF(F$26:H$178,"Sale 2")</f>
        <v>22</v>
      </c>
      <c r="B17" s="17" t="s">
        <v>215</v>
      </c>
      <c r="C17" s="74">
        <v>3350407</v>
      </c>
      <c r="D17" s="57">
        <f>COUNTIF(F$26:I$178,"3350407")</f>
        <v>22</v>
      </c>
      <c r="F17" s="57">
        <f>COUNTIF(F$26:F$178,"Sale 2")</f>
        <v>11</v>
      </c>
      <c r="G17" s="47"/>
      <c r="H17" s="57">
        <f>COUNTIF(H$26:H$178,"Sale 2")</f>
        <v>11</v>
      </c>
      <c r="I17" s="57">
        <f>COUNTIF(F$26:F$101,"Sale 2")</f>
        <v>6</v>
      </c>
      <c r="J17" s="57">
        <f>COUNTIF(F$102:F$178,"Sale 2")</f>
        <v>5</v>
      </c>
      <c r="K17" s="57">
        <f>COUNTIF(H$26:H$101,"Sale 2")</f>
        <v>5</v>
      </c>
      <c r="L17" s="57">
        <f>COUNTIF(H$102:H$178,"Sale 2")</f>
        <v>6</v>
      </c>
    </row>
    <row r="18" spans="1:14" x14ac:dyDescent="0.3">
      <c r="A18" s="47">
        <f>COUNTIF(F$26:H$178,"South Manchester 2")</f>
        <v>22</v>
      </c>
      <c r="B18" s="17" t="s">
        <v>216</v>
      </c>
      <c r="C18" s="74">
        <v>3349808</v>
      </c>
      <c r="D18" s="57">
        <f>COUNTIF(F$26:I$178,"3349808")</f>
        <v>22</v>
      </c>
      <c r="F18" s="57">
        <f>COUNTIF(F$26:F$178,"South Manchester 2")</f>
        <v>11</v>
      </c>
      <c r="G18" s="47"/>
      <c r="H18" s="57">
        <f>COUNTIF(H$26:H$178,"South Manchester 2")</f>
        <v>11</v>
      </c>
      <c r="I18" s="57">
        <f>COUNTIF(F$26:F$101,"South Manchester 2")</f>
        <v>5</v>
      </c>
      <c r="J18" s="57">
        <f>COUNTIF(F$102:F$178,"South Manchester 2")</f>
        <v>6</v>
      </c>
      <c r="K18" s="57">
        <f>COUNTIF(H$26:H$101,"South Manchester 2")</f>
        <v>6</v>
      </c>
      <c r="L18" s="57">
        <f>COUNTIF(H$102:H$178,"South Manchester 2")</f>
        <v>5</v>
      </c>
    </row>
    <row r="19" spans="1:14" x14ac:dyDescent="0.3">
      <c r="A19" s="47">
        <f>COUNTIF(F$26:H$178,"South Manchester 3")</f>
        <v>22</v>
      </c>
      <c r="B19" s="17" t="s">
        <v>438</v>
      </c>
      <c r="C19" s="53">
        <v>3906207</v>
      </c>
      <c r="D19" s="57">
        <f>COUNTIF(F$26:I$178,"3906207")</f>
        <v>22</v>
      </c>
      <c r="F19" s="57">
        <f>COUNTIF(F$26:F$178,"South Manchester 3")</f>
        <v>11</v>
      </c>
      <c r="G19" s="47"/>
      <c r="H19" s="57">
        <f>COUNTIF(H$26:H$178,"South Manchester 3")</f>
        <v>11</v>
      </c>
      <c r="I19" s="57">
        <f>COUNTIF(F$26:F$101,"South Manchester 3")</f>
        <v>6</v>
      </c>
      <c r="J19" s="57">
        <f>COUNTIF(F$102:F$178,"South Manchester 3")</f>
        <v>5</v>
      </c>
      <c r="K19" s="57">
        <f>COUNTIF(H$26:H$101,"South Manchester 3")</f>
        <v>5</v>
      </c>
      <c r="L19" s="57">
        <f>COUNTIF(H$102:H$178,"South Manchester 3")</f>
        <v>6</v>
      </c>
    </row>
    <row r="20" spans="1:14" x14ac:dyDescent="0.3">
      <c r="A20" s="47">
        <f>COUNTIF(F$26:H$178,"Timperley 7")</f>
        <v>22</v>
      </c>
      <c r="B20" s="3" t="s">
        <v>240</v>
      </c>
      <c r="C20" s="74">
        <v>3348403</v>
      </c>
      <c r="D20" s="57">
        <f>COUNTIF(F$26:I$178,"3348403")</f>
        <v>22</v>
      </c>
      <c r="F20" s="57">
        <f>COUNTIF(F$26:F$178,"Timperley 7")</f>
        <v>11</v>
      </c>
      <c r="G20" s="47"/>
      <c r="H20" s="57">
        <f>COUNTIF(H$26:H$178,"Timperley 7")</f>
        <v>11</v>
      </c>
      <c r="I20" s="57">
        <f>COUNTIF(F$26:F$101,"Timperley 7")</f>
        <v>6</v>
      </c>
      <c r="J20" s="57">
        <f>COUNTIF(F$102:F$178,"Timperley 7")</f>
        <v>5</v>
      </c>
      <c r="K20" s="57">
        <f>COUNTIF(H$26:H$101,"Timperley 7")</f>
        <v>5</v>
      </c>
      <c r="L20" s="57">
        <f>COUNTIF(H$102:H$178,"Timperley 7")</f>
        <v>6</v>
      </c>
    </row>
    <row r="21" spans="1:14" x14ac:dyDescent="0.3">
      <c r="A21" s="47">
        <f>COUNTIF(F$26:H$178,"Urmston 2")</f>
        <v>22</v>
      </c>
      <c r="B21" s="3" t="s">
        <v>175</v>
      </c>
      <c r="C21" s="74">
        <v>3347800</v>
      </c>
      <c r="D21" s="57">
        <f>COUNTIF(F$26:I$178,"3347800")</f>
        <v>22</v>
      </c>
      <c r="E21" s="47"/>
      <c r="F21" s="57">
        <f>COUNTIF(F$26:F$178,"Urmston 2")</f>
        <v>11</v>
      </c>
      <c r="G21" s="47"/>
      <c r="H21" s="57">
        <f>COUNTIF(H$26:H$178,"Urmston 2")</f>
        <v>11</v>
      </c>
      <c r="I21" s="57">
        <f>COUNTIF(F$26:F$101,"Urmston 2")</f>
        <v>5</v>
      </c>
      <c r="J21" s="57">
        <f>COUNTIF(F$102:F$178,"Urmston 2")</f>
        <v>6</v>
      </c>
      <c r="K21" s="57">
        <f>COUNTIF(H$26:H$101,"Urmston 2")</f>
        <v>6</v>
      </c>
      <c r="L21" s="57">
        <f>COUNTIF(H$102:H$178,"Urmston 2")</f>
        <v>5</v>
      </c>
    </row>
    <row r="22" spans="1:14" x14ac:dyDescent="0.3">
      <c r="F22" s="59"/>
      <c r="G22" s="59"/>
      <c r="H22" s="59"/>
      <c r="I22" s="59"/>
    </row>
    <row r="23" spans="1:14" ht="21" x14ac:dyDescent="0.4">
      <c r="B23" s="22" t="s">
        <v>93</v>
      </c>
    </row>
    <row r="24" spans="1:14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K24" s="51"/>
    </row>
    <row r="26" spans="1:14" x14ac:dyDescent="0.3">
      <c r="B26" s="44">
        <v>45913</v>
      </c>
      <c r="C26" s="3" t="s">
        <v>416</v>
      </c>
      <c r="D26" s="3" t="s">
        <v>497</v>
      </c>
      <c r="E26" s="101"/>
      <c r="F26" s="17" t="s">
        <v>234</v>
      </c>
      <c r="G26" s="74">
        <v>3356807</v>
      </c>
      <c r="H26" s="3" t="s">
        <v>172</v>
      </c>
      <c r="I26" s="74">
        <v>3350709</v>
      </c>
      <c r="K26" s="17"/>
      <c r="L26" s="74"/>
      <c r="N26" s="74"/>
    </row>
    <row r="27" spans="1:14" x14ac:dyDescent="0.3">
      <c r="B27" s="44">
        <v>45913</v>
      </c>
      <c r="C27" s="3" t="s">
        <v>416</v>
      </c>
      <c r="D27" s="3" t="s">
        <v>497</v>
      </c>
      <c r="E27" s="101"/>
      <c r="F27" s="3" t="s">
        <v>438</v>
      </c>
      <c r="G27" s="74">
        <v>3906207</v>
      </c>
      <c r="H27" s="3" t="s">
        <v>175</v>
      </c>
      <c r="I27" s="74">
        <v>3347800</v>
      </c>
      <c r="K27" s="3"/>
      <c r="L27" s="4"/>
      <c r="M27" s="4"/>
      <c r="N27" s="4"/>
    </row>
    <row r="28" spans="1:14" x14ac:dyDescent="0.3">
      <c r="B28" s="44">
        <v>45913</v>
      </c>
      <c r="C28" s="3" t="s">
        <v>416</v>
      </c>
      <c r="D28" s="3" t="s">
        <v>497</v>
      </c>
      <c r="E28" s="101"/>
      <c r="F28" s="17" t="s">
        <v>213</v>
      </c>
      <c r="G28" s="74">
        <v>3359502</v>
      </c>
      <c r="H28" s="17" t="s">
        <v>212</v>
      </c>
      <c r="I28" s="74">
        <v>3360007</v>
      </c>
      <c r="K28" s="3"/>
      <c r="L28" s="4"/>
      <c r="M28" s="4"/>
      <c r="N28" s="4"/>
    </row>
    <row r="29" spans="1:14" x14ac:dyDescent="0.3">
      <c r="B29" s="44">
        <v>45913</v>
      </c>
      <c r="C29" s="3" t="s">
        <v>416</v>
      </c>
      <c r="D29" s="3" t="s">
        <v>497</v>
      </c>
      <c r="E29" s="101"/>
      <c r="F29" s="15" t="s">
        <v>240</v>
      </c>
      <c r="G29" s="74">
        <v>3348403</v>
      </c>
      <c r="H29" s="17" t="s">
        <v>428</v>
      </c>
      <c r="I29" s="74">
        <v>3360309</v>
      </c>
      <c r="K29" s="3"/>
      <c r="L29" s="4"/>
      <c r="M29" s="4"/>
      <c r="N29" s="4"/>
    </row>
    <row r="30" spans="1:14" x14ac:dyDescent="0.3">
      <c r="B30" s="44">
        <v>45913</v>
      </c>
      <c r="C30" s="3" t="s">
        <v>416</v>
      </c>
      <c r="D30" s="3" t="s">
        <v>497</v>
      </c>
      <c r="E30" s="101"/>
      <c r="F30" s="17" t="s">
        <v>215</v>
      </c>
      <c r="G30" s="74">
        <v>3350407</v>
      </c>
      <c r="H30" s="17" t="s">
        <v>209</v>
      </c>
      <c r="I30" s="74">
        <v>3360705</v>
      </c>
      <c r="K30" s="3"/>
      <c r="L30" s="4"/>
      <c r="M30" s="4"/>
      <c r="N30" s="4"/>
    </row>
    <row r="31" spans="1:14" x14ac:dyDescent="0.3">
      <c r="B31" s="44">
        <v>45913</v>
      </c>
      <c r="C31" s="3" t="s">
        <v>416</v>
      </c>
      <c r="D31" s="3" t="s">
        <v>497</v>
      </c>
      <c r="E31" s="101"/>
      <c r="F31" s="17" t="s">
        <v>208</v>
      </c>
      <c r="G31" s="74">
        <v>3361308</v>
      </c>
      <c r="H31" s="4" t="s">
        <v>216</v>
      </c>
      <c r="I31" s="74">
        <v>3349808</v>
      </c>
      <c r="K31" s="17"/>
      <c r="L31" s="74"/>
      <c r="M31" s="4"/>
      <c r="N31" s="74"/>
    </row>
    <row r="32" spans="1:14" x14ac:dyDescent="0.3"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  <c r="K32" s="3"/>
    </row>
    <row r="33" spans="2:14" x14ac:dyDescent="0.3">
      <c r="B33" s="44">
        <v>45920</v>
      </c>
      <c r="C33" s="3" t="s">
        <v>416</v>
      </c>
      <c r="D33" s="3" t="s">
        <v>497</v>
      </c>
      <c r="E33" s="101"/>
      <c r="F33" s="3" t="s">
        <v>175</v>
      </c>
      <c r="G33" s="74">
        <v>3347800</v>
      </c>
      <c r="H33" s="15" t="s">
        <v>240</v>
      </c>
      <c r="I33" s="74">
        <v>3348403</v>
      </c>
      <c r="K33" s="3"/>
      <c r="L33" s="4"/>
      <c r="N33" s="4"/>
    </row>
    <row r="34" spans="2:14" x14ac:dyDescent="0.3">
      <c r="B34" s="44">
        <v>45920</v>
      </c>
      <c r="C34" s="3" t="s">
        <v>416</v>
      </c>
      <c r="D34" s="3" t="s">
        <v>497</v>
      </c>
      <c r="E34" s="101"/>
      <c r="F34" s="17" t="s">
        <v>234</v>
      </c>
      <c r="G34" s="74">
        <v>3356807</v>
      </c>
      <c r="H34" s="17" t="s">
        <v>213</v>
      </c>
      <c r="I34" s="74">
        <v>3359502</v>
      </c>
      <c r="K34" s="3"/>
      <c r="L34" s="4"/>
      <c r="N34" s="4"/>
    </row>
    <row r="35" spans="2:14" x14ac:dyDescent="0.3">
      <c r="B35" s="44">
        <v>45920</v>
      </c>
      <c r="C35" s="3" t="s">
        <v>416</v>
      </c>
      <c r="D35" s="3" t="s">
        <v>497</v>
      </c>
      <c r="E35" s="101"/>
      <c r="F35" s="17" t="s">
        <v>428</v>
      </c>
      <c r="G35" s="74">
        <v>3360309</v>
      </c>
      <c r="H35" s="17" t="s">
        <v>208</v>
      </c>
      <c r="I35" s="74">
        <v>3361308</v>
      </c>
      <c r="K35" s="3"/>
      <c r="L35" s="4"/>
      <c r="N35" s="4"/>
    </row>
    <row r="36" spans="2:14" x14ac:dyDescent="0.3">
      <c r="B36" s="44">
        <v>45920</v>
      </c>
      <c r="C36" s="3" t="s">
        <v>416</v>
      </c>
      <c r="D36" s="3" t="s">
        <v>497</v>
      </c>
      <c r="E36" s="101"/>
      <c r="F36" s="17" t="s">
        <v>209</v>
      </c>
      <c r="G36" s="74">
        <v>3360705</v>
      </c>
      <c r="H36" s="4" t="s">
        <v>216</v>
      </c>
      <c r="I36" s="4">
        <v>3349808</v>
      </c>
      <c r="K36" s="3"/>
      <c r="L36" s="4"/>
      <c r="N36" s="4"/>
    </row>
    <row r="37" spans="2:14" x14ac:dyDescent="0.3">
      <c r="B37" s="44">
        <v>45920</v>
      </c>
      <c r="C37" s="3" t="s">
        <v>416</v>
      </c>
      <c r="D37" s="3" t="s">
        <v>497</v>
      </c>
      <c r="E37" s="101"/>
      <c r="F37" s="3" t="s">
        <v>172</v>
      </c>
      <c r="G37" s="74">
        <v>3350709</v>
      </c>
      <c r="H37" s="17" t="s">
        <v>215</v>
      </c>
      <c r="I37" s="74">
        <v>3350407</v>
      </c>
      <c r="K37" s="3"/>
      <c r="L37" s="4"/>
      <c r="N37" s="4"/>
    </row>
    <row r="38" spans="2:14" x14ac:dyDescent="0.3">
      <c r="B38" s="44">
        <v>45920</v>
      </c>
      <c r="C38" s="3" t="s">
        <v>416</v>
      </c>
      <c r="D38" s="3" t="s">
        <v>497</v>
      </c>
      <c r="E38" s="101"/>
      <c r="F38" s="17" t="s">
        <v>212</v>
      </c>
      <c r="G38" s="74">
        <v>3360007</v>
      </c>
      <c r="H38" s="3" t="s">
        <v>438</v>
      </c>
      <c r="I38" s="74">
        <v>3906207</v>
      </c>
      <c r="K38" s="3"/>
      <c r="L38" s="4"/>
      <c r="N38" s="4"/>
    </row>
    <row r="39" spans="2:14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  <c r="K39" s="3"/>
    </row>
    <row r="40" spans="2:14" x14ac:dyDescent="0.3">
      <c r="B40" s="44">
        <v>45927</v>
      </c>
      <c r="C40" s="3" t="s">
        <v>416</v>
      </c>
      <c r="D40" s="3" t="s">
        <v>497</v>
      </c>
      <c r="E40" s="101"/>
      <c r="F40" s="17" t="s">
        <v>213</v>
      </c>
      <c r="G40" s="74">
        <v>3359502</v>
      </c>
      <c r="H40" s="17" t="s">
        <v>428</v>
      </c>
      <c r="I40" s="74">
        <v>3360309</v>
      </c>
      <c r="K40" s="3"/>
      <c r="L40" s="4"/>
      <c r="N40" s="4"/>
    </row>
    <row r="41" spans="2:14" x14ac:dyDescent="0.3">
      <c r="B41" s="44">
        <v>45927</v>
      </c>
      <c r="C41" s="3" t="s">
        <v>416</v>
      </c>
      <c r="D41" s="3" t="s">
        <v>497</v>
      </c>
      <c r="E41" s="101"/>
      <c r="F41" s="17" t="s">
        <v>208</v>
      </c>
      <c r="G41" s="74">
        <v>3361308</v>
      </c>
      <c r="H41" s="17" t="s">
        <v>209</v>
      </c>
      <c r="I41" s="74">
        <v>3360705</v>
      </c>
      <c r="K41" s="3"/>
      <c r="L41" s="4"/>
      <c r="N41" s="4"/>
    </row>
    <row r="42" spans="2:14" x14ac:dyDescent="0.3">
      <c r="B42" s="44">
        <v>45927</v>
      </c>
      <c r="C42" s="3" t="s">
        <v>416</v>
      </c>
      <c r="D42" s="3" t="s">
        <v>497</v>
      </c>
      <c r="E42" s="101"/>
      <c r="F42" s="17" t="s">
        <v>215</v>
      </c>
      <c r="G42" s="74">
        <v>3350407</v>
      </c>
      <c r="H42" s="17" t="s">
        <v>212</v>
      </c>
      <c r="I42" s="74">
        <v>3360007</v>
      </c>
      <c r="K42" s="3"/>
      <c r="L42" s="4"/>
      <c r="N42" s="4"/>
    </row>
    <row r="43" spans="2:14" x14ac:dyDescent="0.3">
      <c r="B43" s="44">
        <v>45927</v>
      </c>
      <c r="C43" s="3" t="s">
        <v>416</v>
      </c>
      <c r="D43" s="3" t="s">
        <v>497</v>
      </c>
      <c r="E43" s="101"/>
      <c r="F43" s="3" t="s">
        <v>438</v>
      </c>
      <c r="G43" s="74">
        <v>3906207</v>
      </c>
      <c r="H43" s="17" t="s">
        <v>234</v>
      </c>
      <c r="I43" s="74">
        <v>3356807</v>
      </c>
      <c r="K43" s="3"/>
      <c r="L43" s="4"/>
      <c r="N43" s="4"/>
    </row>
    <row r="44" spans="2:14" x14ac:dyDescent="0.3">
      <c r="B44" s="44">
        <v>45927</v>
      </c>
      <c r="C44" s="3" t="s">
        <v>416</v>
      </c>
      <c r="D44" s="3" t="s">
        <v>497</v>
      </c>
      <c r="E44" s="101"/>
      <c r="F44" s="3" t="s">
        <v>216</v>
      </c>
      <c r="G44" s="4">
        <v>3349808</v>
      </c>
      <c r="H44" s="3" t="s">
        <v>175</v>
      </c>
      <c r="I44" s="74">
        <v>3347800</v>
      </c>
      <c r="K44" s="3"/>
      <c r="L44" s="4"/>
      <c r="N44" s="4"/>
    </row>
    <row r="45" spans="2:14" x14ac:dyDescent="0.3">
      <c r="B45" s="44">
        <v>45927</v>
      </c>
      <c r="C45" s="3" t="s">
        <v>416</v>
      </c>
      <c r="D45" s="3" t="s">
        <v>497</v>
      </c>
      <c r="E45" s="101"/>
      <c r="F45" s="15" t="s">
        <v>240</v>
      </c>
      <c r="G45" s="74">
        <v>3348403</v>
      </c>
      <c r="H45" s="3" t="s">
        <v>172</v>
      </c>
      <c r="I45" s="74">
        <v>3350709</v>
      </c>
      <c r="K45" s="3"/>
      <c r="L45" s="4"/>
      <c r="N45" s="4"/>
    </row>
    <row r="46" spans="2:14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  <c r="K46" s="3"/>
    </row>
    <row r="47" spans="2:14" x14ac:dyDescent="0.3">
      <c r="B47" s="44">
        <v>45934</v>
      </c>
      <c r="C47" s="3" t="s">
        <v>416</v>
      </c>
      <c r="D47" s="3" t="s">
        <v>497</v>
      </c>
      <c r="E47" s="101"/>
      <c r="F47" s="3" t="s">
        <v>175</v>
      </c>
      <c r="G47" s="74">
        <v>3347800</v>
      </c>
      <c r="H47" s="17" t="s">
        <v>208</v>
      </c>
      <c r="I47" s="74">
        <v>3361308</v>
      </c>
      <c r="K47" s="3"/>
      <c r="L47" s="4"/>
      <c r="N47" s="4"/>
    </row>
    <row r="48" spans="2:14" x14ac:dyDescent="0.3">
      <c r="B48" s="44">
        <v>45934</v>
      </c>
      <c r="C48" s="3" t="s">
        <v>416</v>
      </c>
      <c r="D48" s="3" t="s">
        <v>497</v>
      </c>
      <c r="E48" s="101"/>
      <c r="F48" s="17" t="s">
        <v>234</v>
      </c>
      <c r="G48" s="74">
        <v>3356807</v>
      </c>
      <c r="H48" s="17" t="s">
        <v>215</v>
      </c>
      <c r="I48" s="74">
        <v>3350407</v>
      </c>
      <c r="K48" s="3"/>
      <c r="L48" s="4"/>
      <c r="N48" s="4"/>
    </row>
    <row r="49" spans="2:14" x14ac:dyDescent="0.3">
      <c r="B49" s="44">
        <v>45934</v>
      </c>
      <c r="C49" s="3" t="s">
        <v>416</v>
      </c>
      <c r="D49" s="3" t="s">
        <v>497</v>
      </c>
      <c r="E49" s="101"/>
      <c r="F49" s="17" t="s">
        <v>209</v>
      </c>
      <c r="G49" s="74">
        <v>3360705</v>
      </c>
      <c r="H49" s="17" t="s">
        <v>428</v>
      </c>
      <c r="I49" s="74">
        <v>3360309</v>
      </c>
      <c r="K49" s="3"/>
      <c r="L49" s="4"/>
      <c r="N49" s="4"/>
    </row>
    <row r="50" spans="2:14" x14ac:dyDescent="0.3">
      <c r="B50" s="44">
        <v>45934</v>
      </c>
      <c r="C50" s="3" t="s">
        <v>416</v>
      </c>
      <c r="D50" s="3" t="s">
        <v>497</v>
      </c>
      <c r="E50" s="101"/>
      <c r="F50" s="3" t="s">
        <v>172</v>
      </c>
      <c r="G50" s="74">
        <v>3350709</v>
      </c>
      <c r="H50" s="4" t="s">
        <v>216</v>
      </c>
      <c r="I50" s="4">
        <v>3349808</v>
      </c>
      <c r="K50" s="3"/>
      <c r="L50" s="4"/>
      <c r="N50" s="4"/>
    </row>
    <row r="51" spans="2:14" x14ac:dyDescent="0.3">
      <c r="B51" s="44">
        <v>45934</v>
      </c>
      <c r="C51" s="3" t="s">
        <v>416</v>
      </c>
      <c r="D51" s="3" t="s">
        <v>497</v>
      </c>
      <c r="E51" s="101"/>
      <c r="F51" s="3" t="s">
        <v>438</v>
      </c>
      <c r="G51" s="74">
        <v>3906207</v>
      </c>
      <c r="H51" s="17" t="s">
        <v>213</v>
      </c>
      <c r="I51" s="74">
        <v>3359502</v>
      </c>
      <c r="K51" s="3"/>
      <c r="L51" s="4"/>
      <c r="N51" s="4"/>
    </row>
    <row r="52" spans="2:14" x14ac:dyDescent="0.3">
      <c r="B52" s="44">
        <v>45934</v>
      </c>
      <c r="C52" s="3" t="s">
        <v>416</v>
      </c>
      <c r="D52" s="3" t="s">
        <v>497</v>
      </c>
      <c r="E52" s="101"/>
      <c r="F52" s="17" t="s">
        <v>212</v>
      </c>
      <c r="G52" s="74">
        <v>3360007</v>
      </c>
      <c r="H52" s="15" t="s">
        <v>240</v>
      </c>
      <c r="I52" s="74">
        <v>3348403</v>
      </c>
      <c r="K52" s="3"/>
      <c r="L52" s="4"/>
      <c r="N52" s="4"/>
    </row>
    <row r="53" spans="2:14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  <c r="K53" s="3"/>
    </row>
    <row r="54" spans="2:14" x14ac:dyDescent="0.3">
      <c r="B54" s="44">
        <v>45941</v>
      </c>
      <c r="C54" s="3" t="s">
        <v>416</v>
      </c>
      <c r="D54" s="3" t="s">
        <v>497</v>
      </c>
      <c r="E54" s="101"/>
      <c r="F54" s="17" t="s">
        <v>213</v>
      </c>
      <c r="G54" s="74">
        <v>3359502</v>
      </c>
      <c r="H54" s="17" t="s">
        <v>209</v>
      </c>
      <c r="I54" s="74">
        <v>3360705</v>
      </c>
      <c r="K54" s="3"/>
      <c r="L54" s="4"/>
      <c r="N54" s="4"/>
    </row>
    <row r="55" spans="2:14" x14ac:dyDescent="0.3">
      <c r="B55" s="44">
        <v>45941</v>
      </c>
      <c r="C55" s="3" t="s">
        <v>416</v>
      </c>
      <c r="D55" s="3" t="s">
        <v>497</v>
      </c>
      <c r="E55" s="101"/>
      <c r="F55" s="17" t="s">
        <v>428</v>
      </c>
      <c r="G55" s="74">
        <v>3360309</v>
      </c>
      <c r="H55" s="3" t="s">
        <v>175</v>
      </c>
      <c r="I55" s="74">
        <v>3347800</v>
      </c>
      <c r="K55" s="3"/>
      <c r="L55" s="4"/>
      <c r="N55" s="4"/>
    </row>
    <row r="56" spans="2:14" x14ac:dyDescent="0.3">
      <c r="B56" s="44">
        <v>45941</v>
      </c>
      <c r="C56" s="3" t="s">
        <v>416</v>
      </c>
      <c r="D56" s="3" t="s">
        <v>497</v>
      </c>
      <c r="E56" s="101"/>
      <c r="F56" s="17" t="s">
        <v>208</v>
      </c>
      <c r="G56" s="74">
        <v>3361308</v>
      </c>
      <c r="H56" s="3" t="s">
        <v>172</v>
      </c>
      <c r="I56" s="74">
        <v>3350709</v>
      </c>
      <c r="K56" s="3"/>
      <c r="L56" s="4"/>
      <c r="N56" s="4"/>
    </row>
    <row r="57" spans="2:14" x14ac:dyDescent="0.3">
      <c r="B57" s="44">
        <v>45941</v>
      </c>
      <c r="C57" s="3" t="s">
        <v>416</v>
      </c>
      <c r="D57" s="3" t="s">
        <v>497</v>
      </c>
      <c r="E57" s="101"/>
      <c r="F57" s="17" t="s">
        <v>215</v>
      </c>
      <c r="G57" s="74">
        <v>3350407</v>
      </c>
      <c r="H57" s="3" t="s">
        <v>438</v>
      </c>
      <c r="I57" s="74">
        <v>3906207</v>
      </c>
      <c r="K57" s="3"/>
      <c r="L57" s="4"/>
      <c r="N57" s="4"/>
    </row>
    <row r="58" spans="2:14" x14ac:dyDescent="0.3">
      <c r="B58" s="44">
        <v>45941</v>
      </c>
      <c r="C58" s="3" t="s">
        <v>416</v>
      </c>
      <c r="D58" s="3" t="s">
        <v>497</v>
      </c>
      <c r="E58" s="101"/>
      <c r="F58" s="3" t="s">
        <v>216</v>
      </c>
      <c r="G58" s="4">
        <v>3349808</v>
      </c>
      <c r="H58" s="17" t="s">
        <v>212</v>
      </c>
      <c r="I58" s="74">
        <v>3360007</v>
      </c>
      <c r="K58" s="3"/>
      <c r="L58" s="4"/>
      <c r="N58" s="4"/>
    </row>
    <row r="59" spans="2:14" x14ac:dyDescent="0.3">
      <c r="B59" s="44">
        <v>45941</v>
      </c>
      <c r="C59" s="3" t="s">
        <v>416</v>
      </c>
      <c r="D59" s="3" t="s">
        <v>497</v>
      </c>
      <c r="E59" s="101"/>
      <c r="F59" s="15" t="s">
        <v>240</v>
      </c>
      <c r="G59" s="74">
        <v>3348403</v>
      </c>
      <c r="H59" s="17" t="s">
        <v>234</v>
      </c>
      <c r="I59" s="74">
        <v>3356807</v>
      </c>
      <c r="K59" s="3"/>
      <c r="L59" s="4"/>
      <c r="N59" s="4"/>
    </row>
    <row r="60" spans="2:14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  <c r="K60" s="3"/>
    </row>
    <row r="61" spans="2:14" x14ac:dyDescent="0.3">
      <c r="B61" s="44">
        <v>45948</v>
      </c>
      <c r="C61" s="3" t="s">
        <v>416</v>
      </c>
      <c r="D61" s="3" t="s">
        <v>497</v>
      </c>
      <c r="E61" s="101"/>
      <c r="F61" s="3" t="s">
        <v>175</v>
      </c>
      <c r="G61" s="74">
        <v>3347800</v>
      </c>
      <c r="H61" s="17" t="s">
        <v>209</v>
      </c>
      <c r="I61" s="74">
        <v>3360705</v>
      </c>
      <c r="K61" s="3"/>
      <c r="L61" s="4"/>
      <c r="N61" s="4"/>
    </row>
    <row r="62" spans="2:14" x14ac:dyDescent="0.3">
      <c r="B62" s="44">
        <v>45948</v>
      </c>
      <c r="C62" s="3" t="s">
        <v>416</v>
      </c>
      <c r="D62" s="3" t="s">
        <v>497</v>
      </c>
      <c r="E62" s="101"/>
      <c r="F62" s="17" t="s">
        <v>234</v>
      </c>
      <c r="G62" s="74">
        <v>3356807</v>
      </c>
      <c r="H62" s="4" t="s">
        <v>216</v>
      </c>
      <c r="I62" s="4">
        <v>3349808</v>
      </c>
      <c r="K62" s="3"/>
      <c r="L62" s="4"/>
      <c r="N62" s="4"/>
    </row>
    <row r="63" spans="2:14" x14ac:dyDescent="0.3">
      <c r="B63" s="44">
        <v>45948</v>
      </c>
      <c r="C63" s="3" t="s">
        <v>416</v>
      </c>
      <c r="D63" s="3" t="s">
        <v>497</v>
      </c>
      <c r="E63" s="101"/>
      <c r="F63" s="17" t="s">
        <v>215</v>
      </c>
      <c r="G63" s="74">
        <v>3350407</v>
      </c>
      <c r="H63" s="17" t="s">
        <v>213</v>
      </c>
      <c r="I63" s="74">
        <v>3359502</v>
      </c>
      <c r="K63" s="3"/>
      <c r="L63" s="4"/>
      <c r="N63" s="4"/>
    </row>
    <row r="64" spans="2:14" x14ac:dyDescent="0.3">
      <c r="B64" s="44">
        <v>45948</v>
      </c>
      <c r="C64" s="3" t="s">
        <v>416</v>
      </c>
      <c r="D64" s="3" t="s">
        <v>497</v>
      </c>
      <c r="E64" s="101"/>
      <c r="F64" s="3" t="s">
        <v>172</v>
      </c>
      <c r="G64" s="74">
        <v>3350709</v>
      </c>
      <c r="H64" s="17" t="s">
        <v>428</v>
      </c>
      <c r="I64" s="74">
        <v>3360309</v>
      </c>
      <c r="K64" s="3"/>
      <c r="L64" s="4"/>
      <c r="N64" s="4"/>
    </row>
    <row r="65" spans="2:14" x14ac:dyDescent="0.3">
      <c r="B65" s="44">
        <v>45948</v>
      </c>
      <c r="C65" s="3" t="s">
        <v>416</v>
      </c>
      <c r="D65" s="3" t="s">
        <v>497</v>
      </c>
      <c r="E65" s="101"/>
      <c r="F65" s="3" t="s">
        <v>438</v>
      </c>
      <c r="G65" s="74">
        <v>3906207</v>
      </c>
      <c r="H65" s="15" t="s">
        <v>240</v>
      </c>
      <c r="I65" s="74">
        <v>3348403</v>
      </c>
      <c r="K65" s="3"/>
      <c r="L65" s="4"/>
      <c r="N65" s="4"/>
    </row>
    <row r="66" spans="2:14" x14ac:dyDescent="0.3">
      <c r="B66" s="44">
        <v>45948</v>
      </c>
      <c r="C66" s="3" t="s">
        <v>416</v>
      </c>
      <c r="D66" s="3" t="s">
        <v>497</v>
      </c>
      <c r="E66" s="101"/>
      <c r="F66" s="17" t="s">
        <v>212</v>
      </c>
      <c r="G66" s="74">
        <v>3360007</v>
      </c>
      <c r="H66" s="17" t="s">
        <v>208</v>
      </c>
      <c r="I66" s="74">
        <v>3361308</v>
      </c>
      <c r="K66" s="3"/>
      <c r="L66" s="4"/>
      <c r="N66" s="4"/>
    </row>
    <row r="67" spans="2:14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  <c r="K67" s="3"/>
    </row>
    <row r="68" spans="2:14" x14ac:dyDescent="0.3">
      <c r="B68" s="44">
        <v>45962</v>
      </c>
      <c r="C68" s="3" t="s">
        <v>416</v>
      </c>
      <c r="D68" s="3" t="s">
        <v>497</v>
      </c>
      <c r="E68" s="101"/>
      <c r="F68" s="17" t="s">
        <v>213</v>
      </c>
      <c r="G68" s="74">
        <v>3359502</v>
      </c>
      <c r="H68" s="3" t="s">
        <v>175</v>
      </c>
      <c r="I68" s="74">
        <v>3347800</v>
      </c>
      <c r="K68" s="3"/>
      <c r="L68" s="4"/>
      <c r="N68" s="4"/>
    </row>
    <row r="69" spans="2:14" x14ac:dyDescent="0.3">
      <c r="B69" s="44">
        <v>45962</v>
      </c>
      <c r="C69" s="3" t="s">
        <v>416</v>
      </c>
      <c r="D69" s="3" t="s">
        <v>497</v>
      </c>
      <c r="E69" s="101"/>
      <c r="F69" s="17" t="s">
        <v>428</v>
      </c>
      <c r="G69" s="74">
        <v>3360309</v>
      </c>
      <c r="H69" s="17" t="s">
        <v>212</v>
      </c>
      <c r="I69" s="74">
        <v>3360007</v>
      </c>
      <c r="K69" s="3"/>
      <c r="L69" s="4"/>
      <c r="N69" s="4"/>
    </row>
    <row r="70" spans="2:14" x14ac:dyDescent="0.3">
      <c r="B70" s="44">
        <v>45962</v>
      </c>
      <c r="C70" s="3" t="s">
        <v>416</v>
      </c>
      <c r="D70" s="3" t="s">
        <v>497</v>
      </c>
      <c r="E70" s="101"/>
      <c r="F70" s="17" t="s">
        <v>209</v>
      </c>
      <c r="G70" s="74">
        <v>3360705</v>
      </c>
      <c r="H70" s="3" t="s">
        <v>172</v>
      </c>
      <c r="I70" s="74">
        <v>3350709</v>
      </c>
      <c r="K70" s="3"/>
      <c r="L70" s="4"/>
      <c r="N70" s="4"/>
    </row>
    <row r="71" spans="2:14" x14ac:dyDescent="0.3">
      <c r="B71" s="44">
        <v>45962</v>
      </c>
      <c r="C71" s="3" t="s">
        <v>416</v>
      </c>
      <c r="D71" s="3" t="s">
        <v>497</v>
      </c>
      <c r="E71" s="101"/>
      <c r="F71" s="17" t="s">
        <v>208</v>
      </c>
      <c r="G71" s="74">
        <v>3361308</v>
      </c>
      <c r="H71" s="17" t="s">
        <v>234</v>
      </c>
      <c r="I71" s="74">
        <v>3356807</v>
      </c>
      <c r="K71" s="3"/>
      <c r="L71" s="4"/>
      <c r="N71" s="4"/>
    </row>
    <row r="72" spans="2:14" x14ac:dyDescent="0.3">
      <c r="B72" s="44">
        <v>45962</v>
      </c>
      <c r="C72" s="3" t="s">
        <v>416</v>
      </c>
      <c r="D72" s="3" t="s">
        <v>497</v>
      </c>
      <c r="E72" s="101"/>
      <c r="F72" s="3" t="s">
        <v>216</v>
      </c>
      <c r="G72" s="4">
        <v>3349808</v>
      </c>
      <c r="H72" s="3" t="s">
        <v>438</v>
      </c>
      <c r="I72" s="74">
        <v>3906207</v>
      </c>
      <c r="K72" s="3"/>
      <c r="L72" s="4"/>
      <c r="N72" s="4"/>
    </row>
    <row r="73" spans="2:14" x14ac:dyDescent="0.3">
      <c r="B73" s="44">
        <v>45962</v>
      </c>
      <c r="C73" s="3" t="s">
        <v>416</v>
      </c>
      <c r="D73" s="3" t="s">
        <v>497</v>
      </c>
      <c r="E73" s="101"/>
      <c r="F73" s="15" t="s">
        <v>240</v>
      </c>
      <c r="G73" s="74">
        <v>3348403</v>
      </c>
      <c r="H73" s="17" t="s">
        <v>215</v>
      </c>
      <c r="I73" s="74">
        <v>3350407</v>
      </c>
      <c r="K73" s="3"/>
      <c r="L73" s="4"/>
      <c r="N73" s="4"/>
    </row>
    <row r="74" spans="2:14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  <c r="K74" s="3"/>
    </row>
    <row r="75" spans="2:14" x14ac:dyDescent="0.3">
      <c r="B75" s="44">
        <v>45969</v>
      </c>
      <c r="C75" s="3" t="s">
        <v>416</v>
      </c>
      <c r="D75" s="3" t="s">
        <v>497</v>
      </c>
      <c r="E75" s="101"/>
      <c r="F75" s="17" t="s">
        <v>234</v>
      </c>
      <c r="G75" s="74">
        <v>3356807</v>
      </c>
      <c r="H75" s="17" t="s">
        <v>428</v>
      </c>
      <c r="I75" s="74">
        <v>3360309</v>
      </c>
      <c r="K75" s="3"/>
      <c r="L75" s="4"/>
      <c r="N75" s="4"/>
    </row>
    <row r="76" spans="2:14" x14ac:dyDescent="0.3">
      <c r="B76" s="44">
        <v>45969</v>
      </c>
      <c r="C76" s="3" t="s">
        <v>416</v>
      </c>
      <c r="D76" s="3" t="s">
        <v>497</v>
      </c>
      <c r="E76" s="101"/>
      <c r="F76" s="17" t="s">
        <v>215</v>
      </c>
      <c r="G76" s="74">
        <v>3350407</v>
      </c>
      <c r="H76" s="4" t="s">
        <v>216</v>
      </c>
      <c r="I76" s="4">
        <v>3349808</v>
      </c>
      <c r="K76" s="3"/>
      <c r="L76" s="4"/>
      <c r="N76" s="4"/>
    </row>
    <row r="77" spans="2:14" x14ac:dyDescent="0.3">
      <c r="B77" s="44">
        <v>45969</v>
      </c>
      <c r="C77" s="3" t="s">
        <v>416</v>
      </c>
      <c r="D77" s="3" t="s">
        <v>497</v>
      </c>
      <c r="E77" s="101"/>
      <c r="F77" s="3" t="s">
        <v>172</v>
      </c>
      <c r="G77" s="74">
        <v>3350709</v>
      </c>
      <c r="H77" s="3" t="s">
        <v>175</v>
      </c>
      <c r="I77" s="74">
        <v>3347800</v>
      </c>
      <c r="K77" s="3"/>
      <c r="L77" s="4"/>
      <c r="N77" s="4"/>
    </row>
    <row r="78" spans="2:14" x14ac:dyDescent="0.3">
      <c r="B78" s="44">
        <v>45969</v>
      </c>
      <c r="C78" s="3" t="s">
        <v>416</v>
      </c>
      <c r="D78" s="3" t="s">
        <v>497</v>
      </c>
      <c r="E78" s="101"/>
      <c r="F78" s="3" t="s">
        <v>438</v>
      </c>
      <c r="G78" s="74">
        <v>3906207</v>
      </c>
      <c r="H78" s="17" t="s">
        <v>208</v>
      </c>
      <c r="I78" s="74">
        <v>3361308</v>
      </c>
      <c r="K78" s="3"/>
      <c r="L78" s="4"/>
      <c r="N78" s="4"/>
    </row>
    <row r="79" spans="2:14" x14ac:dyDescent="0.3">
      <c r="B79" s="44">
        <v>45969</v>
      </c>
      <c r="C79" s="3" t="s">
        <v>416</v>
      </c>
      <c r="D79" s="3" t="s">
        <v>497</v>
      </c>
      <c r="E79" s="101"/>
      <c r="F79" s="17" t="s">
        <v>212</v>
      </c>
      <c r="G79" s="74">
        <v>3360007</v>
      </c>
      <c r="H79" s="17" t="s">
        <v>209</v>
      </c>
      <c r="I79" s="74">
        <v>3360705</v>
      </c>
      <c r="K79" s="3"/>
      <c r="L79" s="4"/>
      <c r="N79" s="4"/>
    </row>
    <row r="80" spans="2:14" x14ac:dyDescent="0.3">
      <c r="B80" s="44">
        <v>45969</v>
      </c>
      <c r="C80" s="3" t="s">
        <v>416</v>
      </c>
      <c r="D80" s="3" t="s">
        <v>497</v>
      </c>
      <c r="E80" s="101"/>
      <c r="F80" s="15" t="s">
        <v>240</v>
      </c>
      <c r="G80" s="74">
        <v>3348403</v>
      </c>
      <c r="H80" s="17" t="s">
        <v>213</v>
      </c>
      <c r="I80" s="74">
        <v>3359502</v>
      </c>
      <c r="K80" s="3"/>
      <c r="L80" s="4"/>
      <c r="N80" s="4"/>
    </row>
    <row r="81" spans="2:14" x14ac:dyDescent="0.3">
      <c r="B81" s="4"/>
      <c r="E81" s="101"/>
      <c r="G81" s="4"/>
      <c r="H81" s="4"/>
      <c r="I81" s="4"/>
      <c r="K81" s="3"/>
    </row>
    <row r="82" spans="2:14" x14ac:dyDescent="0.3">
      <c r="B82" s="44">
        <v>45976</v>
      </c>
      <c r="C82" s="3" t="s">
        <v>416</v>
      </c>
      <c r="D82" s="3" t="s">
        <v>497</v>
      </c>
      <c r="E82" s="101"/>
      <c r="F82" s="3" t="s">
        <v>175</v>
      </c>
      <c r="G82" s="74">
        <v>3347800</v>
      </c>
      <c r="H82" s="17" t="s">
        <v>212</v>
      </c>
      <c r="I82" s="74">
        <v>3360007</v>
      </c>
      <c r="K82" s="3"/>
      <c r="L82" s="4"/>
      <c r="N82" s="4"/>
    </row>
    <row r="83" spans="2:14" x14ac:dyDescent="0.3">
      <c r="B83" s="44">
        <v>45976</v>
      </c>
      <c r="C83" s="3" t="s">
        <v>416</v>
      </c>
      <c r="D83" s="3" t="s">
        <v>497</v>
      </c>
      <c r="E83" s="101"/>
      <c r="F83" s="17" t="s">
        <v>213</v>
      </c>
      <c r="G83" s="74">
        <v>3359502</v>
      </c>
      <c r="H83" s="3" t="s">
        <v>172</v>
      </c>
      <c r="I83" s="74">
        <v>3350709</v>
      </c>
      <c r="K83" s="3"/>
      <c r="L83" s="4"/>
      <c r="N83" s="4"/>
    </row>
    <row r="84" spans="2:14" x14ac:dyDescent="0.3">
      <c r="B84" s="44">
        <v>45976</v>
      </c>
      <c r="C84" s="3" t="s">
        <v>416</v>
      </c>
      <c r="D84" s="3" t="s">
        <v>497</v>
      </c>
      <c r="E84" s="101"/>
      <c r="F84" s="17" t="s">
        <v>428</v>
      </c>
      <c r="G84" s="74">
        <v>3360309</v>
      </c>
      <c r="H84" s="3" t="s">
        <v>438</v>
      </c>
      <c r="I84" s="74">
        <v>3906207</v>
      </c>
      <c r="K84" s="3"/>
      <c r="L84" s="4"/>
      <c r="N84" s="4"/>
    </row>
    <row r="85" spans="2:14" x14ac:dyDescent="0.3">
      <c r="B85" s="44">
        <v>45976</v>
      </c>
      <c r="C85" s="3" t="s">
        <v>416</v>
      </c>
      <c r="D85" s="3" t="s">
        <v>497</v>
      </c>
      <c r="E85" s="101"/>
      <c r="F85" s="17" t="s">
        <v>209</v>
      </c>
      <c r="G85" s="74">
        <v>3360705</v>
      </c>
      <c r="H85" s="17" t="s">
        <v>234</v>
      </c>
      <c r="I85" s="74">
        <v>3356807</v>
      </c>
      <c r="K85" s="3"/>
      <c r="L85" s="4"/>
      <c r="N85" s="4"/>
    </row>
    <row r="86" spans="2:14" x14ac:dyDescent="0.3">
      <c r="B86" s="44">
        <v>45976</v>
      </c>
      <c r="C86" s="3" t="s">
        <v>416</v>
      </c>
      <c r="D86" s="3" t="s">
        <v>497</v>
      </c>
      <c r="E86" s="101"/>
      <c r="F86" s="17" t="s">
        <v>208</v>
      </c>
      <c r="G86" s="74">
        <v>3361308</v>
      </c>
      <c r="H86" s="17" t="s">
        <v>215</v>
      </c>
      <c r="I86" s="74">
        <v>3350407</v>
      </c>
      <c r="K86" s="3"/>
      <c r="L86" s="4"/>
      <c r="N86" s="4"/>
    </row>
    <row r="87" spans="2:14" x14ac:dyDescent="0.3">
      <c r="B87" s="44">
        <v>45976</v>
      </c>
      <c r="C87" s="3" t="s">
        <v>416</v>
      </c>
      <c r="D87" s="3" t="s">
        <v>497</v>
      </c>
      <c r="E87" s="101"/>
      <c r="F87" s="3" t="s">
        <v>216</v>
      </c>
      <c r="G87" s="4">
        <v>3349808</v>
      </c>
      <c r="H87" s="15" t="s">
        <v>240</v>
      </c>
      <c r="I87" s="74">
        <v>3348403</v>
      </c>
      <c r="K87" s="3"/>
      <c r="L87" s="4"/>
      <c r="N87" s="4"/>
    </row>
    <row r="88" spans="2:14" x14ac:dyDescent="0.3">
      <c r="B88" s="4"/>
      <c r="E88" s="101"/>
      <c r="G88" s="4"/>
      <c r="H88" s="4"/>
      <c r="I88" s="4"/>
      <c r="K88" s="3"/>
    </row>
    <row r="89" spans="2:14" x14ac:dyDescent="0.3">
      <c r="B89" s="44">
        <v>45983</v>
      </c>
      <c r="C89" s="3" t="s">
        <v>416</v>
      </c>
      <c r="D89" s="3" t="s">
        <v>497</v>
      </c>
      <c r="E89" s="101"/>
      <c r="F89" s="15" t="s">
        <v>240</v>
      </c>
      <c r="G89" s="74">
        <v>3348403</v>
      </c>
      <c r="H89" s="17" t="s">
        <v>208</v>
      </c>
      <c r="I89" s="74">
        <v>3361308</v>
      </c>
      <c r="K89" s="3"/>
      <c r="L89" s="4"/>
      <c r="N89" s="4"/>
    </row>
    <row r="90" spans="2:14" x14ac:dyDescent="0.3">
      <c r="B90" s="44">
        <v>45983</v>
      </c>
      <c r="C90" s="3" t="s">
        <v>416</v>
      </c>
      <c r="D90" s="3" t="s">
        <v>497</v>
      </c>
      <c r="E90" s="101"/>
      <c r="F90" s="3" t="s">
        <v>175</v>
      </c>
      <c r="G90" s="74">
        <v>3347800</v>
      </c>
      <c r="H90" s="17" t="s">
        <v>234</v>
      </c>
      <c r="I90" s="74">
        <v>3356807</v>
      </c>
      <c r="K90" s="17"/>
      <c r="L90" s="74"/>
      <c r="N90" s="74"/>
    </row>
    <row r="91" spans="2:14" x14ac:dyDescent="0.3">
      <c r="B91" s="44">
        <v>45983</v>
      </c>
      <c r="C91" s="3" t="s">
        <v>416</v>
      </c>
      <c r="D91" s="3" t="s">
        <v>497</v>
      </c>
      <c r="E91" s="101"/>
      <c r="F91" s="17" t="s">
        <v>428</v>
      </c>
      <c r="G91" s="74">
        <v>3360309</v>
      </c>
      <c r="H91" s="17" t="s">
        <v>215</v>
      </c>
      <c r="I91" s="74">
        <v>3350407</v>
      </c>
      <c r="K91" s="17"/>
      <c r="L91" s="74"/>
      <c r="M91" s="17"/>
      <c r="N91" s="74"/>
    </row>
    <row r="92" spans="2:14" x14ac:dyDescent="0.3">
      <c r="B92" s="44">
        <v>45983</v>
      </c>
      <c r="C92" s="3" t="s">
        <v>416</v>
      </c>
      <c r="D92" s="3" t="s">
        <v>497</v>
      </c>
      <c r="E92" s="101"/>
      <c r="F92" s="3" t="s">
        <v>438</v>
      </c>
      <c r="G92" s="74">
        <v>3906207</v>
      </c>
      <c r="H92" s="17" t="s">
        <v>209</v>
      </c>
      <c r="I92" s="74">
        <v>3360705</v>
      </c>
      <c r="K92" s="3"/>
      <c r="L92" s="4"/>
      <c r="N92" s="4"/>
    </row>
    <row r="93" spans="2:14" x14ac:dyDescent="0.3">
      <c r="B93" s="44">
        <v>45983</v>
      </c>
      <c r="C93" s="3" t="s">
        <v>416</v>
      </c>
      <c r="D93" s="3" t="s">
        <v>497</v>
      </c>
      <c r="E93" s="101"/>
      <c r="F93" s="17" t="s">
        <v>212</v>
      </c>
      <c r="G93" s="74">
        <v>3360007</v>
      </c>
      <c r="H93" s="3" t="s">
        <v>172</v>
      </c>
      <c r="I93" s="74">
        <v>3350709</v>
      </c>
      <c r="K93" s="3"/>
      <c r="L93" s="4"/>
      <c r="N93" s="4"/>
    </row>
    <row r="94" spans="2:14" x14ac:dyDescent="0.3">
      <c r="B94" s="44">
        <v>45983</v>
      </c>
      <c r="C94" s="3" t="s">
        <v>416</v>
      </c>
      <c r="D94" s="3" t="s">
        <v>497</v>
      </c>
      <c r="E94" s="101"/>
      <c r="F94" s="17" t="s">
        <v>213</v>
      </c>
      <c r="G94" s="74">
        <v>3359502</v>
      </c>
      <c r="H94" s="3" t="s">
        <v>216</v>
      </c>
      <c r="I94" s="4">
        <v>3349808</v>
      </c>
      <c r="K94" s="3"/>
      <c r="L94" s="4"/>
      <c r="N94" s="4"/>
    </row>
    <row r="95" spans="2:14" x14ac:dyDescent="0.3">
      <c r="B95" s="4"/>
      <c r="E95" s="101"/>
      <c r="G95" s="4"/>
      <c r="H95" s="4"/>
      <c r="I95" s="4"/>
      <c r="K95" s="3"/>
    </row>
    <row r="96" spans="2:14" x14ac:dyDescent="0.3">
      <c r="B96" s="44">
        <v>45990</v>
      </c>
      <c r="C96" s="3" t="s">
        <v>416</v>
      </c>
      <c r="D96" s="3" t="s">
        <v>497</v>
      </c>
      <c r="E96" s="101"/>
      <c r="F96" s="17" t="s">
        <v>234</v>
      </c>
      <c r="G96" s="74">
        <v>3356807</v>
      </c>
      <c r="H96" s="17" t="s">
        <v>212</v>
      </c>
      <c r="I96" s="74">
        <v>3360007</v>
      </c>
      <c r="K96" s="3"/>
      <c r="L96" s="4"/>
      <c r="N96" s="4"/>
    </row>
    <row r="97" spans="2:14" x14ac:dyDescent="0.3">
      <c r="B97" s="44">
        <v>45990</v>
      </c>
      <c r="C97" s="3" t="s">
        <v>416</v>
      </c>
      <c r="D97" s="3" t="s">
        <v>497</v>
      </c>
      <c r="E97" s="101"/>
      <c r="F97" s="17" t="s">
        <v>208</v>
      </c>
      <c r="G97" s="74">
        <v>3361308</v>
      </c>
      <c r="H97" s="17" t="s">
        <v>213</v>
      </c>
      <c r="I97" s="74">
        <v>3359502</v>
      </c>
      <c r="K97" s="3"/>
      <c r="L97" s="4"/>
      <c r="N97" s="4"/>
    </row>
    <row r="98" spans="2:14" x14ac:dyDescent="0.3">
      <c r="B98" s="44">
        <v>45990</v>
      </c>
      <c r="C98" s="3" t="s">
        <v>416</v>
      </c>
      <c r="D98" s="3" t="s">
        <v>497</v>
      </c>
      <c r="E98" s="101"/>
      <c r="F98" s="17" t="s">
        <v>215</v>
      </c>
      <c r="G98" s="74">
        <v>3350407</v>
      </c>
      <c r="H98" s="3" t="s">
        <v>175</v>
      </c>
      <c r="I98" s="74">
        <v>3347800</v>
      </c>
      <c r="K98" s="3"/>
      <c r="L98" s="74"/>
      <c r="M98" s="17"/>
      <c r="N98" s="74"/>
    </row>
    <row r="99" spans="2:14" x14ac:dyDescent="0.3">
      <c r="B99" s="44">
        <v>45990</v>
      </c>
      <c r="C99" s="3" t="s">
        <v>416</v>
      </c>
      <c r="D99" s="3" t="s">
        <v>497</v>
      </c>
      <c r="E99" s="101"/>
      <c r="F99" s="3" t="s">
        <v>172</v>
      </c>
      <c r="G99" s="74">
        <v>3350709</v>
      </c>
      <c r="H99" s="3" t="s">
        <v>438</v>
      </c>
      <c r="I99" s="74">
        <v>3906207</v>
      </c>
      <c r="K99" s="3"/>
      <c r="L99" s="4"/>
      <c r="N99" s="4"/>
    </row>
    <row r="100" spans="2:14" x14ac:dyDescent="0.3">
      <c r="B100" s="44">
        <v>45990</v>
      </c>
      <c r="C100" s="3" t="s">
        <v>416</v>
      </c>
      <c r="D100" s="3" t="s">
        <v>497</v>
      </c>
      <c r="E100" s="101"/>
      <c r="F100" s="3" t="s">
        <v>216</v>
      </c>
      <c r="G100" s="4">
        <v>3349808</v>
      </c>
      <c r="H100" s="17" t="s">
        <v>428</v>
      </c>
      <c r="I100" s="74">
        <v>3360309</v>
      </c>
      <c r="K100" s="3"/>
      <c r="L100" s="4"/>
      <c r="N100" s="4"/>
    </row>
    <row r="101" spans="2:14" x14ac:dyDescent="0.3">
      <c r="B101" s="44">
        <v>45990</v>
      </c>
      <c r="C101" s="3" t="s">
        <v>416</v>
      </c>
      <c r="D101" s="3" t="s">
        <v>497</v>
      </c>
      <c r="E101" s="101"/>
      <c r="F101" s="17" t="s">
        <v>209</v>
      </c>
      <c r="G101" s="74">
        <v>3360705</v>
      </c>
      <c r="H101" s="15" t="s">
        <v>240</v>
      </c>
      <c r="I101" s="74">
        <v>3348403</v>
      </c>
      <c r="K101" s="17"/>
      <c r="L101" s="74"/>
      <c r="N101" s="4"/>
    </row>
    <row r="102" spans="2:14" x14ac:dyDescent="0.3">
      <c r="B102" s="4"/>
      <c r="E102" s="101"/>
      <c r="G102" s="4"/>
      <c r="H102" s="4"/>
      <c r="I102" s="4"/>
      <c r="K102" s="3"/>
    </row>
    <row r="103" spans="2:14" x14ac:dyDescent="0.3">
      <c r="B103" s="44">
        <v>46032</v>
      </c>
      <c r="C103" s="3" t="s">
        <v>416</v>
      </c>
      <c r="D103" s="3" t="s">
        <v>497</v>
      </c>
      <c r="E103" s="101"/>
      <c r="F103" s="3" t="s">
        <v>216</v>
      </c>
      <c r="G103" s="4">
        <v>3349808</v>
      </c>
      <c r="H103" s="17" t="s">
        <v>208</v>
      </c>
      <c r="I103" s="74">
        <v>3361308</v>
      </c>
      <c r="K103" s="3"/>
      <c r="L103" s="4"/>
      <c r="M103" s="4"/>
      <c r="N103" s="4"/>
    </row>
    <row r="104" spans="2:14" x14ac:dyDescent="0.3">
      <c r="B104" s="44">
        <v>46032</v>
      </c>
      <c r="C104" s="3" t="s">
        <v>416</v>
      </c>
      <c r="D104" s="3" t="s">
        <v>497</v>
      </c>
      <c r="E104" s="101"/>
      <c r="F104" s="17" t="s">
        <v>428</v>
      </c>
      <c r="G104" s="74">
        <v>3360309</v>
      </c>
      <c r="H104" s="15" t="s">
        <v>240</v>
      </c>
      <c r="I104" s="74">
        <v>3348403</v>
      </c>
      <c r="K104" s="3"/>
      <c r="L104" s="4"/>
      <c r="M104" s="4"/>
      <c r="N104" s="4"/>
    </row>
    <row r="105" spans="2:14" x14ac:dyDescent="0.3">
      <c r="B105" s="44">
        <v>46032</v>
      </c>
      <c r="C105" s="3" t="s">
        <v>416</v>
      </c>
      <c r="D105" s="3" t="s">
        <v>497</v>
      </c>
      <c r="E105" s="101"/>
      <c r="F105" s="3" t="s">
        <v>172</v>
      </c>
      <c r="G105" s="74">
        <v>3350709</v>
      </c>
      <c r="H105" s="17" t="s">
        <v>234</v>
      </c>
      <c r="I105" s="74">
        <v>3356807</v>
      </c>
      <c r="K105" s="3"/>
      <c r="L105" s="4"/>
      <c r="M105" s="4"/>
      <c r="N105" s="4"/>
    </row>
    <row r="106" spans="2:14" x14ac:dyDescent="0.3">
      <c r="B106" s="44">
        <v>46032</v>
      </c>
      <c r="C106" s="3" t="s">
        <v>416</v>
      </c>
      <c r="D106" s="3" t="s">
        <v>497</v>
      </c>
      <c r="E106" s="101"/>
      <c r="F106" s="17" t="s">
        <v>209</v>
      </c>
      <c r="G106" s="74">
        <v>3360705</v>
      </c>
      <c r="H106" s="17" t="s">
        <v>215</v>
      </c>
      <c r="I106" s="74">
        <v>3350407</v>
      </c>
      <c r="K106" s="3"/>
      <c r="L106" s="4"/>
      <c r="M106" s="4"/>
      <c r="N106" s="4"/>
    </row>
    <row r="107" spans="2:14" x14ac:dyDescent="0.3">
      <c r="B107" s="44">
        <v>46032</v>
      </c>
      <c r="C107" s="3" t="s">
        <v>416</v>
      </c>
      <c r="D107" s="3" t="s">
        <v>497</v>
      </c>
      <c r="E107" s="101"/>
      <c r="F107" s="3" t="s">
        <v>175</v>
      </c>
      <c r="G107" s="74">
        <v>3347800</v>
      </c>
      <c r="H107" s="3" t="s">
        <v>438</v>
      </c>
      <c r="I107" s="74">
        <v>3906207</v>
      </c>
      <c r="K107" s="3"/>
      <c r="L107" s="4"/>
      <c r="M107" s="4"/>
      <c r="N107" s="4"/>
    </row>
    <row r="108" spans="2:14" x14ac:dyDescent="0.3">
      <c r="B108" s="44">
        <v>46032</v>
      </c>
      <c r="C108" s="3" t="s">
        <v>416</v>
      </c>
      <c r="D108" s="3" t="s">
        <v>497</v>
      </c>
      <c r="E108" s="101"/>
      <c r="F108" s="17" t="s">
        <v>212</v>
      </c>
      <c r="G108" s="74">
        <v>3360007</v>
      </c>
      <c r="H108" s="17" t="s">
        <v>213</v>
      </c>
      <c r="I108" s="74">
        <v>3359502</v>
      </c>
      <c r="K108" s="3"/>
      <c r="L108" s="4"/>
      <c r="M108" s="4"/>
      <c r="N108" s="4"/>
    </row>
    <row r="109" spans="2:14" x14ac:dyDescent="0.3">
      <c r="B109" s="4"/>
      <c r="E109" s="101"/>
      <c r="G109" s="4"/>
      <c r="H109" s="4"/>
      <c r="I109" s="4"/>
      <c r="K109" s="3"/>
    </row>
    <row r="110" spans="2:14" x14ac:dyDescent="0.3">
      <c r="B110" s="44">
        <v>46039</v>
      </c>
      <c r="C110" s="3" t="s">
        <v>416</v>
      </c>
      <c r="D110" s="3" t="s">
        <v>497</v>
      </c>
      <c r="E110" s="101"/>
      <c r="F110" s="15" t="s">
        <v>240</v>
      </c>
      <c r="G110" s="74">
        <v>3348403</v>
      </c>
      <c r="H110" s="3" t="s">
        <v>175</v>
      </c>
      <c r="I110" s="74">
        <v>3347800</v>
      </c>
      <c r="K110" s="3"/>
      <c r="L110" s="4"/>
      <c r="N110" s="4"/>
    </row>
    <row r="111" spans="2:14" x14ac:dyDescent="0.3">
      <c r="B111" s="44">
        <v>46039</v>
      </c>
      <c r="C111" s="3" t="s">
        <v>416</v>
      </c>
      <c r="D111" s="3" t="s">
        <v>497</v>
      </c>
      <c r="E111" s="101"/>
      <c r="F111" s="17" t="s">
        <v>213</v>
      </c>
      <c r="G111" s="74">
        <v>3359502</v>
      </c>
      <c r="H111" s="17" t="s">
        <v>234</v>
      </c>
      <c r="I111" s="74">
        <v>3356807</v>
      </c>
      <c r="K111" s="3"/>
      <c r="L111" s="4"/>
      <c r="N111" s="4"/>
    </row>
    <row r="112" spans="2:14" x14ac:dyDescent="0.3">
      <c r="B112" s="44">
        <v>46039</v>
      </c>
      <c r="C112" s="3" t="s">
        <v>416</v>
      </c>
      <c r="D112" s="3" t="s">
        <v>497</v>
      </c>
      <c r="E112" s="101"/>
      <c r="F112" s="17" t="s">
        <v>208</v>
      </c>
      <c r="G112" s="74">
        <v>3361308</v>
      </c>
      <c r="H112" s="17" t="s">
        <v>428</v>
      </c>
      <c r="I112" s="74">
        <v>3360309</v>
      </c>
      <c r="K112" s="3"/>
      <c r="L112" s="4"/>
      <c r="N112" s="4"/>
    </row>
    <row r="113" spans="2:14" x14ac:dyDescent="0.3">
      <c r="B113" s="44">
        <v>46039</v>
      </c>
      <c r="C113" s="3" t="s">
        <v>416</v>
      </c>
      <c r="D113" s="3" t="s">
        <v>497</v>
      </c>
      <c r="E113" s="101"/>
      <c r="F113" s="17" t="s">
        <v>215</v>
      </c>
      <c r="G113" s="74">
        <v>3350407</v>
      </c>
      <c r="H113" s="3" t="s">
        <v>172</v>
      </c>
      <c r="I113" s="74">
        <v>3350709</v>
      </c>
      <c r="K113" s="3"/>
      <c r="L113" s="4"/>
      <c r="N113" s="4"/>
    </row>
    <row r="114" spans="2:14" x14ac:dyDescent="0.3">
      <c r="B114" s="44">
        <v>46039</v>
      </c>
      <c r="C114" s="3" t="s">
        <v>416</v>
      </c>
      <c r="D114" s="3" t="s">
        <v>497</v>
      </c>
      <c r="E114" s="101"/>
      <c r="F114" s="3" t="s">
        <v>438</v>
      </c>
      <c r="G114" s="74">
        <v>3906207</v>
      </c>
      <c r="H114" s="17" t="s">
        <v>212</v>
      </c>
      <c r="I114" s="74">
        <v>3360007</v>
      </c>
      <c r="K114" s="3"/>
      <c r="L114" s="4"/>
      <c r="N114" s="4"/>
    </row>
    <row r="115" spans="2:14" x14ac:dyDescent="0.3">
      <c r="B115" s="44">
        <v>46039</v>
      </c>
      <c r="C115" s="3" t="s">
        <v>416</v>
      </c>
      <c r="D115" s="3" t="s">
        <v>497</v>
      </c>
      <c r="E115" s="101"/>
      <c r="F115" s="3" t="s">
        <v>216</v>
      </c>
      <c r="G115" s="4">
        <v>3349808</v>
      </c>
      <c r="H115" s="17" t="s">
        <v>209</v>
      </c>
      <c r="I115" s="74">
        <v>3360705</v>
      </c>
      <c r="K115" s="3"/>
      <c r="L115" s="4"/>
      <c r="N115" s="4"/>
    </row>
    <row r="116" spans="2:14" x14ac:dyDescent="0.3">
      <c r="B116" s="4"/>
      <c r="E116" s="101"/>
      <c r="G116" s="4"/>
      <c r="H116" s="4"/>
      <c r="I116" s="4"/>
      <c r="K116" s="3"/>
    </row>
    <row r="117" spans="2:14" x14ac:dyDescent="0.3">
      <c r="B117" s="44">
        <v>46046</v>
      </c>
      <c r="C117" s="3" t="s">
        <v>416</v>
      </c>
      <c r="D117" s="3" t="s">
        <v>497</v>
      </c>
      <c r="E117" s="101"/>
      <c r="F117" s="17" t="s">
        <v>212</v>
      </c>
      <c r="G117" s="74">
        <v>3360007</v>
      </c>
      <c r="H117" s="17" t="s">
        <v>215</v>
      </c>
      <c r="I117" s="74">
        <v>3350407</v>
      </c>
      <c r="K117" s="3"/>
      <c r="L117" s="4"/>
      <c r="N117" s="4"/>
    </row>
    <row r="118" spans="2:14" x14ac:dyDescent="0.3">
      <c r="B118" s="44">
        <v>46046</v>
      </c>
      <c r="C118" s="3" t="s">
        <v>416</v>
      </c>
      <c r="D118" s="3" t="s">
        <v>497</v>
      </c>
      <c r="E118" s="101"/>
      <c r="F118" s="3" t="s">
        <v>175</v>
      </c>
      <c r="G118" s="74">
        <v>3347800</v>
      </c>
      <c r="H118" s="4" t="s">
        <v>216</v>
      </c>
      <c r="I118" s="4">
        <v>3349808</v>
      </c>
      <c r="K118" s="3"/>
      <c r="L118" s="4"/>
      <c r="N118" s="4"/>
    </row>
    <row r="119" spans="2:14" x14ac:dyDescent="0.3">
      <c r="B119" s="44">
        <v>46046</v>
      </c>
      <c r="C119" s="3" t="s">
        <v>416</v>
      </c>
      <c r="D119" s="3" t="s">
        <v>497</v>
      </c>
      <c r="E119" s="101"/>
      <c r="F119" s="17" t="s">
        <v>234</v>
      </c>
      <c r="G119" s="74">
        <v>3356807</v>
      </c>
      <c r="H119" s="3" t="s">
        <v>438</v>
      </c>
      <c r="I119" s="74">
        <v>3906207</v>
      </c>
      <c r="K119" s="3"/>
      <c r="L119" s="4"/>
      <c r="N119" s="4"/>
    </row>
    <row r="120" spans="2:14" x14ac:dyDescent="0.3">
      <c r="B120" s="44">
        <v>46046</v>
      </c>
      <c r="C120" s="3" t="s">
        <v>416</v>
      </c>
      <c r="D120" s="3" t="s">
        <v>497</v>
      </c>
      <c r="E120" s="101"/>
      <c r="F120" s="17" t="s">
        <v>428</v>
      </c>
      <c r="G120" s="74">
        <v>3360309</v>
      </c>
      <c r="H120" s="17" t="s">
        <v>213</v>
      </c>
      <c r="I120" s="74">
        <v>3359502</v>
      </c>
      <c r="K120" s="3"/>
      <c r="L120" s="4"/>
      <c r="N120" s="4"/>
    </row>
    <row r="121" spans="2:14" x14ac:dyDescent="0.3">
      <c r="B121" s="44">
        <v>46046</v>
      </c>
      <c r="C121" s="3" t="s">
        <v>416</v>
      </c>
      <c r="D121" s="3" t="s">
        <v>497</v>
      </c>
      <c r="E121" s="101"/>
      <c r="F121" s="17" t="s">
        <v>209</v>
      </c>
      <c r="G121" s="74">
        <v>3360705</v>
      </c>
      <c r="H121" s="17" t="s">
        <v>208</v>
      </c>
      <c r="I121" s="74">
        <v>3361308</v>
      </c>
      <c r="K121" s="3"/>
      <c r="L121" s="4"/>
      <c r="N121" s="4"/>
    </row>
    <row r="122" spans="2:14" x14ac:dyDescent="0.3">
      <c r="B122" s="44">
        <v>46046</v>
      </c>
      <c r="C122" s="3" t="s">
        <v>416</v>
      </c>
      <c r="D122" s="3" t="s">
        <v>497</v>
      </c>
      <c r="E122" s="101"/>
      <c r="F122" s="3" t="s">
        <v>172</v>
      </c>
      <c r="G122" s="74">
        <v>3350709</v>
      </c>
      <c r="H122" s="15" t="s">
        <v>240</v>
      </c>
      <c r="I122" s="74">
        <v>3348403</v>
      </c>
      <c r="K122" s="3"/>
      <c r="L122" s="4"/>
      <c r="N122" s="4"/>
    </row>
    <row r="123" spans="2:14" x14ac:dyDescent="0.3">
      <c r="B123" s="4"/>
      <c r="E123" s="101"/>
      <c r="G123" s="4"/>
      <c r="H123" s="4"/>
      <c r="I123" s="4"/>
      <c r="K123" s="3"/>
    </row>
    <row r="124" spans="2:14" x14ac:dyDescent="0.3">
      <c r="B124" s="44">
        <v>46053</v>
      </c>
      <c r="C124" s="3" t="s">
        <v>416</v>
      </c>
      <c r="D124" s="3" t="s">
        <v>497</v>
      </c>
      <c r="E124" s="101"/>
      <c r="F124" s="15" t="s">
        <v>240</v>
      </c>
      <c r="G124" s="74">
        <v>3348403</v>
      </c>
      <c r="H124" s="17" t="s">
        <v>212</v>
      </c>
      <c r="I124" s="74">
        <v>3360007</v>
      </c>
      <c r="K124" s="3"/>
      <c r="L124" s="4"/>
      <c r="N124" s="4"/>
    </row>
    <row r="125" spans="2:14" x14ac:dyDescent="0.3">
      <c r="B125" s="44">
        <v>46053</v>
      </c>
      <c r="C125" s="3" t="s">
        <v>416</v>
      </c>
      <c r="D125" s="3" t="s">
        <v>497</v>
      </c>
      <c r="E125" s="101"/>
      <c r="F125" s="17" t="s">
        <v>213</v>
      </c>
      <c r="G125" s="74">
        <v>3359502</v>
      </c>
      <c r="H125" s="3" t="s">
        <v>438</v>
      </c>
      <c r="I125" s="74">
        <v>3906207</v>
      </c>
      <c r="K125" s="3"/>
      <c r="L125" s="4"/>
      <c r="N125" s="4"/>
    </row>
    <row r="126" spans="2:14" x14ac:dyDescent="0.3">
      <c r="B126" s="44">
        <v>46053</v>
      </c>
      <c r="C126" s="3" t="s">
        <v>416</v>
      </c>
      <c r="D126" s="3" t="s">
        <v>497</v>
      </c>
      <c r="E126" s="101"/>
      <c r="F126" s="17" t="s">
        <v>428</v>
      </c>
      <c r="G126" s="74">
        <v>3360309</v>
      </c>
      <c r="H126" s="17" t="s">
        <v>209</v>
      </c>
      <c r="I126" s="74">
        <v>3360705</v>
      </c>
      <c r="K126" s="3"/>
      <c r="L126" s="4"/>
      <c r="N126" s="4"/>
    </row>
    <row r="127" spans="2:14" x14ac:dyDescent="0.3">
      <c r="B127" s="44">
        <v>46053</v>
      </c>
      <c r="C127" s="3" t="s">
        <v>416</v>
      </c>
      <c r="D127" s="3" t="s">
        <v>497</v>
      </c>
      <c r="E127" s="101"/>
      <c r="F127" s="17" t="s">
        <v>208</v>
      </c>
      <c r="G127" s="74">
        <v>3361308</v>
      </c>
      <c r="H127" s="3" t="s">
        <v>175</v>
      </c>
      <c r="I127" s="74">
        <v>3347800</v>
      </c>
      <c r="K127" s="3"/>
      <c r="L127" s="4"/>
      <c r="N127" s="4"/>
    </row>
    <row r="128" spans="2:14" x14ac:dyDescent="0.3">
      <c r="B128" s="44">
        <v>46053</v>
      </c>
      <c r="C128" s="3" t="s">
        <v>416</v>
      </c>
      <c r="D128" s="3" t="s">
        <v>497</v>
      </c>
      <c r="E128" s="101"/>
      <c r="F128" s="17" t="s">
        <v>215</v>
      </c>
      <c r="G128" s="74">
        <v>3350407</v>
      </c>
      <c r="H128" s="17" t="s">
        <v>234</v>
      </c>
      <c r="I128" s="74">
        <v>3356807</v>
      </c>
      <c r="K128" s="3"/>
      <c r="L128" s="4"/>
      <c r="N128" s="4"/>
    </row>
    <row r="129" spans="2:14" x14ac:dyDescent="0.3">
      <c r="B129" s="44">
        <v>46053</v>
      </c>
      <c r="C129" s="3" t="s">
        <v>416</v>
      </c>
      <c r="D129" s="3" t="s">
        <v>497</v>
      </c>
      <c r="E129" s="101"/>
      <c r="F129" s="3" t="s">
        <v>216</v>
      </c>
      <c r="G129" s="4">
        <v>3349808</v>
      </c>
      <c r="H129" s="3" t="s">
        <v>172</v>
      </c>
      <c r="I129" s="74">
        <v>3350709</v>
      </c>
      <c r="K129" s="3"/>
      <c r="L129" s="4"/>
      <c r="N129" s="4"/>
    </row>
    <row r="130" spans="2:14" x14ac:dyDescent="0.3">
      <c r="B130" s="4"/>
      <c r="E130" s="101"/>
      <c r="G130" s="4"/>
      <c r="H130" s="4"/>
      <c r="I130" s="4"/>
      <c r="K130" s="3"/>
    </row>
    <row r="131" spans="2:14" x14ac:dyDescent="0.3">
      <c r="B131" s="44">
        <v>46060</v>
      </c>
      <c r="C131" s="3" t="s">
        <v>416</v>
      </c>
      <c r="D131" s="3" t="s">
        <v>497</v>
      </c>
      <c r="E131" s="101"/>
      <c r="F131" s="17" t="s">
        <v>212</v>
      </c>
      <c r="G131" s="74">
        <v>3360007</v>
      </c>
      <c r="H131" s="4" t="s">
        <v>216</v>
      </c>
      <c r="I131" s="4">
        <v>3349808</v>
      </c>
      <c r="K131" s="3"/>
      <c r="L131" s="4"/>
      <c r="N131" s="4"/>
    </row>
    <row r="132" spans="2:14" x14ac:dyDescent="0.3">
      <c r="B132" s="44">
        <v>46060</v>
      </c>
      <c r="C132" s="3" t="s">
        <v>416</v>
      </c>
      <c r="D132" s="3" t="s">
        <v>497</v>
      </c>
      <c r="E132" s="101"/>
      <c r="F132" s="3" t="s">
        <v>175</v>
      </c>
      <c r="G132" s="74">
        <v>3347800</v>
      </c>
      <c r="H132" s="17" t="s">
        <v>428</v>
      </c>
      <c r="I132" s="74">
        <v>3360309</v>
      </c>
      <c r="K132" s="3"/>
      <c r="L132" s="4"/>
      <c r="N132" s="4"/>
    </row>
    <row r="133" spans="2:14" x14ac:dyDescent="0.3">
      <c r="B133" s="44">
        <v>46060</v>
      </c>
      <c r="C133" s="3" t="s">
        <v>416</v>
      </c>
      <c r="D133" s="3" t="s">
        <v>497</v>
      </c>
      <c r="E133" s="101"/>
      <c r="F133" s="17" t="s">
        <v>234</v>
      </c>
      <c r="G133" s="74">
        <v>3356807</v>
      </c>
      <c r="H133" s="15" t="s">
        <v>240</v>
      </c>
      <c r="I133" s="74">
        <v>3348403</v>
      </c>
      <c r="K133" s="3"/>
      <c r="L133" s="4"/>
      <c r="N133" s="4"/>
    </row>
    <row r="134" spans="2:14" x14ac:dyDescent="0.3">
      <c r="B134" s="44">
        <v>46060</v>
      </c>
      <c r="C134" s="3" t="s">
        <v>416</v>
      </c>
      <c r="D134" s="3" t="s">
        <v>497</v>
      </c>
      <c r="E134" s="101"/>
      <c r="F134" s="17" t="s">
        <v>209</v>
      </c>
      <c r="G134" s="74">
        <v>3360705</v>
      </c>
      <c r="H134" s="17" t="s">
        <v>213</v>
      </c>
      <c r="I134" s="74">
        <v>3359502</v>
      </c>
      <c r="K134" s="3"/>
      <c r="L134" s="4"/>
      <c r="N134" s="4"/>
    </row>
    <row r="135" spans="2:14" x14ac:dyDescent="0.3">
      <c r="B135" s="44">
        <v>46060</v>
      </c>
      <c r="C135" s="3" t="s">
        <v>416</v>
      </c>
      <c r="D135" s="3" t="s">
        <v>497</v>
      </c>
      <c r="E135" s="101"/>
      <c r="F135" s="3" t="s">
        <v>172</v>
      </c>
      <c r="G135" s="74">
        <v>3350709</v>
      </c>
      <c r="H135" s="17" t="s">
        <v>208</v>
      </c>
      <c r="I135" s="74">
        <v>3361308</v>
      </c>
      <c r="K135" s="3"/>
      <c r="L135" s="4"/>
      <c r="N135" s="4"/>
    </row>
    <row r="136" spans="2:14" x14ac:dyDescent="0.3">
      <c r="B136" s="44">
        <v>46060</v>
      </c>
      <c r="C136" s="3" t="s">
        <v>416</v>
      </c>
      <c r="D136" s="3" t="s">
        <v>497</v>
      </c>
      <c r="E136" s="101"/>
      <c r="F136" s="3" t="s">
        <v>438</v>
      </c>
      <c r="G136" s="74">
        <v>3906207</v>
      </c>
      <c r="H136" s="17" t="s">
        <v>215</v>
      </c>
      <c r="I136" s="74">
        <v>3350407</v>
      </c>
      <c r="K136" s="3"/>
      <c r="L136" s="4"/>
      <c r="N136" s="4"/>
    </row>
    <row r="137" spans="2:14" x14ac:dyDescent="0.3">
      <c r="B137" s="4"/>
      <c r="E137" s="101"/>
      <c r="G137" s="4"/>
      <c r="H137" s="4"/>
      <c r="I137" s="4"/>
      <c r="K137" s="3"/>
    </row>
    <row r="138" spans="2:14" x14ac:dyDescent="0.3">
      <c r="B138" s="44">
        <v>46074</v>
      </c>
      <c r="C138" s="3" t="s">
        <v>416</v>
      </c>
      <c r="D138" s="3" t="s">
        <v>497</v>
      </c>
      <c r="E138" s="101"/>
      <c r="F138" s="15" t="s">
        <v>240</v>
      </c>
      <c r="G138" s="74">
        <v>3348403</v>
      </c>
      <c r="H138" s="3" t="s">
        <v>438</v>
      </c>
      <c r="I138" s="74">
        <v>3906207</v>
      </c>
      <c r="K138" s="3"/>
      <c r="L138" s="4"/>
      <c r="N138" s="4"/>
    </row>
    <row r="139" spans="2:14" x14ac:dyDescent="0.3">
      <c r="B139" s="44">
        <v>46074</v>
      </c>
      <c r="C139" s="3" t="s">
        <v>416</v>
      </c>
      <c r="D139" s="3" t="s">
        <v>497</v>
      </c>
      <c r="E139" s="101"/>
      <c r="F139" s="17" t="s">
        <v>213</v>
      </c>
      <c r="G139" s="74">
        <v>3359502</v>
      </c>
      <c r="H139" s="17" t="s">
        <v>215</v>
      </c>
      <c r="I139" s="74">
        <v>3350407</v>
      </c>
      <c r="K139" s="3"/>
      <c r="L139" s="4"/>
      <c r="N139" s="4"/>
    </row>
    <row r="140" spans="2:14" x14ac:dyDescent="0.3">
      <c r="B140" s="44">
        <v>46074</v>
      </c>
      <c r="C140" s="3" t="s">
        <v>416</v>
      </c>
      <c r="D140" s="3" t="s">
        <v>497</v>
      </c>
      <c r="E140" s="101"/>
      <c r="F140" s="17" t="s">
        <v>428</v>
      </c>
      <c r="G140" s="74">
        <v>3360309</v>
      </c>
      <c r="H140" s="3" t="s">
        <v>172</v>
      </c>
      <c r="I140" s="74">
        <v>3350709</v>
      </c>
      <c r="K140" s="3"/>
      <c r="L140" s="4"/>
      <c r="N140" s="4"/>
    </row>
    <row r="141" spans="2:14" x14ac:dyDescent="0.3">
      <c r="B141" s="44">
        <v>46074</v>
      </c>
      <c r="C141" s="3" t="s">
        <v>416</v>
      </c>
      <c r="D141" s="3" t="s">
        <v>497</v>
      </c>
      <c r="E141" s="101"/>
      <c r="F141" s="17" t="s">
        <v>209</v>
      </c>
      <c r="G141" s="74">
        <v>3360705</v>
      </c>
      <c r="H141" s="3" t="s">
        <v>175</v>
      </c>
      <c r="I141" s="74">
        <v>3347800</v>
      </c>
      <c r="K141" s="3"/>
      <c r="L141" s="4"/>
      <c r="N141" s="4"/>
    </row>
    <row r="142" spans="2:14" x14ac:dyDescent="0.3">
      <c r="B142" s="44">
        <v>46074</v>
      </c>
      <c r="C142" s="3" t="s">
        <v>416</v>
      </c>
      <c r="D142" s="3" t="s">
        <v>497</v>
      </c>
      <c r="E142" s="101"/>
      <c r="F142" s="17" t="s">
        <v>208</v>
      </c>
      <c r="G142" s="74">
        <v>3361308</v>
      </c>
      <c r="H142" s="17" t="s">
        <v>212</v>
      </c>
      <c r="I142" s="74">
        <v>3360007</v>
      </c>
      <c r="K142" s="3"/>
      <c r="L142" s="4"/>
      <c r="N142" s="4"/>
    </row>
    <row r="143" spans="2:14" x14ac:dyDescent="0.3">
      <c r="B143" s="44">
        <v>46074</v>
      </c>
      <c r="C143" s="3" t="s">
        <v>416</v>
      </c>
      <c r="D143" s="3" t="s">
        <v>497</v>
      </c>
      <c r="E143" s="101"/>
      <c r="F143" s="3" t="s">
        <v>216</v>
      </c>
      <c r="G143" s="4">
        <v>3349808</v>
      </c>
      <c r="H143" s="17" t="s">
        <v>234</v>
      </c>
      <c r="I143" s="74">
        <v>3356807</v>
      </c>
      <c r="K143" s="3"/>
      <c r="L143" s="4"/>
      <c r="N143" s="4"/>
    </row>
    <row r="144" spans="2:14" x14ac:dyDescent="0.3">
      <c r="B144" s="4"/>
      <c r="E144" s="101"/>
      <c r="G144" s="4"/>
      <c r="H144" s="4"/>
      <c r="I144" s="4"/>
      <c r="K144" s="3"/>
    </row>
    <row r="145" spans="2:14" x14ac:dyDescent="0.3">
      <c r="B145" s="44">
        <v>46081</v>
      </c>
      <c r="C145" s="3" t="s">
        <v>416</v>
      </c>
      <c r="D145" s="3" t="s">
        <v>497</v>
      </c>
      <c r="E145" s="101"/>
      <c r="F145" s="17" t="s">
        <v>212</v>
      </c>
      <c r="G145" s="74">
        <v>3360007</v>
      </c>
      <c r="H145" s="17" t="s">
        <v>428</v>
      </c>
      <c r="I145" s="74">
        <v>3360309</v>
      </c>
      <c r="K145" s="3"/>
      <c r="L145" s="4"/>
      <c r="N145" s="4"/>
    </row>
    <row r="146" spans="2:14" x14ac:dyDescent="0.3">
      <c r="B146" s="44">
        <v>46081</v>
      </c>
      <c r="C146" s="3" t="s">
        <v>416</v>
      </c>
      <c r="D146" s="3" t="s">
        <v>497</v>
      </c>
      <c r="E146" s="101"/>
      <c r="F146" s="3" t="s">
        <v>175</v>
      </c>
      <c r="G146" s="74">
        <v>3347800</v>
      </c>
      <c r="H146" s="17" t="s">
        <v>213</v>
      </c>
      <c r="I146" s="74">
        <v>3359502</v>
      </c>
      <c r="K146" s="3"/>
      <c r="L146" s="4"/>
      <c r="N146" s="4"/>
    </row>
    <row r="147" spans="2:14" x14ac:dyDescent="0.3">
      <c r="B147" s="44">
        <v>46081</v>
      </c>
      <c r="C147" s="3" t="s">
        <v>416</v>
      </c>
      <c r="D147" s="3" t="s">
        <v>497</v>
      </c>
      <c r="E147" s="101"/>
      <c r="F147" s="17" t="s">
        <v>234</v>
      </c>
      <c r="G147" s="74">
        <v>3356807</v>
      </c>
      <c r="H147" s="17" t="s">
        <v>208</v>
      </c>
      <c r="I147" s="74">
        <v>3361308</v>
      </c>
      <c r="K147" s="3"/>
      <c r="L147" s="4"/>
      <c r="N147" s="4"/>
    </row>
    <row r="148" spans="2:14" x14ac:dyDescent="0.3">
      <c r="B148" s="44">
        <v>46081</v>
      </c>
      <c r="C148" s="3" t="s">
        <v>416</v>
      </c>
      <c r="D148" s="3" t="s">
        <v>497</v>
      </c>
      <c r="E148" s="101"/>
      <c r="F148" s="17" t="s">
        <v>215</v>
      </c>
      <c r="G148" s="74">
        <v>3350407</v>
      </c>
      <c r="H148" s="15" t="s">
        <v>240</v>
      </c>
      <c r="I148" s="74">
        <v>3348403</v>
      </c>
      <c r="K148" s="3"/>
      <c r="L148" s="4"/>
      <c r="N148" s="4"/>
    </row>
    <row r="149" spans="2:14" x14ac:dyDescent="0.3">
      <c r="B149" s="44">
        <v>46081</v>
      </c>
      <c r="C149" s="3" t="s">
        <v>416</v>
      </c>
      <c r="D149" s="3" t="s">
        <v>497</v>
      </c>
      <c r="E149" s="101"/>
      <c r="F149" s="3" t="s">
        <v>172</v>
      </c>
      <c r="G149" s="74">
        <v>3350709</v>
      </c>
      <c r="H149" s="17" t="s">
        <v>209</v>
      </c>
      <c r="I149" s="74">
        <v>3360705</v>
      </c>
      <c r="K149" s="3"/>
      <c r="L149" s="4"/>
      <c r="N149" s="4"/>
    </row>
    <row r="150" spans="2:14" x14ac:dyDescent="0.3">
      <c r="B150" s="44">
        <v>46081</v>
      </c>
      <c r="C150" s="3" t="s">
        <v>416</v>
      </c>
      <c r="D150" s="3" t="s">
        <v>497</v>
      </c>
      <c r="E150" s="101"/>
      <c r="F150" s="3" t="s">
        <v>438</v>
      </c>
      <c r="G150" s="74">
        <v>3906207</v>
      </c>
      <c r="H150" s="4" t="s">
        <v>216</v>
      </c>
      <c r="I150" s="4">
        <v>3349808</v>
      </c>
      <c r="K150" s="3"/>
      <c r="L150" s="4"/>
      <c r="N150" s="4"/>
    </row>
    <row r="151" spans="2:14" x14ac:dyDescent="0.3">
      <c r="B151" s="4"/>
      <c r="E151" s="101"/>
      <c r="G151" s="4"/>
      <c r="H151" s="4"/>
      <c r="I151" s="4"/>
      <c r="K151" s="3"/>
    </row>
    <row r="152" spans="2:14" x14ac:dyDescent="0.3">
      <c r="B152" s="44">
        <v>46088</v>
      </c>
      <c r="C152" s="3" t="s">
        <v>416</v>
      </c>
      <c r="D152" s="3" t="s">
        <v>497</v>
      </c>
      <c r="E152" s="101"/>
      <c r="F152" s="17" t="s">
        <v>213</v>
      </c>
      <c r="G152" s="74">
        <v>3359502</v>
      </c>
      <c r="H152" s="15" t="s">
        <v>240</v>
      </c>
      <c r="I152" s="74">
        <v>3348403</v>
      </c>
      <c r="K152" s="3"/>
      <c r="L152" s="4"/>
      <c r="N152" s="4"/>
    </row>
    <row r="153" spans="2:14" x14ac:dyDescent="0.3">
      <c r="B153" s="44">
        <v>46088</v>
      </c>
      <c r="C153" s="3" t="s">
        <v>416</v>
      </c>
      <c r="D153" s="3" t="s">
        <v>497</v>
      </c>
      <c r="E153" s="101"/>
      <c r="F153" s="3" t="s">
        <v>175</v>
      </c>
      <c r="G153" s="74">
        <v>3347800</v>
      </c>
      <c r="H153" s="3" t="s">
        <v>172</v>
      </c>
      <c r="I153" s="74">
        <v>3350709</v>
      </c>
      <c r="K153" s="3"/>
      <c r="L153" s="4"/>
      <c r="N153" s="4"/>
    </row>
    <row r="154" spans="2:14" x14ac:dyDescent="0.3">
      <c r="B154" s="44">
        <v>46088</v>
      </c>
      <c r="C154" s="3" t="s">
        <v>416</v>
      </c>
      <c r="D154" s="3" t="s">
        <v>497</v>
      </c>
      <c r="E154" s="101"/>
      <c r="F154" s="17" t="s">
        <v>428</v>
      </c>
      <c r="G154" s="74">
        <v>3360309</v>
      </c>
      <c r="H154" s="17" t="s">
        <v>234</v>
      </c>
      <c r="I154" s="74">
        <v>3356807</v>
      </c>
      <c r="K154" s="3"/>
      <c r="L154" s="4"/>
      <c r="N154" s="4"/>
    </row>
    <row r="155" spans="2:14" x14ac:dyDescent="0.3">
      <c r="B155" s="44">
        <v>46088</v>
      </c>
      <c r="C155" s="3" t="s">
        <v>416</v>
      </c>
      <c r="D155" s="3" t="s">
        <v>497</v>
      </c>
      <c r="E155" s="101"/>
      <c r="F155" s="17" t="s">
        <v>209</v>
      </c>
      <c r="G155" s="74">
        <v>3360705</v>
      </c>
      <c r="H155" s="17" t="s">
        <v>212</v>
      </c>
      <c r="I155" s="74">
        <v>3360007</v>
      </c>
      <c r="K155" s="3"/>
      <c r="L155" s="4"/>
      <c r="N155" s="4"/>
    </row>
    <row r="156" spans="2:14" x14ac:dyDescent="0.3">
      <c r="B156" s="44">
        <v>46088</v>
      </c>
      <c r="C156" s="3" t="s">
        <v>416</v>
      </c>
      <c r="D156" s="3" t="s">
        <v>497</v>
      </c>
      <c r="E156" s="101"/>
      <c r="F156" s="17" t="s">
        <v>208</v>
      </c>
      <c r="G156" s="74">
        <v>3361308</v>
      </c>
      <c r="H156" s="3" t="s">
        <v>438</v>
      </c>
      <c r="I156" s="74">
        <v>3906207</v>
      </c>
      <c r="K156" s="3"/>
      <c r="L156" s="4"/>
      <c r="N156" s="4"/>
    </row>
    <row r="157" spans="2:14" x14ac:dyDescent="0.3">
      <c r="B157" s="44">
        <v>46088</v>
      </c>
      <c r="C157" s="3" t="s">
        <v>416</v>
      </c>
      <c r="D157" s="3" t="s">
        <v>497</v>
      </c>
      <c r="E157" s="101"/>
      <c r="F157" s="3" t="s">
        <v>216</v>
      </c>
      <c r="G157" s="4">
        <v>3349808</v>
      </c>
      <c r="H157" s="17" t="s">
        <v>215</v>
      </c>
      <c r="I157" s="74">
        <v>3350407</v>
      </c>
      <c r="K157" s="3"/>
      <c r="L157" s="4"/>
      <c r="N157" s="4"/>
    </row>
    <row r="158" spans="2:14" x14ac:dyDescent="0.3">
      <c r="B158" s="4"/>
      <c r="E158" s="101"/>
      <c r="G158" s="4"/>
      <c r="H158" s="4"/>
      <c r="I158" s="4"/>
      <c r="K158" s="3"/>
    </row>
    <row r="159" spans="2:14" x14ac:dyDescent="0.3">
      <c r="B159" s="44">
        <v>46095</v>
      </c>
      <c r="C159" s="3" t="s">
        <v>416</v>
      </c>
      <c r="D159" s="3" t="s">
        <v>497</v>
      </c>
      <c r="E159" s="101"/>
      <c r="F159" s="17" t="s">
        <v>212</v>
      </c>
      <c r="G159" s="74">
        <v>3360007</v>
      </c>
      <c r="H159" s="3" t="s">
        <v>175</v>
      </c>
      <c r="I159" s="74">
        <v>3347800</v>
      </c>
      <c r="K159" s="3"/>
      <c r="L159" s="4"/>
      <c r="N159" s="4"/>
    </row>
    <row r="160" spans="2:14" x14ac:dyDescent="0.3">
      <c r="B160" s="44">
        <v>46095</v>
      </c>
      <c r="C160" s="3" t="s">
        <v>416</v>
      </c>
      <c r="D160" s="3" t="s">
        <v>497</v>
      </c>
      <c r="E160" s="101"/>
      <c r="F160" s="15" t="s">
        <v>240</v>
      </c>
      <c r="G160" s="74">
        <v>3348403</v>
      </c>
      <c r="H160" s="4" t="s">
        <v>216</v>
      </c>
      <c r="I160" s="4">
        <v>3349808</v>
      </c>
      <c r="K160" s="3"/>
      <c r="L160" s="4"/>
      <c r="N160" s="4"/>
    </row>
    <row r="161" spans="2:14" x14ac:dyDescent="0.3">
      <c r="B161" s="44">
        <v>46095</v>
      </c>
      <c r="C161" s="3" t="s">
        <v>416</v>
      </c>
      <c r="D161" s="3" t="s">
        <v>497</v>
      </c>
      <c r="E161" s="101"/>
      <c r="F161" s="17" t="s">
        <v>234</v>
      </c>
      <c r="G161" s="74">
        <v>3356807</v>
      </c>
      <c r="H161" s="17" t="s">
        <v>209</v>
      </c>
      <c r="I161" s="74">
        <v>3360705</v>
      </c>
      <c r="K161" s="3"/>
      <c r="L161" s="4"/>
      <c r="N161" s="4"/>
    </row>
    <row r="162" spans="2:14" x14ac:dyDescent="0.3">
      <c r="B162" s="44">
        <v>46095</v>
      </c>
      <c r="C162" s="3" t="s">
        <v>416</v>
      </c>
      <c r="D162" s="3" t="s">
        <v>497</v>
      </c>
      <c r="E162" s="101"/>
      <c r="F162" s="17" t="s">
        <v>215</v>
      </c>
      <c r="G162" s="74">
        <v>3350407</v>
      </c>
      <c r="H162" s="17" t="s">
        <v>208</v>
      </c>
      <c r="I162" s="74">
        <v>3361308</v>
      </c>
      <c r="K162" s="3"/>
      <c r="L162" s="4"/>
      <c r="N162" s="4"/>
    </row>
    <row r="163" spans="2:14" x14ac:dyDescent="0.3">
      <c r="B163" s="44">
        <v>46095</v>
      </c>
      <c r="C163" s="3" t="s">
        <v>416</v>
      </c>
      <c r="D163" s="3" t="s">
        <v>497</v>
      </c>
      <c r="E163" s="101"/>
      <c r="F163" s="3" t="s">
        <v>172</v>
      </c>
      <c r="G163" s="74">
        <v>3350709</v>
      </c>
      <c r="H163" s="17" t="s">
        <v>213</v>
      </c>
      <c r="I163" s="74">
        <v>3359502</v>
      </c>
      <c r="K163" s="3"/>
      <c r="L163" s="4"/>
      <c r="N163" s="4"/>
    </row>
    <row r="164" spans="2:14" x14ac:dyDescent="0.3">
      <c r="B164" s="44">
        <v>46095</v>
      </c>
      <c r="C164" s="3" t="s">
        <v>416</v>
      </c>
      <c r="D164" s="3" t="s">
        <v>497</v>
      </c>
      <c r="E164" s="101"/>
      <c r="F164" s="3" t="s">
        <v>438</v>
      </c>
      <c r="G164" s="74">
        <v>3906207</v>
      </c>
      <c r="H164" s="17" t="s">
        <v>428</v>
      </c>
      <c r="I164" s="74">
        <v>3360309</v>
      </c>
      <c r="K164" s="3"/>
      <c r="L164" s="4"/>
      <c r="N164" s="4"/>
    </row>
    <row r="165" spans="2:14" x14ac:dyDescent="0.3">
      <c r="B165" s="4"/>
      <c r="E165" s="101"/>
      <c r="G165" s="4"/>
      <c r="H165" s="4"/>
      <c r="I165" s="4"/>
      <c r="K165" s="3"/>
    </row>
    <row r="166" spans="2:14" x14ac:dyDescent="0.3">
      <c r="B166" s="44">
        <v>46102</v>
      </c>
      <c r="C166" s="3" t="s">
        <v>416</v>
      </c>
      <c r="D166" s="3" t="s">
        <v>497</v>
      </c>
      <c r="E166" s="101"/>
      <c r="F166" s="17" t="s">
        <v>208</v>
      </c>
      <c r="G166" s="74">
        <v>3361308</v>
      </c>
      <c r="H166" s="15" t="s">
        <v>240</v>
      </c>
      <c r="I166" s="74">
        <v>3348403</v>
      </c>
      <c r="K166" s="3"/>
      <c r="L166" s="4"/>
      <c r="N166" s="4"/>
    </row>
    <row r="167" spans="2:14" x14ac:dyDescent="0.3">
      <c r="B167" s="44">
        <v>46102</v>
      </c>
      <c r="C167" s="3" t="s">
        <v>416</v>
      </c>
      <c r="D167" s="3" t="s">
        <v>497</v>
      </c>
      <c r="E167" s="101"/>
      <c r="F167" s="3" t="s">
        <v>172</v>
      </c>
      <c r="G167" s="74">
        <v>3350709</v>
      </c>
      <c r="H167" s="17" t="s">
        <v>212</v>
      </c>
      <c r="I167" s="74">
        <v>3360007</v>
      </c>
      <c r="K167" s="3"/>
      <c r="L167" s="4"/>
      <c r="N167" s="4"/>
    </row>
    <row r="168" spans="2:14" x14ac:dyDescent="0.3">
      <c r="B168" s="44">
        <v>46102</v>
      </c>
      <c r="C168" s="3" t="s">
        <v>416</v>
      </c>
      <c r="D168" s="3" t="s">
        <v>497</v>
      </c>
      <c r="E168" s="101"/>
      <c r="F168" s="17" t="s">
        <v>234</v>
      </c>
      <c r="G168" s="74">
        <v>3356807</v>
      </c>
      <c r="H168" s="3" t="s">
        <v>175</v>
      </c>
      <c r="I168" s="74">
        <v>3347800</v>
      </c>
      <c r="K168" s="3"/>
      <c r="L168" s="4"/>
      <c r="N168" s="4"/>
    </row>
    <row r="169" spans="2:14" x14ac:dyDescent="0.3">
      <c r="B169" s="44">
        <v>46102</v>
      </c>
      <c r="C169" s="3" t="s">
        <v>416</v>
      </c>
      <c r="D169" s="3" t="s">
        <v>497</v>
      </c>
      <c r="E169" s="101"/>
      <c r="F169" s="4" t="s">
        <v>216</v>
      </c>
      <c r="G169" s="4">
        <v>3349808</v>
      </c>
      <c r="H169" s="17" t="s">
        <v>213</v>
      </c>
      <c r="I169" s="74">
        <v>3359502</v>
      </c>
      <c r="K169" s="3"/>
      <c r="L169" s="4"/>
      <c r="N169" s="4"/>
    </row>
    <row r="170" spans="2:14" x14ac:dyDescent="0.3">
      <c r="B170" s="44">
        <v>46102</v>
      </c>
      <c r="C170" s="3" t="s">
        <v>416</v>
      </c>
      <c r="D170" s="3" t="s">
        <v>497</v>
      </c>
      <c r="E170" s="101"/>
      <c r="F170" s="17" t="s">
        <v>215</v>
      </c>
      <c r="G170" s="74">
        <v>3350407</v>
      </c>
      <c r="H170" s="17" t="s">
        <v>428</v>
      </c>
      <c r="I170" s="74">
        <v>3360309</v>
      </c>
      <c r="K170" s="3"/>
      <c r="L170" s="4"/>
      <c r="N170" s="4"/>
    </row>
    <row r="171" spans="2:14" x14ac:dyDescent="0.3">
      <c r="B171" s="44">
        <v>46102</v>
      </c>
      <c r="C171" s="3" t="s">
        <v>416</v>
      </c>
      <c r="D171" s="3" t="s">
        <v>497</v>
      </c>
      <c r="E171" s="101"/>
      <c r="F171" s="17" t="s">
        <v>209</v>
      </c>
      <c r="G171" s="74">
        <v>3360705</v>
      </c>
      <c r="H171" s="3" t="s">
        <v>438</v>
      </c>
      <c r="I171" s="74">
        <v>3906207</v>
      </c>
      <c r="K171" s="3"/>
      <c r="L171" s="4"/>
      <c r="N171" s="4"/>
    </row>
    <row r="172" spans="2:14" x14ac:dyDescent="0.3">
      <c r="B172" s="4"/>
      <c r="E172" s="101"/>
      <c r="G172" s="4"/>
      <c r="H172" s="4"/>
      <c r="I172" s="4"/>
      <c r="K172" s="3"/>
    </row>
    <row r="173" spans="2:14" x14ac:dyDescent="0.3">
      <c r="B173" s="44">
        <v>46109</v>
      </c>
      <c r="C173" s="3" t="s">
        <v>416</v>
      </c>
      <c r="D173" s="3" t="s">
        <v>497</v>
      </c>
      <c r="E173" s="101"/>
      <c r="F173" s="17" t="s">
        <v>212</v>
      </c>
      <c r="G173" s="74">
        <v>3360007</v>
      </c>
      <c r="H173" s="17" t="s">
        <v>234</v>
      </c>
      <c r="I173" s="74">
        <v>3356807</v>
      </c>
      <c r="K173" s="3"/>
      <c r="L173" s="4"/>
      <c r="N173" s="4"/>
    </row>
    <row r="174" spans="2:14" x14ac:dyDescent="0.3">
      <c r="B174" s="44">
        <v>46109</v>
      </c>
      <c r="C174" s="3" t="s">
        <v>416</v>
      </c>
      <c r="D174" s="3" t="s">
        <v>497</v>
      </c>
      <c r="E174" s="101"/>
      <c r="F174" s="3" t="s">
        <v>175</v>
      </c>
      <c r="G174" s="74">
        <v>3347800</v>
      </c>
      <c r="H174" s="17" t="s">
        <v>215</v>
      </c>
      <c r="I174" s="74">
        <v>3350407</v>
      </c>
      <c r="K174" s="3"/>
      <c r="L174" s="4"/>
      <c r="N174" s="4"/>
    </row>
    <row r="175" spans="2:14" x14ac:dyDescent="0.3">
      <c r="B175" s="44">
        <v>46109</v>
      </c>
      <c r="C175" s="3" t="s">
        <v>416</v>
      </c>
      <c r="D175" s="3" t="s">
        <v>497</v>
      </c>
      <c r="E175" s="101"/>
      <c r="F175" s="17" t="s">
        <v>213</v>
      </c>
      <c r="G175" s="74">
        <v>3359502</v>
      </c>
      <c r="H175" s="17" t="s">
        <v>208</v>
      </c>
      <c r="I175" s="74">
        <v>3361308</v>
      </c>
      <c r="K175" s="3"/>
      <c r="L175" s="4"/>
      <c r="N175" s="4"/>
    </row>
    <row r="176" spans="2:14" x14ac:dyDescent="0.3">
      <c r="B176" s="44">
        <v>46109</v>
      </c>
      <c r="C176" s="3" t="s">
        <v>416</v>
      </c>
      <c r="D176" s="3" t="s">
        <v>497</v>
      </c>
      <c r="E176" s="101"/>
      <c r="F176" s="17" t="s">
        <v>428</v>
      </c>
      <c r="G176" s="74">
        <v>3360309</v>
      </c>
      <c r="H176" s="3" t="s">
        <v>216</v>
      </c>
      <c r="I176" s="4">
        <v>3349808</v>
      </c>
      <c r="K176" s="3"/>
      <c r="L176" s="4"/>
      <c r="N176" s="4"/>
    </row>
    <row r="177" spans="2:14" x14ac:dyDescent="0.3">
      <c r="B177" s="44">
        <v>46109</v>
      </c>
      <c r="C177" s="3" t="s">
        <v>416</v>
      </c>
      <c r="D177" s="3" t="s">
        <v>497</v>
      </c>
      <c r="E177" s="101"/>
      <c r="F177" s="15" t="s">
        <v>240</v>
      </c>
      <c r="G177" s="74">
        <v>3348403</v>
      </c>
      <c r="H177" s="17" t="s">
        <v>209</v>
      </c>
      <c r="I177" s="74">
        <v>3360705</v>
      </c>
      <c r="K177" s="3"/>
      <c r="L177" s="4"/>
      <c r="N177" s="4"/>
    </row>
    <row r="178" spans="2:14" x14ac:dyDescent="0.3">
      <c r="B178" s="44">
        <v>46109</v>
      </c>
      <c r="C178" s="3" t="s">
        <v>416</v>
      </c>
      <c r="D178" s="3" t="s">
        <v>497</v>
      </c>
      <c r="E178" s="101"/>
      <c r="F178" s="3" t="s">
        <v>438</v>
      </c>
      <c r="G178" s="74">
        <v>3906207</v>
      </c>
      <c r="H178" s="3" t="s">
        <v>172</v>
      </c>
      <c r="I178" s="74">
        <v>3350709</v>
      </c>
      <c r="K178" s="3"/>
      <c r="L178" s="4"/>
      <c r="N178" s="4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441" priority="619"/>
  </conditionalFormatting>
  <conditionalFormatting sqref="B10:B11 B16:B18 B13:B14">
    <cfRule type="duplicateValues" dxfId="5440" priority="3173"/>
  </conditionalFormatting>
  <conditionalFormatting sqref="B20">
    <cfRule type="duplicateValues" dxfId="5439" priority="242"/>
  </conditionalFormatting>
  <conditionalFormatting sqref="J10:J21 L10:L21">
    <cfRule type="cellIs" dxfId="5438" priority="35" operator="lessThan">
      <formula>5</formula>
    </cfRule>
    <cfRule type="cellIs" dxfId="5437" priority="36" operator="greaterThan">
      <formula>6</formula>
    </cfRule>
  </conditionalFormatting>
  <conditionalFormatting sqref="J10:J21">
    <cfRule type="containsText" dxfId="5436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435" priority="3181"/>
  </conditionalFormatting>
  <conditionalFormatting sqref="K5">
    <cfRule type="duplicateValues" dxfId="5434" priority="617"/>
  </conditionalFormatting>
  <conditionalFormatting sqref="K9">
    <cfRule type="containsText" dxfId="5433" priority="39" operator="containsText" text="c'[Fixtures All.xlsx]Women Filtered'!$F$2">
      <formula>NOT(ISERROR(SEARCH("c'[Fixtures All.xlsx]Women Filtered'!$F$2",K9)))</formula>
    </cfRule>
  </conditionalFormatting>
  <conditionalFormatting sqref="K26 M26">
    <cfRule type="containsText" dxfId="5432" priority="32" operator="containsText" text="BYE">
      <formula>NOT(ISERROR(SEARCH("BYE",K26)))</formula>
    </cfRule>
  </conditionalFormatting>
  <conditionalFormatting sqref="K31 M31">
    <cfRule type="containsText" dxfId="5431" priority="26" operator="containsText" text="BYE">
      <formula>NOT(ISERROR(SEARCH("BYE",K31)))</formula>
    </cfRule>
  </conditionalFormatting>
  <conditionalFormatting sqref="K90 M90">
    <cfRule type="containsText" dxfId="5430" priority="29" operator="containsText" text="BYE">
      <formula>NOT(ISERROR(SEARCH("BYE",K90)))</formula>
    </cfRule>
  </conditionalFormatting>
  <conditionalFormatting sqref="K98 M98">
    <cfRule type="containsText" dxfId="5429" priority="19" operator="containsText" text="BYE">
      <formula>NOT(ISERROR(SEARCH("BYE",K98)))</formula>
    </cfRule>
  </conditionalFormatting>
  <conditionalFormatting sqref="K101 M101">
    <cfRule type="containsText" dxfId="5428" priority="23" operator="containsText" text="BYE">
      <formula>NOT(ISERROR(SEARCH("BYE",K101)))</formula>
    </cfRule>
  </conditionalFormatting>
  <conditionalFormatting sqref="K27:L27">
    <cfRule type="duplicateValues" dxfId="5427" priority="284"/>
  </conditionalFormatting>
  <conditionalFormatting sqref="K28:L28">
    <cfRule type="duplicateValues" dxfId="5426" priority="278"/>
  </conditionalFormatting>
  <conditionalFormatting sqref="K29:L29">
    <cfRule type="duplicateValues" dxfId="5425" priority="277"/>
  </conditionalFormatting>
  <conditionalFormatting sqref="K30:L30">
    <cfRule type="duplicateValues" dxfId="5424" priority="279"/>
  </conditionalFormatting>
  <conditionalFormatting sqref="K103:L103">
    <cfRule type="duplicateValues" dxfId="5423" priority="313"/>
  </conditionalFormatting>
  <conditionalFormatting sqref="K104:L104">
    <cfRule type="duplicateValues" dxfId="5422" priority="311"/>
  </conditionalFormatting>
  <conditionalFormatting sqref="K105:L105">
    <cfRule type="duplicateValues" dxfId="5421" priority="322"/>
  </conditionalFormatting>
  <conditionalFormatting sqref="K106:L106">
    <cfRule type="duplicateValues" dxfId="5420" priority="321"/>
  </conditionalFormatting>
  <conditionalFormatting sqref="K107:L107">
    <cfRule type="duplicateValues" dxfId="5419" priority="320"/>
  </conditionalFormatting>
  <conditionalFormatting sqref="K108:L108">
    <cfRule type="duplicateValues" dxfId="5418" priority="319"/>
  </conditionalFormatting>
  <conditionalFormatting sqref="K91:M91">
    <cfRule type="containsText" dxfId="5417" priority="9" operator="containsText" text="SALE 2">
      <formula>NOT(ISERROR(SEARCH("SALE 2",K91)))</formula>
    </cfRule>
    <cfRule type="containsText" dxfId="5416" priority="10" operator="containsText" text="BROOKLAN">
      <formula>NOT(ISERROR(SEARCH("BROOKLAN",K91)))</formula>
    </cfRule>
  </conditionalFormatting>
  <conditionalFormatting sqref="K26:N26">
    <cfRule type="containsText" dxfId="5415" priority="30" operator="containsText" text="MANCHESTER 2">
      <formula>NOT(ISERROR(SEARCH("MANCHESTER 2",K26)))</formula>
    </cfRule>
    <cfRule type="containsText" dxfId="5414" priority="31" operator="containsText" text="DID">
      <formula>NOT(ISERROR(SEARCH("DID",K26)))</formula>
    </cfRule>
  </conditionalFormatting>
  <conditionalFormatting sqref="K27:N30">
    <cfRule type="containsText" dxfId="5413" priority="272" operator="containsText" text="Bye - ">
      <formula>NOT(ISERROR(SEARCH("Bye - ",K27)))</formula>
    </cfRule>
  </conditionalFormatting>
  <conditionalFormatting sqref="K31:N31">
    <cfRule type="containsText" dxfId="5412" priority="24" operator="containsText" text="MANCHESTER 2">
      <formula>NOT(ISERROR(SEARCH("MANCHESTER 2",K31)))</formula>
    </cfRule>
    <cfRule type="containsText" dxfId="5411" priority="25" operator="containsText" text="DID">
      <formula>NOT(ISERROR(SEARCH("DID",K31)))</formula>
    </cfRule>
  </conditionalFormatting>
  <conditionalFormatting sqref="K90:N90">
    <cfRule type="containsText" dxfId="5410" priority="27" operator="containsText" text="MANCHESTER 2">
      <formula>NOT(ISERROR(SEARCH("MANCHESTER 2",K90)))</formula>
    </cfRule>
    <cfRule type="containsText" dxfId="5409" priority="28" operator="containsText" text="DID">
      <formula>NOT(ISERROR(SEARCH("DID",K90)))</formula>
    </cfRule>
  </conditionalFormatting>
  <conditionalFormatting sqref="K98:N98">
    <cfRule type="containsText" dxfId="5408" priority="16" operator="containsText" text="uRM">
      <formula>NOT(ISERROR(SEARCH("uRM",K98)))</formula>
    </cfRule>
    <cfRule type="containsText" dxfId="5407" priority="17" operator="containsText" text="MANCHESTER 2">
      <formula>NOT(ISERROR(SEARCH("MANCHESTER 2",K98)))</formula>
    </cfRule>
    <cfRule type="containsText" dxfId="5406" priority="18" operator="containsText" text="DID">
      <formula>NOT(ISERROR(SEARCH("DID",K98)))</formula>
    </cfRule>
  </conditionalFormatting>
  <conditionalFormatting sqref="K101:N101">
    <cfRule type="containsText" dxfId="5405" priority="21" operator="containsText" text="MANCHESTER 2">
      <formula>NOT(ISERROR(SEARCH("MANCHESTER 2",K101)))</formula>
    </cfRule>
    <cfRule type="containsText" dxfId="5404" priority="22" operator="containsText" text="DID">
      <formula>NOT(ISERROR(SEARCH("DID",K101)))</formula>
    </cfRule>
  </conditionalFormatting>
  <conditionalFormatting sqref="K103:N108">
    <cfRule type="containsText" dxfId="5403" priority="310" operator="containsText" text="Bye - ">
      <formula>NOT(ISERROR(SEARCH("Bye - ",K103)))</formula>
    </cfRule>
  </conditionalFormatting>
  <conditionalFormatting sqref="L10:L21">
    <cfRule type="containsText" dxfId="5402" priority="38" operator="containsText" text="c'[Fixtures All.xlsx]Women Filtered'!$F$2">
      <formula>NOT(ISERROR(SEARCH("c'[Fixtures All.xlsx]Women Filtered'!$F$2",L10)))</formula>
    </cfRule>
  </conditionalFormatting>
  <conditionalFormatting sqref="M27:N27">
    <cfRule type="duplicateValues" dxfId="5401" priority="276"/>
  </conditionalFormatting>
  <conditionalFormatting sqref="M28:N28">
    <cfRule type="duplicateValues" dxfId="5400" priority="281"/>
  </conditionalFormatting>
  <conditionalFormatting sqref="M29:N29">
    <cfRule type="duplicateValues" dxfId="5399" priority="282"/>
  </conditionalFormatting>
  <conditionalFormatting sqref="M30:N30">
    <cfRule type="duplicateValues" dxfId="5398" priority="280"/>
  </conditionalFormatting>
  <conditionalFormatting sqref="M103:N103">
    <cfRule type="duplicateValues" dxfId="5397" priority="312"/>
  </conditionalFormatting>
  <conditionalFormatting sqref="M104:N104">
    <cfRule type="duplicateValues" dxfId="5396" priority="314"/>
  </conditionalFormatting>
  <conditionalFormatting sqref="M105:N105">
    <cfRule type="duplicateValues" dxfId="5395" priority="316"/>
  </conditionalFormatting>
  <conditionalFormatting sqref="M106:N106">
    <cfRule type="duplicateValues" dxfId="5394" priority="315"/>
  </conditionalFormatting>
  <conditionalFormatting sqref="M107:N107">
    <cfRule type="duplicateValues" dxfId="5393" priority="317"/>
  </conditionalFormatting>
  <conditionalFormatting sqref="M108:N108">
    <cfRule type="duplicateValues" dxfId="5392" priority="318"/>
  </conditionalFormatting>
  <conditionalFormatting sqref="N91">
    <cfRule type="containsText" dxfId="5391" priority="11" operator="containsText" text="uRM">
      <formula>NOT(ISERROR(SEARCH("uRM",N91)))</formula>
    </cfRule>
    <cfRule type="containsText" dxfId="5390" priority="12" operator="containsText" text="MANCHESTER 2">
      <formula>NOT(ISERROR(SEARCH("MANCHESTER 2",N91)))</formula>
    </cfRule>
    <cfRule type="containsText" dxfId="5389" priority="13" operator="containsText" text="DID">
      <formula>NOT(ISERROR(SEARCH("DID",N91)))</formula>
    </cfRule>
  </conditionalFormatting>
  <hyperlinks>
    <hyperlink ref="K3" location="Contents!A1" display="Back to Contents" xr:uid="{94F63B58-BA6C-4312-AAC7-FAA9B315B4E3}"/>
    <hyperlink ref="K5:K6" location="'All Fixtures'!A1" display="See all NW Fixtures" xr:uid="{FF6D52EB-DC0A-4433-B6C9-001632ACD0EE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CEEC7-703E-494E-8139-4FC8A3F83A76}">
  <dimension ref="A2:AQ175"/>
  <sheetViews>
    <sheetView zoomScale="90" zoomScaleNormal="90" workbookViewId="0"/>
  </sheetViews>
  <sheetFormatPr defaultRowHeight="14.4" x14ac:dyDescent="0.3"/>
  <cols>
    <col min="1" max="1" width="3.44140625" style="47" customWidth="1"/>
    <col min="2" max="2" width="39.44140625" style="3" customWidth="1"/>
    <col min="3" max="3" width="26.109375" style="3" customWidth="1"/>
    <col min="4" max="4" width="43.21875" style="3" customWidth="1"/>
    <col min="5" max="5" width="14.21875" style="3" customWidth="1"/>
    <col min="6" max="6" width="38.6640625" style="3" customWidth="1"/>
    <col min="7" max="7" width="9.77734375" style="3" customWidth="1"/>
    <col min="8" max="8" width="39.88671875" style="3" customWidth="1"/>
    <col min="9" max="9" width="8.88671875" style="3"/>
    <col min="10" max="10" width="5.6640625" style="3" customWidth="1"/>
    <col min="11" max="11" width="34.332031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499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D6" s="59"/>
      <c r="E6" s="59"/>
      <c r="F6" s="59"/>
      <c r="G6" s="59"/>
      <c r="H6" s="59"/>
      <c r="I6" s="59"/>
      <c r="J6" s="59"/>
      <c r="K6" s="186"/>
    </row>
    <row r="7" spans="1:12" ht="15" customHeight="1" x14ac:dyDescent="0.3">
      <c r="D7" s="59"/>
      <c r="E7" s="59"/>
      <c r="F7" s="59"/>
      <c r="G7" s="59"/>
      <c r="H7" s="59"/>
      <c r="I7" s="59"/>
      <c r="J7" s="59"/>
    </row>
    <row r="8" spans="1:12" ht="15" customHeight="1" x14ac:dyDescent="0.7">
      <c r="B8" s="16"/>
      <c r="D8" s="59"/>
      <c r="E8" s="59"/>
      <c r="F8" s="59"/>
      <c r="G8" s="59"/>
      <c r="H8" s="59"/>
      <c r="I8" s="59"/>
      <c r="J8" s="59"/>
    </row>
    <row r="9" spans="1:12" ht="15" customHeight="1" x14ac:dyDescent="0.4">
      <c r="B9" s="21" t="s">
        <v>85</v>
      </c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s="3" customFormat="1" ht="15" customHeight="1" x14ac:dyDescent="0.3">
      <c r="A10" s="47">
        <f>COUNTIF(F$24:I$130,"Bebington 3")</f>
        <v>18</v>
      </c>
      <c r="B10" s="3" t="s">
        <v>226</v>
      </c>
      <c r="C10" s="74">
        <v>3361902</v>
      </c>
      <c r="D10" s="57">
        <f>COUNTIF(F$24:I$130,"3361902")</f>
        <v>18</v>
      </c>
      <c r="E10" s="59"/>
      <c r="F10" s="57">
        <f>COUNTIF(F$24:F$130,"Bebington 3")</f>
        <v>9</v>
      </c>
      <c r="G10" s="47"/>
      <c r="H10" s="57">
        <f>COUNTIF(H$24:H$130,"Bebington 3")</f>
        <v>9</v>
      </c>
      <c r="I10" s="57">
        <f>COUNTIF(F$24:F$76,"Bebington 3")</f>
        <v>4</v>
      </c>
      <c r="J10" s="57">
        <f>COUNTIF(F$77:F$130,"Bebington 3")</f>
        <v>5</v>
      </c>
      <c r="K10" s="57">
        <f>COUNTIF(H$24:H$76,"Bebington 3")</f>
        <v>5</v>
      </c>
      <c r="L10" s="57">
        <f>COUNTIF(H$77:H$130,"Bebington 3")</f>
        <v>4</v>
      </c>
    </row>
    <row r="11" spans="1:12" s="3" customFormat="1" ht="15" customHeight="1" x14ac:dyDescent="0.3">
      <c r="A11" s="47">
        <f>COUNTIF(F$24:I$130,"Bye - See Available Team in 7 South (Central)")</f>
        <v>18</v>
      </c>
      <c r="B11" s="59" t="s">
        <v>599</v>
      </c>
      <c r="C11" s="97" t="s">
        <v>556</v>
      </c>
      <c r="D11" s="57">
        <f>COUNTIF(F$24:I$130,"Code")</f>
        <v>18</v>
      </c>
      <c r="E11" s="59"/>
      <c r="F11" s="57">
        <f>COUNTIF(F$24:F$130,"Bye - See Available Team in 7 South (Central)")</f>
        <v>9</v>
      </c>
      <c r="G11" s="47"/>
      <c r="H11" s="57">
        <f>COUNTIF(H$24:H$130,"Bye - See Available Team in 7 South (Central)")</f>
        <v>9</v>
      </c>
      <c r="I11" s="57">
        <f>COUNTIF(F$24:F$76,"Bye - See Available Team in 7 South (Central)")</f>
        <v>4</v>
      </c>
      <c r="J11" s="57">
        <f>COUNTIF(F$77:F$130,"Bye - See Available Team in 7 South (Central)")</f>
        <v>5</v>
      </c>
      <c r="K11" s="57">
        <f>COUNTIF(H$24:H$76,"Bye - See Available Team in 7 South (Central)")</f>
        <v>5</v>
      </c>
      <c r="L11" s="57">
        <f>COUNTIF(H$77:H$130,"Bye - See Available Team in 7 South (Central)")</f>
        <v>4</v>
      </c>
    </row>
    <row r="12" spans="1:12" s="3" customFormat="1" ht="15" customHeight="1" x14ac:dyDescent="0.3">
      <c r="A12" s="47">
        <f>COUNTIF(F$24:I$130,"Chester 6")</f>
        <v>18</v>
      </c>
      <c r="B12" s="3" t="s">
        <v>228</v>
      </c>
      <c r="C12" s="74">
        <v>3358607</v>
      </c>
      <c r="D12" s="57">
        <f>COUNTIF(F$24:I$130,"3358607")</f>
        <v>18</v>
      </c>
      <c r="E12" s="59"/>
      <c r="F12" s="57">
        <f>COUNTIF(F$24:F$130,"Chester 6")</f>
        <v>9</v>
      </c>
      <c r="G12" s="47"/>
      <c r="H12" s="57">
        <f>COUNTIF(H$24:H$130,"Chester 6")</f>
        <v>9</v>
      </c>
      <c r="I12" s="57">
        <f>COUNTIF(F$24:F$76,"Chester 6")</f>
        <v>5</v>
      </c>
      <c r="J12" s="57">
        <f>COUNTIF(F$77:F$130,"Chester 6")</f>
        <v>4</v>
      </c>
      <c r="K12" s="57">
        <f>COUNTIF(H$24:H$76,"Chester 6")</f>
        <v>4</v>
      </c>
      <c r="L12" s="57">
        <f>COUNTIF(H$77:H$130,"Chester 6")</f>
        <v>5</v>
      </c>
    </row>
    <row r="13" spans="1:12" s="3" customFormat="1" ht="15" customHeight="1" x14ac:dyDescent="0.3">
      <c r="A13" s="47">
        <f>COUNTIF(F$24:I$130,"Clwb Hoci Eirias Development")</f>
        <v>18</v>
      </c>
      <c r="B13" s="3" t="s">
        <v>573</v>
      </c>
      <c r="C13" s="74">
        <v>3818400</v>
      </c>
      <c r="D13" s="57">
        <f>COUNTIF(F$24:I$130,"3818400")</f>
        <v>18</v>
      </c>
      <c r="E13" s="59"/>
      <c r="F13" s="57">
        <f>COUNTIF(F$24:F$130,"Clwb Hoci Eirias Development")</f>
        <v>9</v>
      </c>
      <c r="G13" s="47"/>
      <c r="H13" s="57">
        <f>COUNTIF(H$24:H$130,"Clwb Hoci Eirias Development")</f>
        <v>9</v>
      </c>
      <c r="I13" s="57">
        <f>COUNTIF(F$24:F$76,"Clwb Hoci Eirias Development")</f>
        <v>4</v>
      </c>
      <c r="J13" s="57">
        <f>COUNTIF(F$77:F$130,"Clwb Hoci Eirias Development")</f>
        <v>5</v>
      </c>
      <c r="K13" s="57">
        <f>COUNTIF(H$24:H$76,"Clwb Hoci Eirias Development")</f>
        <v>5</v>
      </c>
      <c r="L13" s="57">
        <f>COUNTIF(H$77:H$130,"Clwb Hoci Eirias Development")</f>
        <v>4</v>
      </c>
    </row>
    <row r="14" spans="1:12" s="3" customFormat="1" x14ac:dyDescent="0.3">
      <c r="A14" s="47">
        <f>COUNTIF(F$24:I$130,"Denbigh 2")</f>
        <v>18</v>
      </c>
      <c r="B14" s="3" t="s">
        <v>461</v>
      </c>
      <c r="C14" s="74">
        <v>3818702</v>
      </c>
      <c r="D14" s="57">
        <f>COUNTIF(F$24:I$130,"3818702")</f>
        <v>18</v>
      </c>
      <c r="E14" s="59"/>
      <c r="F14" s="57">
        <f>COUNTIF(F$24:F$130,"Denbigh 2")</f>
        <v>9</v>
      </c>
      <c r="G14" s="47"/>
      <c r="H14" s="57">
        <f>COUNTIF(H$24:H$130,"Denbigh 2")</f>
        <v>9</v>
      </c>
      <c r="I14" s="57">
        <f>COUNTIF(F$24:F$76,"Denbigh 2")</f>
        <v>5</v>
      </c>
      <c r="J14" s="57">
        <f>COUNTIF(F$77:F$130,"Denbigh 2")</f>
        <v>4</v>
      </c>
      <c r="K14" s="57">
        <f>COUNTIF(H$24:H$76,"Denbigh 2")</f>
        <v>4</v>
      </c>
      <c r="L14" s="57">
        <f>COUNTIF(H$77:H$130,"Denbigh 2")</f>
        <v>5</v>
      </c>
    </row>
    <row r="15" spans="1:12" s="3" customFormat="1" x14ac:dyDescent="0.3">
      <c r="A15" s="47">
        <f>COUNTIF(F$24:I$130,"Neston 6")</f>
        <v>18</v>
      </c>
      <c r="B15" s="3" t="s">
        <v>597</v>
      </c>
      <c r="C15" s="74">
        <v>3352707</v>
      </c>
      <c r="D15" s="57">
        <f>COUNTIF(F$24:I$130,"3352707")</f>
        <v>18</v>
      </c>
      <c r="E15" s="59"/>
      <c r="F15" s="57">
        <f>COUNTIF(F$24:F$130,"Neston 6")</f>
        <v>9</v>
      </c>
      <c r="G15" s="47"/>
      <c r="H15" s="57">
        <f>COUNTIF(H$24:H$130,"Neston 6")</f>
        <v>9</v>
      </c>
      <c r="I15" s="57">
        <f>COUNTIF(F$24:F$76,"Neston 6")</f>
        <v>4</v>
      </c>
      <c r="J15" s="57">
        <f>COUNTIF(F$77:F$130,"Neston 6")</f>
        <v>5</v>
      </c>
      <c r="K15" s="57">
        <f>COUNTIF(H$24:H$76,"Neston 6")</f>
        <v>5</v>
      </c>
      <c r="L15" s="57">
        <f>COUNTIF(H$77:H$130,"Neston 6")</f>
        <v>4</v>
      </c>
    </row>
    <row r="16" spans="1:12" s="3" customFormat="1" x14ac:dyDescent="0.3">
      <c r="A16" s="47">
        <f>COUNTIF(F$24:I$130,"Northop Hall 3")</f>
        <v>18</v>
      </c>
      <c r="B16" s="3" t="s">
        <v>571</v>
      </c>
      <c r="C16" s="74">
        <v>3900505</v>
      </c>
      <c r="D16" s="57">
        <f>COUNTIF(F$24:I$130,"3900505")</f>
        <v>18</v>
      </c>
      <c r="E16" s="59"/>
      <c r="F16" s="57">
        <f>COUNTIF(F$24:F$130,"Northop Hall 3")</f>
        <v>9</v>
      </c>
      <c r="G16" s="47"/>
      <c r="H16" s="57">
        <f>COUNTIF(H$24:H$130,"Northop Hall 3")</f>
        <v>9</v>
      </c>
      <c r="I16" s="57">
        <f>COUNTIF(F$24:F$76,"Northop Hall 3")</f>
        <v>5</v>
      </c>
      <c r="J16" s="57">
        <f>COUNTIF(F$77:F$130,"Northop Hall 3")</f>
        <v>4</v>
      </c>
      <c r="K16" s="57">
        <f>COUNTIF(H$24:H$76,"Northop Hall 3")</f>
        <v>4</v>
      </c>
      <c r="L16" s="57">
        <f>COUNTIF(H$77:H$130,"Northop Hall 3")</f>
        <v>5</v>
      </c>
    </row>
    <row r="17" spans="1:12" s="3" customFormat="1" x14ac:dyDescent="0.3">
      <c r="A17" s="47">
        <f>COUNTIF(F$24:I$130,"Oxton Development")</f>
        <v>18</v>
      </c>
      <c r="B17" s="3" t="s">
        <v>230</v>
      </c>
      <c r="C17" s="74">
        <v>3900609</v>
      </c>
      <c r="D17" s="57">
        <f>COUNTIF(F$24:I$130,"3900609")</f>
        <v>18</v>
      </c>
      <c r="E17" s="59"/>
      <c r="F17" s="57">
        <f>COUNTIF(F$24:F$130,"Oxton Development")</f>
        <v>9</v>
      </c>
      <c r="G17" s="47"/>
      <c r="H17" s="57">
        <f>COUNTIF(H$24:H$130,"Oxton Development")</f>
        <v>9</v>
      </c>
      <c r="I17" s="57">
        <f>COUNTIF(F$24:F$76,"Oxton Development")</f>
        <v>4</v>
      </c>
      <c r="J17" s="57">
        <f>COUNTIF(F$77:F$130,"Oxton Development")</f>
        <v>5</v>
      </c>
      <c r="K17" s="57">
        <f>COUNTIF(H$24:H$76,"Oxton Development")</f>
        <v>5</v>
      </c>
      <c r="L17" s="57">
        <f>COUNTIF(H$77:H$130,"Oxton Development")</f>
        <v>4</v>
      </c>
    </row>
    <row r="18" spans="1:12" s="3" customFormat="1" x14ac:dyDescent="0.3">
      <c r="A18" s="47">
        <f>COUNTIF(F$24:I$130,"Runcorn 2")</f>
        <v>18</v>
      </c>
      <c r="B18" s="3" t="s">
        <v>572</v>
      </c>
      <c r="C18" s="74">
        <v>3350303</v>
      </c>
      <c r="D18" s="57">
        <f>COUNTIF(F$24:I$130,"3350303")</f>
        <v>18</v>
      </c>
      <c r="E18" s="59"/>
      <c r="F18" s="57">
        <f>COUNTIF(F$24:F$130,"Runcorn 2")</f>
        <v>9</v>
      </c>
      <c r="G18" s="47"/>
      <c r="H18" s="57">
        <f>COUNTIF(H$24:H$130,"Runcorn 2")</f>
        <v>9</v>
      </c>
      <c r="I18" s="57">
        <f>COUNTIF(F$24:F$76,"Runcorn 2")</f>
        <v>5</v>
      </c>
      <c r="J18" s="57">
        <f>COUNTIF(F$77:F$130,"Runcorn 2")</f>
        <v>4</v>
      </c>
      <c r="K18" s="57">
        <f>COUNTIF(H$24:H$76,"Runcorn 2")</f>
        <v>4</v>
      </c>
      <c r="L18" s="57">
        <f>COUNTIF(H$77:H$130,"Runcorn 2")</f>
        <v>5</v>
      </c>
    </row>
    <row r="19" spans="1:12" s="3" customFormat="1" x14ac:dyDescent="0.3">
      <c r="A19" s="47">
        <f>COUNTIF(F$24:I$130,"Wrexham Glyndwr Development")</f>
        <v>18</v>
      </c>
      <c r="B19" s="3" t="s">
        <v>231</v>
      </c>
      <c r="C19" s="74">
        <v>3819503</v>
      </c>
      <c r="D19" s="57">
        <f>COUNTIF(F$24:I$130,"3819503")</f>
        <v>18</v>
      </c>
      <c r="E19" s="59"/>
      <c r="F19" s="57">
        <f>COUNTIF(F$24:F$130,"Wrexham Glyndwr Development")</f>
        <v>9</v>
      </c>
      <c r="G19" s="47"/>
      <c r="H19" s="57">
        <f>COUNTIF(H$24:H$130,"Wrexham Glyndwr Development")</f>
        <v>9</v>
      </c>
      <c r="I19" s="57">
        <f>COUNTIF(F$24:F$76,"Wrexham Glyndwr Development")</f>
        <v>5</v>
      </c>
      <c r="J19" s="57">
        <f>COUNTIF(F$77:F$130,"Wrexham Glyndwr Development")</f>
        <v>4</v>
      </c>
      <c r="K19" s="57">
        <f>COUNTIF(H$24:H$76,"Wrexham Glyndwr Development")</f>
        <v>4</v>
      </c>
      <c r="L19" s="57">
        <f>COUNTIF(H$77:H$130,"Wrexham Glyndwr Development")</f>
        <v>5</v>
      </c>
    </row>
    <row r="20" spans="1:12" x14ac:dyDescent="0.3">
      <c r="D20" s="59"/>
      <c r="E20" s="59"/>
      <c r="F20" s="59"/>
      <c r="G20" s="59"/>
      <c r="H20" s="59"/>
      <c r="I20" s="59"/>
      <c r="J20" s="59"/>
    </row>
    <row r="21" spans="1:12" ht="21" x14ac:dyDescent="0.4">
      <c r="B21" s="22" t="s">
        <v>93</v>
      </c>
      <c r="D21" s="59"/>
      <c r="E21" s="59"/>
      <c r="F21" s="59"/>
      <c r="G21" s="59"/>
      <c r="H21" s="59"/>
      <c r="I21" s="59"/>
      <c r="J21" s="59"/>
    </row>
    <row r="22" spans="1:12" s="3" customFormat="1" x14ac:dyDescent="0.3">
      <c r="A22" s="47"/>
      <c r="B22" s="40" t="s">
        <v>408</v>
      </c>
      <c r="C22" s="14" t="s">
        <v>409</v>
      </c>
      <c r="D22" s="14" t="s">
        <v>410</v>
      </c>
      <c r="E22" s="14" t="s">
        <v>411</v>
      </c>
      <c r="F22" s="14" t="s">
        <v>412</v>
      </c>
      <c r="G22" s="14" t="s">
        <v>413</v>
      </c>
      <c r="H22" s="14" t="s">
        <v>414</v>
      </c>
      <c r="I22" s="14" t="s">
        <v>415</v>
      </c>
      <c r="K22" s="117" t="s">
        <v>601</v>
      </c>
    </row>
    <row r="23" spans="1:12" x14ac:dyDescent="0.3">
      <c r="B23" s="44"/>
    </row>
    <row r="24" spans="1:12" x14ac:dyDescent="0.3">
      <c r="B24" s="44">
        <v>45920</v>
      </c>
      <c r="C24" s="3" t="s">
        <v>416</v>
      </c>
      <c r="D24" s="3" t="s">
        <v>499</v>
      </c>
      <c r="E24" s="101"/>
      <c r="F24" s="3" t="s">
        <v>231</v>
      </c>
      <c r="G24" s="4">
        <v>3819503</v>
      </c>
      <c r="H24" s="3" t="s">
        <v>226</v>
      </c>
      <c r="I24" s="4">
        <v>3361902</v>
      </c>
    </row>
    <row r="25" spans="1:12" x14ac:dyDescent="0.3">
      <c r="B25" s="44">
        <v>45920</v>
      </c>
      <c r="C25" s="3" t="s">
        <v>416</v>
      </c>
      <c r="D25" s="3" t="s">
        <v>499</v>
      </c>
      <c r="E25" s="101"/>
      <c r="F25" s="3" t="s">
        <v>461</v>
      </c>
      <c r="G25" s="4">
        <v>3818702</v>
      </c>
      <c r="H25" s="3" t="s">
        <v>230</v>
      </c>
      <c r="I25" s="4">
        <v>3900609</v>
      </c>
      <c r="K25" s="3"/>
    </row>
    <row r="26" spans="1:12" x14ac:dyDescent="0.3">
      <c r="B26" s="44">
        <v>45920</v>
      </c>
      <c r="C26" s="3" t="s">
        <v>416</v>
      </c>
      <c r="D26" s="3" t="s">
        <v>499</v>
      </c>
      <c r="E26" s="101"/>
      <c r="F26" s="3" t="s">
        <v>572</v>
      </c>
      <c r="G26" s="74">
        <v>3350303</v>
      </c>
      <c r="H26" s="3" t="s">
        <v>573</v>
      </c>
      <c r="I26" s="4">
        <v>3818400</v>
      </c>
    </row>
    <row r="27" spans="1:12" x14ac:dyDescent="0.3">
      <c r="B27" s="44">
        <v>45920</v>
      </c>
      <c r="C27" s="3" t="s">
        <v>416</v>
      </c>
      <c r="D27" s="3" t="s">
        <v>499</v>
      </c>
      <c r="E27" s="101"/>
      <c r="F27" s="3" t="s">
        <v>228</v>
      </c>
      <c r="G27" s="74">
        <v>3358607</v>
      </c>
      <c r="H27" s="3" t="s">
        <v>597</v>
      </c>
      <c r="I27" s="4">
        <v>3352707</v>
      </c>
    </row>
    <row r="28" spans="1:12" x14ac:dyDescent="0.3">
      <c r="B28" s="44">
        <v>45920</v>
      </c>
      <c r="C28" s="3" t="s">
        <v>416</v>
      </c>
      <c r="D28" s="3" t="s">
        <v>499</v>
      </c>
      <c r="E28" s="101"/>
      <c r="F28" s="3" t="s">
        <v>571</v>
      </c>
      <c r="G28" s="4">
        <v>3900505</v>
      </c>
      <c r="H28" s="3" t="s">
        <v>599</v>
      </c>
      <c r="I28" s="4" t="s">
        <v>556</v>
      </c>
      <c r="K28" s="3" t="s">
        <v>571</v>
      </c>
      <c r="L28" s="3" t="s">
        <v>598</v>
      </c>
    </row>
    <row r="29" spans="1:12" x14ac:dyDescent="0.3">
      <c r="B29" s="44"/>
      <c r="E29" s="101"/>
      <c r="F29" s="3" t="s">
        <v>418</v>
      </c>
      <c r="G29" s="4" t="s">
        <v>418</v>
      </c>
      <c r="H29" s="3" t="s">
        <v>418</v>
      </c>
      <c r="I29" s="4" t="s">
        <v>418</v>
      </c>
    </row>
    <row r="30" spans="1:12" x14ac:dyDescent="0.3">
      <c r="B30" s="44">
        <v>45927</v>
      </c>
      <c r="C30" s="3" t="s">
        <v>416</v>
      </c>
      <c r="D30" s="3" t="s">
        <v>499</v>
      </c>
      <c r="E30" s="101"/>
      <c r="F30" s="3" t="s">
        <v>230</v>
      </c>
      <c r="G30" s="4">
        <v>3900609</v>
      </c>
      <c r="H30" s="3" t="s">
        <v>572</v>
      </c>
      <c r="I30" s="53">
        <v>3350303</v>
      </c>
    </row>
    <row r="31" spans="1:12" x14ac:dyDescent="0.3">
      <c r="B31" s="44">
        <v>45927</v>
      </c>
      <c r="C31" s="3" t="s">
        <v>416</v>
      </c>
      <c r="D31" s="3" t="s">
        <v>499</v>
      </c>
      <c r="E31" s="101"/>
      <c r="F31" s="3" t="s">
        <v>226</v>
      </c>
      <c r="G31" s="4">
        <v>3361902</v>
      </c>
      <c r="H31" s="3" t="s">
        <v>599</v>
      </c>
      <c r="I31" s="4" t="s">
        <v>556</v>
      </c>
      <c r="K31" s="3" t="s">
        <v>241</v>
      </c>
      <c r="L31" s="3" t="s">
        <v>226</v>
      </c>
    </row>
    <row r="32" spans="1:12" x14ac:dyDescent="0.3">
      <c r="B32" s="44">
        <v>45927</v>
      </c>
      <c r="C32" s="3" t="s">
        <v>416</v>
      </c>
      <c r="D32" s="3" t="s">
        <v>499</v>
      </c>
      <c r="E32" s="101"/>
      <c r="F32" s="3" t="s">
        <v>597</v>
      </c>
      <c r="G32" s="4">
        <v>3352707</v>
      </c>
      <c r="H32" s="3" t="s">
        <v>231</v>
      </c>
      <c r="I32" s="4">
        <v>3819503</v>
      </c>
    </row>
    <row r="33" spans="2:13" x14ac:dyDescent="0.3">
      <c r="B33" s="44">
        <v>45927</v>
      </c>
      <c r="C33" s="3" t="s">
        <v>416</v>
      </c>
      <c r="D33" s="3" t="s">
        <v>499</v>
      </c>
      <c r="E33" s="101"/>
      <c r="F33" s="3" t="s">
        <v>571</v>
      </c>
      <c r="G33" s="4">
        <v>3900505</v>
      </c>
      <c r="H33" s="3" t="s">
        <v>461</v>
      </c>
      <c r="I33" s="4">
        <v>3818702</v>
      </c>
      <c r="K33" s="3"/>
    </row>
    <row r="34" spans="2:13" x14ac:dyDescent="0.3">
      <c r="B34" s="44">
        <v>45927</v>
      </c>
      <c r="C34" s="3" t="s">
        <v>416</v>
      </c>
      <c r="D34" s="3" t="s">
        <v>499</v>
      </c>
      <c r="E34" s="101"/>
      <c r="F34" s="3" t="s">
        <v>573</v>
      </c>
      <c r="G34" s="4">
        <v>3818400</v>
      </c>
      <c r="H34" s="3" t="s">
        <v>228</v>
      </c>
      <c r="I34" s="53">
        <v>3358607</v>
      </c>
    </row>
    <row r="35" spans="2:13" x14ac:dyDescent="0.3">
      <c r="B35" s="44"/>
      <c r="E35" s="101"/>
      <c r="F35" s="3" t="s">
        <v>418</v>
      </c>
      <c r="G35" s="4" t="s">
        <v>418</v>
      </c>
      <c r="H35" s="3" t="s">
        <v>418</v>
      </c>
      <c r="I35" s="4" t="s">
        <v>418</v>
      </c>
    </row>
    <row r="36" spans="2:13" x14ac:dyDescent="0.3">
      <c r="B36" s="44">
        <v>45934</v>
      </c>
      <c r="C36" s="3" t="s">
        <v>416</v>
      </c>
      <c r="D36" s="3" t="s">
        <v>499</v>
      </c>
      <c r="E36" s="101"/>
      <c r="F36" s="3" t="s">
        <v>230</v>
      </c>
      <c r="G36" s="4">
        <v>3900609</v>
      </c>
      <c r="H36" s="3" t="s">
        <v>571</v>
      </c>
      <c r="I36" s="4">
        <v>3900505</v>
      </c>
    </row>
    <row r="37" spans="2:13" x14ac:dyDescent="0.3">
      <c r="B37" s="44">
        <v>45934</v>
      </c>
      <c r="C37" s="3" t="s">
        <v>416</v>
      </c>
      <c r="D37" s="3" t="s">
        <v>499</v>
      </c>
      <c r="E37" s="101"/>
      <c r="F37" s="3" t="s">
        <v>231</v>
      </c>
      <c r="G37" s="4">
        <v>3819503</v>
      </c>
      <c r="H37" s="3" t="s">
        <v>573</v>
      </c>
      <c r="I37" s="4">
        <v>3818400</v>
      </c>
    </row>
    <row r="38" spans="2:13" x14ac:dyDescent="0.3">
      <c r="B38" s="44">
        <v>45934</v>
      </c>
      <c r="C38" s="3" t="s">
        <v>416</v>
      </c>
      <c r="D38" s="3" t="s">
        <v>499</v>
      </c>
      <c r="E38" s="101"/>
      <c r="F38" s="3" t="s">
        <v>461</v>
      </c>
      <c r="G38" s="4">
        <v>3818702</v>
      </c>
      <c r="H38" s="3" t="s">
        <v>226</v>
      </c>
      <c r="I38" s="4">
        <v>3361902</v>
      </c>
      <c r="K38" s="3"/>
      <c r="M38" s="4"/>
    </row>
    <row r="39" spans="2:13" x14ac:dyDescent="0.3">
      <c r="B39" s="44">
        <v>45934</v>
      </c>
      <c r="C39" s="3" t="s">
        <v>416</v>
      </c>
      <c r="D39" s="3" t="s">
        <v>499</v>
      </c>
      <c r="E39" s="101"/>
      <c r="F39" s="3" t="s">
        <v>228</v>
      </c>
      <c r="G39" s="53">
        <v>3358607</v>
      </c>
      <c r="H39" s="3" t="s">
        <v>572</v>
      </c>
      <c r="I39" s="53">
        <v>3350303</v>
      </c>
    </row>
    <row r="40" spans="2:13" x14ac:dyDescent="0.3">
      <c r="B40" s="44">
        <v>45934</v>
      </c>
      <c r="C40" s="3" t="s">
        <v>416</v>
      </c>
      <c r="D40" s="3" t="s">
        <v>499</v>
      </c>
      <c r="E40" s="101"/>
      <c r="F40" s="3" t="s">
        <v>599</v>
      </c>
      <c r="G40" s="4" t="s">
        <v>556</v>
      </c>
      <c r="H40" s="3" t="s">
        <v>597</v>
      </c>
      <c r="I40" s="4">
        <v>3352707</v>
      </c>
      <c r="K40" s="3" t="s">
        <v>597</v>
      </c>
      <c r="L40" s="3" t="s">
        <v>243</v>
      </c>
      <c r="M40" s="4"/>
    </row>
    <row r="41" spans="2:13" x14ac:dyDescent="0.3">
      <c r="B41" s="44"/>
      <c r="E41" s="101"/>
      <c r="F41" s="3" t="s">
        <v>418</v>
      </c>
      <c r="G41" s="4" t="s">
        <v>418</v>
      </c>
      <c r="H41" s="3" t="s">
        <v>418</v>
      </c>
      <c r="I41" s="4" t="s">
        <v>418</v>
      </c>
    </row>
    <row r="42" spans="2:13" x14ac:dyDescent="0.3">
      <c r="B42" s="44">
        <v>45941</v>
      </c>
      <c r="C42" s="3" t="s">
        <v>416</v>
      </c>
      <c r="D42" s="3" t="s">
        <v>499</v>
      </c>
      <c r="E42" s="101"/>
      <c r="F42" s="3" t="s">
        <v>226</v>
      </c>
      <c r="G42" s="4">
        <v>3361902</v>
      </c>
      <c r="H42" s="3" t="s">
        <v>571</v>
      </c>
      <c r="I42" s="4">
        <v>3900505</v>
      </c>
    </row>
    <row r="43" spans="2:13" x14ac:dyDescent="0.3">
      <c r="B43" s="44">
        <v>45941</v>
      </c>
      <c r="C43" s="3" t="s">
        <v>416</v>
      </c>
      <c r="D43" s="3" t="s">
        <v>499</v>
      </c>
      <c r="E43" s="101"/>
      <c r="F43" s="3" t="s">
        <v>597</v>
      </c>
      <c r="G43" s="4">
        <v>3352707</v>
      </c>
      <c r="H43" s="3" t="s">
        <v>461</v>
      </c>
      <c r="I43" s="4">
        <v>3818702</v>
      </c>
      <c r="K43" s="3"/>
    </row>
    <row r="44" spans="2:13" x14ac:dyDescent="0.3">
      <c r="B44" s="44">
        <v>45941</v>
      </c>
      <c r="C44" s="3" t="s">
        <v>416</v>
      </c>
      <c r="D44" s="3" t="s">
        <v>499</v>
      </c>
      <c r="E44" s="101"/>
      <c r="F44" s="3" t="s">
        <v>572</v>
      </c>
      <c r="G44" s="53">
        <v>3350303</v>
      </c>
      <c r="H44" s="3" t="s">
        <v>231</v>
      </c>
      <c r="I44" s="4">
        <v>3819503</v>
      </c>
    </row>
    <row r="45" spans="2:13" x14ac:dyDescent="0.3">
      <c r="B45" s="44">
        <v>45941</v>
      </c>
      <c r="C45" s="3" t="s">
        <v>416</v>
      </c>
      <c r="D45" s="3" t="s">
        <v>499</v>
      </c>
      <c r="E45" s="101"/>
      <c r="F45" s="3" t="s">
        <v>228</v>
      </c>
      <c r="G45" s="53">
        <v>3358607</v>
      </c>
      <c r="H45" s="3" t="s">
        <v>230</v>
      </c>
      <c r="I45" s="4">
        <v>3900609</v>
      </c>
    </row>
    <row r="46" spans="2:13" x14ac:dyDescent="0.3">
      <c r="B46" s="44">
        <v>45941</v>
      </c>
      <c r="C46" s="3" t="s">
        <v>416</v>
      </c>
      <c r="D46" s="3" t="s">
        <v>499</v>
      </c>
      <c r="E46" s="101"/>
      <c r="F46" s="3" t="s">
        <v>573</v>
      </c>
      <c r="G46" s="4">
        <v>3818400</v>
      </c>
      <c r="H46" s="3" t="s">
        <v>599</v>
      </c>
      <c r="I46" s="4" t="s">
        <v>556</v>
      </c>
      <c r="K46" s="3" t="s">
        <v>573</v>
      </c>
      <c r="L46" s="3" t="s">
        <v>580</v>
      </c>
    </row>
    <row r="47" spans="2:13" x14ac:dyDescent="0.3">
      <c r="B47" s="44"/>
      <c r="E47" s="101"/>
      <c r="F47" s="3" t="s">
        <v>418</v>
      </c>
      <c r="G47" s="4" t="s">
        <v>418</v>
      </c>
      <c r="H47" s="3" t="s">
        <v>418</v>
      </c>
      <c r="I47" s="4" t="s">
        <v>418</v>
      </c>
    </row>
    <row r="48" spans="2:13" x14ac:dyDescent="0.3">
      <c r="B48" s="44">
        <v>45962</v>
      </c>
      <c r="C48" s="3" t="s">
        <v>416</v>
      </c>
      <c r="D48" s="3" t="s">
        <v>499</v>
      </c>
      <c r="E48" s="101"/>
      <c r="F48" s="3" t="s">
        <v>230</v>
      </c>
      <c r="G48" s="4">
        <v>3900609</v>
      </c>
      <c r="H48" s="3" t="s">
        <v>226</v>
      </c>
      <c r="I48" s="4">
        <v>3361902</v>
      </c>
    </row>
    <row r="49" spans="2:12" x14ac:dyDescent="0.3">
      <c r="B49" s="44">
        <v>45962</v>
      </c>
      <c r="C49" s="3" t="s">
        <v>416</v>
      </c>
      <c r="D49" s="3" t="s">
        <v>499</v>
      </c>
      <c r="E49" s="101"/>
      <c r="F49" s="3" t="s">
        <v>231</v>
      </c>
      <c r="G49" s="4">
        <v>3819503</v>
      </c>
      <c r="H49" s="3" t="s">
        <v>228</v>
      </c>
      <c r="I49" s="53">
        <v>3358607</v>
      </c>
    </row>
    <row r="50" spans="2:12" x14ac:dyDescent="0.3">
      <c r="B50" s="44">
        <v>45962</v>
      </c>
      <c r="C50" s="3" t="s">
        <v>416</v>
      </c>
      <c r="D50" s="3" t="s">
        <v>499</v>
      </c>
      <c r="E50" s="101"/>
      <c r="F50" s="3" t="s">
        <v>461</v>
      </c>
      <c r="G50" s="4">
        <v>3818702</v>
      </c>
      <c r="H50" s="3" t="s">
        <v>573</v>
      </c>
      <c r="I50" s="4">
        <v>3818400</v>
      </c>
      <c r="K50" s="3"/>
    </row>
    <row r="51" spans="2:12" x14ac:dyDescent="0.3">
      <c r="B51" s="44">
        <v>45962</v>
      </c>
      <c r="C51" s="3" t="s">
        <v>416</v>
      </c>
      <c r="D51" s="3" t="s">
        <v>499</v>
      </c>
      <c r="E51" s="101"/>
      <c r="F51" s="3" t="s">
        <v>571</v>
      </c>
      <c r="G51" s="4">
        <v>3900505</v>
      </c>
      <c r="H51" s="3" t="s">
        <v>597</v>
      </c>
      <c r="I51" s="4">
        <v>3352707</v>
      </c>
    </row>
    <row r="52" spans="2:12" x14ac:dyDescent="0.3">
      <c r="B52" s="44">
        <v>45962</v>
      </c>
      <c r="C52" s="3" t="s">
        <v>416</v>
      </c>
      <c r="D52" s="3" t="s">
        <v>499</v>
      </c>
      <c r="E52" s="101"/>
      <c r="F52" s="3" t="s">
        <v>599</v>
      </c>
      <c r="G52" s="4" t="s">
        <v>556</v>
      </c>
      <c r="H52" s="3" t="s">
        <v>572</v>
      </c>
      <c r="I52" s="53">
        <v>3350303</v>
      </c>
      <c r="K52" s="3" t="s">
        <v>583</v>
      </c>
      <c r="L52" s="3" t="s">
        <v>572</v>
      </c>
    </row>
    <row r="53" spans="2:12" x14ac:dyDescent="0.3">
      <c r="B53" s="44"/>
      <c r="E53" s="101"/>
      <c r="F53" s="3" t="s">
        <v>418</v>
      </c>
      <c r="G53" s="4" t="s">
        <v>418</v>
      </c>
      <c r="H53" s="3" t="s">
        <v>418</v>
      </c>
      <c r="I53" s="4" t="s">
        <v>418</v>
      </c>
    </row>
    <row r="54" spans="2:12" x14ac:dyDescent="0.3">
      <c r="B54" s="44">
        <v>45969</v>
      </c>
      <c r="C54" s="3" t="s">
        <v>416</v>
      </c>
      <c r="D54" s="3" t="s">
        <v>499</v>
      </c>
      <c r="E54" s="101"/>
      <c r="F54" s="3" t="s">
        <v>231</v>
      </c>
      <c r="G54" s="4">
        <v>3819503</v>
      </c>
      <c r="H54" s="3" t="s">
        <v>230</v>
      </c>
      <c r="I54" s="4">
        <v>3900609</v>
      </c>
    </row>
    <row r="55" spans="2:12" x14ac:dyDescent="0.3">
      <c r="B55" s="44">
        <v>45969</v>
      </c>
      <c r="C55" s="3" t="s">
        <v>416</v>
      </c>
      <c r="D55" s="3" t="s">
        <v>499</v>
      </c>
      <c r="E55" s="101"/>
      <c r="F55" s="3" t="s">
        <v>597</v>
      </c>
      <c r="G55" s="4">
        <v>3352707</v>
      </c>
      <c r="H55" s="3" t="s">
        <v>226</v>
      </c>
      <c r="I55" s="4">
        <v>3361902</v>
      </c>
    </row>
    <row r="56" spans="2:12" x14ac:dyDescent="0.3">
      <c r="B56" s="44">
        <v>45969</v>
      </c>
      <c r="C56" s="3" t="s">
        <v>416</v>
      </c>
      <c r="D56" s="3" t="s">
        <v>499</v>
      </c>
      <c r="E56" s="101"/>
      <c r="F56" s="3" t="s">
        <v>572</v>
      </c>
      <c r="G56" s="53">
        <v>3350303</v>
      </c>
      <c r="H56" s="3" t="s">
        <v>461</v>
      </c>
      <c r="I56" s="4">
        <v>3818702</v>
      </c>
      <c r="K56" s="3"/>
    </row>
    <row r="57" spans="2:12" x14ac:dyDescent="0.3">
      <c r="B57" s="44">
        <v>45969</v>
      </c>
      <c r="C57" s="3" t="s">
        <v>416</v>
      </c>
      <c r="D57" s="3" t="s">
        <v>499</v>
      </c>
      <c r="E57" s="101"/>
      <c r="F57" s="3" t="s">
        <v>228</v>
      </c>
      <c r="G57" s="53">
        <v>3358607</v>
      </c>
      <c r="H57" s="3" t="s">
        <v>599</v>
      </c>
      <c r="I57" s="4" t="s">
        <v>556</v>
      </c>
      <c r="K57" s="3" t="s">
        <v>579</v>
      </c>
      <c r="L57" s="3" t="s">
        <v>228</v>
      </c>
    </row>
    <row r="58" spans="2:12" x14ac:dyDescent="0.3">
      <c r="B58" s="44">
        <v>45969</v>
      </c>
      <c r="C58" s="3" t="s">
        <v>416</v>
      </c>
      <c r="D58" s="3" t="s">
        <v>499</v>
      </c>
      <c r="E58" s="101"/>
      <c r="F58" s="3" t="s">
        <v>573</v>
      </c>
      <c r="G58" s="4">
        <v>3818400</v>
      </c>
      <c r="H58" s="3" t="s">
        <v>571</v>
      </c>
      <c r="I58" s="4">
        <v>3900505</v>
      </c>
    </row>
    <row r="59" spans="2:12" x14ac:dyDescent="0.3">
      <c r="B59" s="4"/>
      <c r="E59" s="101"/>
      <c r="F59" s="3" t="s">
        <v>418</v>
      </c>
      <c r="G59" s="4" t="s">
        <v>418</v>
      </c>
      <c r="H59" s="3" t="s">
        <v>418</v>
      </c>
      <c r="I59" s="4" t="s">
        <v>418</v>
      </c>
      <c r="K59" s="4"/>
    </row>
    <row r="60" spans="2:12" x14ac:dyDescent="0.3">
      <c r="B60" s="44">
        <v>45976</v>
      </c>
      <c r="C60" s="3" t="s">
        <v>416</v>
      </c>
      <c r="D60" s="3" t="s">
        <v>499</v>
      </c>
      <c r="E60" s="101"/>
      <c r="F60" s="3" t="s">
        <v>230</v>
      </c>
      <c r="G60" s="4">
        <v>3900609</v>
      </c>
      <c r="H60" s="3" t="s">
        <v>597</v>
      </c>
      <c r="I60" s="4">
        <v>3352707</v>
      </c>
      <c r="K60" s="4"/>
    </row>
    <row r="61" spans="2:12" x14ac:dyDescent="0.3">
      <c r="B61" s="44">
        <v>45976</v>
      </c>
      <c r="C61" s="3" t="s">
        <v>416</v>
      </c>
      <c r="D61" s="3" t="s">
        <v>499</v>
      </c>
      <c r="E61" s="101"/>
      <c r="F61" s="3" t="s">
        <v>461</v>
      </c>
      <c r="G61" s="4">
        <v>3818702</v>
      </c>
      <c r="H61" s="3" t="s">
        <v>228</v>
      </c>
      <c r="I61" s="53">
        <v>3358607</v>
      </c>
      <c r="K61" s="3"/>
    </row>
    <row r="62" spans="2:12" x14ac:dyDescent="0.3">
      <c r="B62" s="44">
        <v>45976</v>
      </c>
      <c r="C62" s="3" t="s">
        <v>416</v>
      </c>
      <c r="D62" s="3" t="s">
        <v>499</v>
      </c>
      <c r="E62" s="101"/>
      <c r="F62" s="3" t="s">
        <v>226</v>
      </c>
      <c r="G62" s="4">
        <v>3361902</v>
      </c>
      <c r="H62" s="3" t="s">
        <v>573</v>
      </c>
      <c r="I62" s="4">
        <v>3818400</v>
      </c>
      <c r="K62" s="4"/>
    </row>
    <row r="63" spans="2:12" x14ac:dyDescent="0.3">
      <c r="B63" s="44">
        <v>45976</v>
      </c>
      <c r="C63" s="3" t="s">
        <v>416</v>
      </c>
      <c r="D63" s="3" t="s">
        <v>499</v>
      </c>
      <c r="E63" s="101"/>
      <c r="F63" s="3" t="s">
        <v>572</v>
      </c>
      <c r="G63" s="53">
        <v>3350303</v>
      </c>
      <c r="H63" s="3" t="s">
        <v>571</v>
      </c>
      <c r="I63" s="4">
        <v>3900505</v>
      </c>
      <c r="K63" s="4"/>
    </row>
    <row r="64" spans="2:12" x14ac:dyDescent="0.3">
      <c r="B64" s="44">
        <v>45976</v>
      </c>
      <c r="C64" s="3" t="s">
        <v>416</v>
      </c>
      <c r="D64" s="3" t="s">
        <v>499</v>
      </c>
      <c r="E64" s="101"/>
      <c r="F64" s="3" t="s">
        <v>599</v>
      </c>
      <c r="G64" s="4" t="s">
        <v>556</v>
      </c>
      <c r="H64" s="3" t="s">
        <v>231</v>
      </c>
      <c r="I64" s="4">
        <v>3819503</v>
      </c>
      <c r="K64" s="3" t="s">
        <v>231</v>
      </c>
      <c r="L64" s="3" t="s">
        <v>582</v>
      </c>
    </row>
    <row r="65" spans="2:12" x14ac:dyDescent="0.3">
      <c r="B65" s="4"/>
      <c r="E65" s="101"/>
      <c r="F65" s="3" t="s">
        <v>418</v>
      </c>
      <c r="G65" s="4" t="s">
        <v>418</v>
      </c>
      <c r="H65" s="3" t="s">
        <v>418</v>
      </c>
      <c r="I65" s="4" t="s">
        <v>418</v>
      </c>
      <c r="K65" s="4"/>
      <c r="L65" s="4"/>
    </row>
    <row r="66" spans="2:12" x14ac:dyDescent="0.3">
      <c r="B66" s="44">
        <v>45983</v>
      </c>
      <c r="C66" s="3" t="s">
        <v>416</v>
      </c>
      <c r="D66" s="3" t="s">
        <v>499</v>
      </c>
      <c r="E66" s="101"/>
      <c r="F66" s="3" t="s">
        <v>231</v>
      </c>
      <c r="G66" s="4">
        <v>3819503</v>
      </c>
      <c r="H66" s="3" t="s">
        <v>461</v>
      </c>
      <c r="I66" s="4">
        <v>3818702</v>
      </c>
      <c r="K66" s="3"/>
    </row>
    <row r="67" spans="2:12" x14ac:dyDescent="0.3">
      <c r="B67" s="44">
        <v>45983</v>
      </c>
      <c r="C67" s="3" t="s">
        <v>416</v>
      </c>
      <c r="D67" s="3" t="s">
        <v>499</v>
      </c>
      <c r="E67" s="101"/>
      <c r="F67" s="3" t="s">
        <v>226</v>
      </c>
      <c r="G67" s="4">
        <v>3361902</v>
      </c>
      <c r="H67" s="3" t="s">
        <v>572</v>
      </c>
      <c r="I67" s="53">
        <v>3350303</v>
      </c>
      <c r="K67" s="4"/>
      <c r="L67" s="4"/>
    </row>
    <row r="68" spans="2:12" x14ac:dyDescent="0.3">
      <c r="B68" s="44">
        <v>45983</v>
      </c>
      <c r="C68" s="3" t="s">
        <v>416</v>
      </c>
      <c r="D68" s="3" t="s">
        <v>499</v>
      </c>
      <c r="E68" s="101"/>
      <c r="F68" s="3" t="s">
        <v>571</v>
      </c>
      <c r="G68" s="4">
        <v>3900505</v>
      </c>
      <c r="H68" s="3" t="s">
        <v>228</v>
      </c>
      <c r="I68" s="53">
        <v>3358607</v>
      </c>
      <c r="K68" s="4"/>
    </row>
    <row r="69" spans="2:12" x14ac:dyDescent="0.3">
      <c r="B69" s="44">
        <v>45983</v>
      </c>
      <c r="C69" s="3" t="s">
        <v>416</v>
      </c>
      <c r="D69" s="3" t="s">
        <v>499</v>
      </c>
      <c r="E69" s="101"/>
      <c r="F69" s="3" t="s">
        <v>597</v>
      </c>
      <c r="G69" s="4">
        <v>3352707</v>
      </c>
      <c r="H69" s="3" t="s">
        <v>573</v>
      </c>
      <c r="I69" s="4">
        <v>3818400</v>
      </c>
      <c r="K69" s="4"/>
    </row>
    <row r="70" spans="2:12" x14ac:dyDescent="0.3">
      <c r="B70" s="44">
        <v>45983</v>
      </c>
      <c r="C70" s="3" t="s">
        <v>416</v>
      </c>
      <c r="D70" s="3" t="s">
        <v>499</v>
      </c>
      <c r="E70" s="101"/>
      <c r="F70" s="3" t="s">
        <v>599</v>
      </c>
      <c r="G70" s="4" t="s">
        <v>556</v>
      </c>
      <c r="H70" s="3" t="s">
        <v>230</v>
      </c>
      <c r="I70" s="4">
        <v>3900609</v>
      </c>
      <c r="K70" s="3" t="s">
        <v>578</v>
      </c>
      <c r="L70" s="3" t="s">
        <v>230</v>
      </c>
    </row>
    <row r="71" spans="2:12" x14ac:dyDescent="0.3">
      <c r="B71" s="4"/>
      <c r="E71" s="101"/>
      <c r="F71" s="3" t="s">
        <v>418</v>
      </c>
      <c r="G71" s="4" t="s">
        <v>418</v>
      </c>
      <c r="H71" s="3" t="s">
        <v>418</v>
      </c>
      <c r="I71" s="4" t="s">
        <v>418</v>
      </c>
      <c r="K71" s="4"/>
    </row>
    <row r="72" spans="2:12" x14ac:dyDescent="0.3">
      <c r="B72" s="44">
        <v>45990</v>
      </c>
      <c r="C72" s="3" t="s">
        <v>416</v>
      </c>
      <c r="D72" s="3" t="s">
        <v>499</v>
      </c>
      <c r="E72" s="101"/>
      <c r="F72" s="3" t="s">
        <v>573</v>
      </c>
      <c r="G72" s="4">
        <v>3818400</v>
      </c>
      <c r="H72" s="3" t="s">
        <v>230</v>
      </c>
      <c r="I72" s="4">
        <v>3900609</v>
      </c>
      <c r="K72" s="4"/>
    </row>
    <row r="73" spans="2:12" x14ac:dyDescent="0.3">
      <c r="B73" s="44">
        <v>45990</v>
      </c>
      <c r="C73" s="3" t="s">
        <v>416</v>
      </c>
      <c r="D73" s="3" t="s">
        <v>499</v>
      </c>
      <c r="E73" s="101"/>
      <c r="F73" s="3" t="s">
        <v>461</v>
      </c>
      <c r="G73" s="4">
        <v>3818702</v>
      </c>
      <c r="H73" s="3" t="s">
        <v>599</v>
      </c>
      <c r="I73" s="4" t="s">
        <v>556</v>
      </c>
      <c r="K73" s="3" t="s">
        <v>461</v>
      </c>
      <c r="L73" s="3" t="s">
        <v>581</v>
      </c>
    </row>
    <row r="74" spans="2:12" x14ac:dyDescent="0.3">
      <c r="B74" s="44">
        <v>45990</v>
      </c>
      <c r="C74" s="3" t="s">
        <v>416</v>
      </c>
      <c r="D74" s="3" t="s">
        <v>499</v>
      </c>
      <c r="E74" s="101"/>
      <c r="F74" s="3" t="s">
        <v>228</v>
      </c>
      <c r="G74" s="53">
        <v>3358607</v>
      </c>
      <c r="H74" s="3" t="s">
        <v>226</v>
      </c>
      <c r="I74" s="4">
        <v>3361902</v>
      </c>
      <c r="K74" s="4"/>
      <c r="L74" s="4"/>
    </row>
    <row r="75" spans="2:12" x14ac:dyDescent="0.3">
      <c r="B75" s="44">
        <v>45990</v>
      </c>
      <c r="C75" s="3" t="s">
        <v>416</v>
      </c>
      <c r="D75" s="3" t="s">
        <v>499</v>
      </c>
      <c r="E75" s="101"/>
      <c r="F75" s="3" t="s">
        <v>572</v>
      </c>
      <c r="G75" s="53">
        <v>3350303</v>
      </c>
      <c r="H75" s="3" t="s">
        <v>597</v>
      </c>
      <c r="I75" s="4">
        <v>3352707</v>
      </c>
      <c r="K75" s="4"/>
    </row>
    <row r="76" spans="2:12" x14ac:dyDescent="0.3">
      <c r="B76" s="44">
        <v>45990</v>
      </c>
      <c r="C76" s="3" t="s">
        <v>416</v>
      </c>
      <c r="D76" s="3" t="s">
        <v>499</v>
      </c>
      <c r="E76" s="101"/>
      <c r="F76" s="3" t="s">
        <v>571</v>
      </c>
      <c r="G76" s="4">
        <v>3900505</v>
      </c>
      <c r="H76" s="3" t="s">
        <v>231</v>
      </c>
      <c r="I76" s="4">
        <v>3819503</v>
      </c>
      <c r="K76" s="4"/>
    </row>
    <row r="77" spans="2:12" x14ac:dyDescent="0.3">
      <c r="B77" s="44"/>
      <c r="E77" s="101"/>
      <c r="F77" s="3" t="s">
        <v>418</v>
      </c>
      <c r="G77" s="4" t="s">
        <v>418</v>
      </c>
      <c r="H77" s="3" t="s">
        <v>418</v>
      </c>
      <c r="I77" s="4" t="s">
        <v>418</v>
      </c>
      <c r="K77" s="4"/>
      <c r="L77" s="4"/>
    </row>
    <row r="78" spans="2:12" x14ac:dyDescent="0.3">
      <c r="B78" s="44">
        <v>46039</v>
      </c>
      <c r="C78" s="3" t="s">
        <v>416</v>
      </c>
      <c r="D78" s="3" t="s">
        <v>499</v>
      </c>
      <c r="E78" s="101"/>
      <c r="F78" s="3" t="s">
        <v>230</v>
      </c>
      <c r="G78" s="4">
        <v>3900609</v>
      </c>
      <c r="H78" s="3" t="s">
        <v>461</v>
      </c>
      <c r="I78" s="4">
        <v>3818702</v>
      </c>
      <c r="K78" s="3"/>
    </row>
    <row r="79" spans="2:12" x14ac:dyDescent="0.3">
      <c r="B79" s="44">
        <v>46039</v>
      </c>
      <c r="C79" s="3" t="s">
        <v>416</v>
      </c>
      <c r="D79" s="3" t="s">
        <v>499</v>
      </c>
      <c r="E79" s="101"/>
      <c r="F79" s="3" t="s">
        <v>226</v>
      </c>
      <c r="G79" s="4">
        <v>3361902</v>
      </c>
      <c r="H79" s="3" t="s">
        <v>231</v>
      </c>
      <c r="I79" s="4">
        <v>3819503</v>
      </c>
      <c r="K79" s="4"/>
    </row>
    <row r="80" spans="2:12" x14ac:dyDescent="0.3">
      <c r="B80" s="44">
        <v>46039</v>
      </c>
      <c r="C80" s="3" t="s">
        <v>416</v>
      </c>
      <c r="D80" s="3" t="s">
        <v>499</v>
      </c>
      <c r="E80" s="101"/>
      <c r="F80" s="3" t="s">
        <v>597</v>
      </c>
      <c r="G80" s="4">
        <v>3352707</v>
      </c>
      <c r="H80" s="3" t="s">
        <v>228</v>
      </c>
      <c r="I80" s="53">
        <v>3358607</v>
      </c>
      <c r="K80" s="4"/>
    </row>
    <row r="81" spans="2:12" x14ac:dyDescent="0.3">
      <c r="B81" s="44">
        <v>46039</v>
      </c>
      <c r="C81" s="3" t="s">
        <v>416</v>
      </c>
      <c r="D81" s="3" t="s">
        <v>499</v>
      </c>
      <c r="E81" s="101"/>
      <c r="F81" s="3" t="s">
        <v>599</v>
      </c>
      <c r="G81" s="4" t="s">
        <v>556</v>
      </c>
      <c r="H81" s="3" t="s">
        <v>571</v>
      </c>
      <c r="I81" s="4">
        <v>3900505</v>
      </c>
      <c r="K81" s="3" t="s">
        <v>598</v>
      </c>
      <c r="L81" s="3" t="s">
        <v>571</v>
      </c>
    </row>
    <row r="82" spans="2:12" x14ac:dyDescent="0.3">
      <c r="B82" s="44">
        <v>46039</v>
      </c>
      <c r="C82" s="3" t="s">
        <v>416</v>
      </c>
      <c r="D82" s="3" t="s">
        <v>499</v>
      </c>
      <c r="E82" s="101"/>
      <c r="F82" s="3" t="s">
        <v>573</v>
      </c>
      <c r="G82" s="4">
        <v>3818400</v>
      </c>
      <c r="H82" s="3" t="s">
        <v>572</v>
      </c>
      <c r="I82" s="53">
        <v>3350303</v>
      </c>
      <c r="K82" s="4"/>
      <c r="L82" s="4"/>
    </row>
    <row r="83" spans="2:12" x14ac:dyDescent="0.3">
      <c r="B83" s="44"/>
      <c r="E83" s="101"/>
      <c r="F83" s="3" t="s">
        <v>418</v>
      </c>
      <c r="G83" s="4" t="s">
        <v>418</v>
      </c>
      <c r="H83" s="3" t="s">
        <v>418</v>
      </c>
      <c r="I83" s="4" t="s">
        <v>418</v>
      </c>
      <c r="K83" s="4"/>
    </row>
    <row r="84" spans="2:12" x14ac:dyDescent="0.3">
      <c r="B84" s="44">
        <v>46046</v>
      </c>
      <c r="C84" s="3" t="s">
        <v>416</v>
      </c>
      <c r="D84" s="3" t="s">
        <v>499</v>
      </c>
      <c r="E84" s="101"/>
      <c r="F84" s="3" t="s">
        <v>231</v>
      </c>
      <c r="G84" s="4">
        <v>3819503</v>
      </c>
      <c r="H84" s="3" t="s">
        <v>597</v>
      </c>
      <c r="I84" s="4">
        <v>3352707</v>
      </c>
      <c r="K84" s="4"/>
    </row>
    <row r="85" spans="2:12" x14ac:dyDescent="0.3">
      <c r="B85" s="44">
        <v>46046</v>
      </c>
      <c r="C85" s="3" t="s">
        <v>416</v>
      </c>
      <c r="D85" s="3" t="s">
        <v>499</v>
      </c>
      <c r="E85" s="101"/>
      <c r="F85" s="3" t="s">
        <v>461</v>
      </c>
      <c r="G85" s="4">
        <v>3818702</v>
      </c>
      <c r="H85" s="3" t="s">
        <v>571</v>
      </c>
      <c r="I85" s="4">
        <v>3900505</v>
      </c>
      <c r="K85" s="3"/>
    </row>
    <row r="86" spans="2:12" x14ac:dyDescent="0.3">
      <c r="B86" s="44">
        <v>46046</v>
      </c>
      <c r="C86" s="3" t="s">
        <v>416</v>
      </c>
      <c r="D86" s="3" t="s">
        <v>499</v>
      </c>
      <c r="E86" s="101"/>
      <c r="F86" s="3" t="s">
        <v>572</v>
      </c>
      <c r="G86" s="53">
        <v>3350303</v>
      </c>
      <c r="H86" s="3" t="s">
        <v>230</v>
      </c>
      <c r="I86" s="4">
        <v>3900609</v>
      </c>
      <c r="K86" s="4"/>
    </row>
    <row r="87" spans="2:12" x14ac:dyDescent="0.3">
      <c r="B87" s="44">
        <v>46046</v>
      </c>
      <c r="C87" s="3" t="s">
        <v>416</v>
      </c>
      <c r="D87" s="3" t="s">
        <v>499</v>
      </c>
      <c r="E87" s="101"/>
      <c r="F87" s="3" t="s">
        <v>228</v>
      </c>
      <c r="G87" s="53">
        <v>3358607</v>
      </c>
      <c r="H87" s="3" t="s">
        <v>573</v>
      </c>
      <c r="I87" s="4">
        <v>3818400</v>
      </c>
      <c r="K87" s="4"/>
      <c r="L87" s="4"/>
    </row>
    <row r="88" spans="2:12" x14ac:dyDescent="0.3">
      <c r="B88" s="44">
        <v>46046</v>
      </c>
      <c r="C88" s="3" t="s">
        <v>416</v>
      </c>
      <c r="D88" s="3" t="s">
        <v>499</v>
      </c>
      <c r="E88" s="101"/>
      <c r="F88" s="3" t="s">
        <v>599</v>
      </c>
      <c r="G88" s="4" t="s">
        <v>556</v>
      </c>
      <c r="H88" s="3" t="s">
        <v>226</v>
      </c>
      <c r="I88" s="4">
        <v>3361902</v>
      </c>
      <c r="K88" s="3" t="s">
        <v>226</v>
      </c>
      <c r="L88" s="3" t="s">
        <v>241</v>
      </c>
    </row>
    <row r="89" spans="2:12" x14ac:dyDescent="0.3">
      <c r="B89" s="44"/>
      <c r="E89" s="101"/>
      <c r="F89" s="3" t="s">
        <v>418</v>
      </c>
      <c r="G89" s="4" t="s">
        <v>418</v>
      </c>
      <c r="H89" s="3" t="s">
        <v>418</v>
      </c>
      <c r="I89" s="4" t="s">
        <v>418</v>
      </c>
      <c r="K89" s="4"/>
    </row>
    <row r="90" spans="2:12" x14ac:dyDescent="0.3">
      <c r="B90" s="44">
        <v>46053</v>
      </c>
      <c r="C90" s="3" t="s">
        <v>416</v>
      </c>
      <c r="D90" s="3" t="s">
        <v>499</v>
      </c>
      <c r="E90" s="101"/>
      <c r="F90" s="3" t="s">
        <v>226</v>
      </c>
      <c r="G90" s="4">
        <v>3361902</v>
      </c>
      <c r="H90" s="3" t="s">
        <v>461</v>
      </c>
      <c r="I90" s="4">
        <v>3818702</v>
      </c>
      <c r="K90" s="3"/>
    </row>
    <row r="91" spans="2:12" x14ac:dyDescent="0.3">
      <c r="B91" s="44">
        <v>46053</v>
      </c>
      <c r="C91" s="3" t="s">
        <v>416</v>
      </c>
      <c r="D91" s="3" t="s">
        <v>499</v>
      </c>
      <c r="E91" s="101"/>
      <c r="F91" s="3" t="s">
        <v>597</v>
      </c>
      <c r="G91" s="4">
        <v>3352707</v>
      </c>
      <c r="H91" s="3" t="s">
        <v>599</v>
      </c>
      <c r="I91" s="4" t="s">
        <v>556</v>
      </c>
      <c r="K91" s="3" t="s">
        <v>243</v>
      </c>
      <c r="L91" s="3" t="s">
        <v>597</v>
      </c>
    </row>
    <row r="92" spans="2:12" x14ac:dyDescent="0.3">
      <c r="B92" s="44">
        <v>46053</v>
      </c>
      <c r="C92" s="3" t="s">
        <v>416</v>
      </c>
      <c r="D92" s="3" t="s">
        <v>499</v>
      </c>
      <c r="E92" s="101"/>
      <c r="F92" s="3" t="s">
        <v>572</v>
      </c>
      <c r="G92" s="53">
        <v>3350303</v>
      </c>
      <c r="H92" s="3" t="s">
        <v>228</v>
      </c>
      <c r="I92" s="53">
        <v>3358607</v>
      </c>
      <c r="K92" s="4"/>
      <c r="L92" s="4"/>
    </row>
    <row r="93" spans="2:12" x14ac:dyDescent="0.3">
      <c r="B93" s="44">
        <v>46053</v>
      </c>
      <c r="C93" s="3" t="s">
        <v>416</v>
      </c>
      <c r="D93" s="3" t="s">
        <v>499</v>
      </c>
      <c r="E93" s="101"/>
      <c r="F93" s="3" t="s">
        <v>571</v>
      </c>
      <c r="G93" s="4">
        <v>3900505</v>
      </c>
      <c r="H93" s="3" t="s">
        <v>230</v>
      </c>
      <c r="I93" s="4">
        <v>3900609</v>
      </c>
    </row>
    <row r="94" spans="2:12" x14ac:dyDescent="0.3">
      <c r="B94" s="44">
        <v>46053</v>
      </c>
      <c r="C94" s="3" t="s">
        <v>416</v>
      </c>
      <c r="D94" s="3" t="s">
        <v>499</v>
      </c>
      <c r="E94" s="101"/>
      <c r="F94" s="3" t="s">
        <v>573</v>
      </c>
      <c r="G94" s="4">
        <v>3818400</v>
      </c>
      <c r="H94" s="3" t="s">
        <v>231</v>
      </c>
      <c r="I94" s="4">
        <v>3819503</v>
      </c>
    </row>
    <row r="95" spans="2:12" x14ac:dyDescent="0.3">
      <c r="B95" s="44"/>
      <c r="E95" s="101"/>
      <c r="F95" s="3" t="s">
        <v>418</v>
      </c>
      <c r="G95" s="4" t="s">
        <v>418</v>
      </c>
      <c r="H95" s="3" t="s">
        <v>418</v>
      </c>
      <c r="I95" s="4" t="s">
        <v>418</v>
      </c>
    </row>
    <row r="96" spans="2:12" x14ac:dyDescent="0.3">
      <c r="B96" s="44">
        <v>46060</v>
      </c>
      <c r="C96" s="3" t="s">
        <v>416</v>
      </c>
      <c r="D96" s="3" t="s">
        <v>499</v>
      </c>
      <c r="E96" s="101"/>
      <c r="F96" s="3" t="s">
        <v>230</v>
      </c>
      <c r="G96" s="4">
        <v>3900609</v>
      </c>
      <c r="H96" s="3" t="s">
        <v>228</v>
      </c>
      <c r="I96" s="53">
        <v>3358607</v>
      </c>
    </row>
    <row r="97" spans="2:12" x14ac:dyDescent="0.3">
      <c r="B97" s="44">
        <v>46060</v>
      </c>
      <c r="C97" s="3" t="s">
        <v>416</v>
      </c>
      <c r="D97" s="3" t="s">
        <v>499</v>
      </c>
      <c r="E97" s="101"/>
      <c r="F97" s="3" t="s">
        <v>231</v>
      </c>
      <c r="G97" s="4">
        <v>3819503</v>
      </c>
      <c r="H97" s="3" t="s">
        <v>572</v>
      </c>
      <c r="I97" s="53">
        <v>3350303</v>
      </c>
    </row>
    <row r="98" spans="2:12" x14ac:dyDescent="0.3">
      <c r="B98" s="44">
        <v>46060</v>
      </c>
      <c r="C98" s="3" t="s">
        <v>416</v>
      </c>
      <c r="D98" s="3" t="s">
        <v>499</v>
      </c>
      <c r="E98" s="101"/>
      <c r="F98" s="3" t="s">
        <v>461</v>
      </c>
      <c r="G98" s="4">
        <v>3818702</v>
      </c>
      <c r="H98" s="3" t="s">
        <v>597</v>
      </c>
      <c r="I98" s="4">
        <v>3352707</v>
      </c>
      <c r="K98" s="3"/>
    </row>
    <row r="99" spans="2:12" x14ac:dyDescent="0.3">
      <c r="B99" s="44">
        <v>46060</v>
      </c>
      <c r="C99" s="3" t="s">
        <v>416</v>
      </c>
      <c r="D99" s="3" t="s">
        <v>499</v>
      </c>
      <c r="E99" s="101"/>
      <c r="F99" s="3" t="s">
        <v>571</v>
      </c>
      <c r="G99" s="4">
        <v>3900505</v>
      </c>
      <c r="H99" s="3" t="s">
        <v>226</v>
      </c>
      <c r="I99" s="4">
        <v>3361902</v>
      </c>
    </row>
    <row r="100" spans="2:12" x14ac:dyDescent="0.3">
      <c r="B100" s="44">
        <v>46060</v>
      </c>
      <c r="C100" s="3" t="s">
        <v>416</v>
      </c>
      <c r="D100" s="3" t="s">
        <v>499</v>
      </c>
      <c r="E100" s="101"/>
      <c r="F100" s="3" t="s">
        <v>599</v>
      </c>
      <c r="G100" s="4" t="s">
        <v>556</v>
      </c>
      <c r="H100" s="3" t="s">
        <v>573</v>
      </c>
      <c r="I100" s="4">
        <v>3818400</v>
      </c>
      <c r="K100" s="3" t="s">
        <v>580</v>
      </c>
      <c r="L100" s="3" t="s">
        <v>573</v>
      </c>
    </row>
    <row r="101" spans="2:12" x14ac:dyDescent="0.3">
      <c r="B101" s="44"/>
      <c r="E101" s="101"/>
      <c r="F101" s="3" t="s">
        <v>418</v>
      </c>
      <c r="G101" s="4" t="s">
        <v>418</v>
      </c>
      <c r="H101" s="3" t="s">
        <v>418</v>
      </c>
      <c r="I101" s="4" t="s">
        <v>418</v>
      </c>
    </row>
    <row r="102" spans="2:12" x14ac:dyDescent="0.3">
      <c r="B102" s="44">
        <v>46081</v>
      </c>
      <c r="C102" s="3" t="s">
        <v>416</v>
      </c>
      <c r="D102" s="3" t="s">
        <v>499</v>
      </c>
      <c r="E102" s="101"/>
      <c r="F102" s="3" t="s">
        <v>226</v>
      </c>
      <c r="G102" s="4">
        <v>3361902</v>
      </c>
      <c r="H102" s="3" t="s">
        <v>230</v>
      </c>
      <c r="I102" s="4">
        <v>3900609</v>
      </c>
    </row>
    <row r="103" spans="2:12" x14ac:dyDescent="0.3">
      <c r="B103" s="44">
        <v>46081</v>
      </c>
      <c r="C103" s="3" t="s">
        <v>416</v>
      </c>
      <c r="D103" s="3" t="s">
        <v>499</v>
      </c>
      <c r="E103" s="101"/>
      <c r="F103" s="3" t="s">
        <v>597</v>
      </c>
      <c r="G103" s="4">
        <v>3352707</v>
      </c>
      <c r="H103" s="3" t="s">
        <v>571</v>
      </c>
      <c r="I103" s="4">
        <v>3900505</v>
      </c>
    </row>
    <row r="104" spans="2:12" x14ac:dyDescent="0.3">
      <c r="B104" s="44">
        <v>46081</v>
      </c>
      <c r="C104" s="3" t="s">
        <v>416</v>
      </c>
      <c r="D104" s="3" t="s">
        <v>499</v>
      </c>
      <c r="E104" s="101"/>
      <c r="F104" s="3" t="s">
        <v>572</v>
      </c>
      <c r="G104" s="53">
        <v>3350303</v>
      </c>
      <c r="H104" s="3" t="s">
        <v>599</v>
      </c>
      <c r="I104" s="4" t="s">
        <v>556</v>
      </c>
      <c r="K104" s="3" t="s">
        <v>583</v>
      </c>
      <c r="L104" s="3" t="s">
        <v>572</v>
      </c>
    </row>
    <row r="105" spans="2:12" x14ac:dyDescent="0.3">
      <c r="B105" s="44">
        <v>46081</v>
      </c>
      <c r="C105" s="3" t="s">
        <v>416</v>
      </c>
      <c r="D105" s="3" t="s">
        <v>499</v>
      </c>
      <c r="E105" s="101"/>
      <c r="F105" s="3" t="s">
        <v>228</v>
      </c>
      <c r="G105" s="53">
        <v>3358607</v>
      </c>
      <c r="H105" s="3" t="s">
        <v>231</v>
      </c>
      <c r="I105" s="4">
        <v>3819503</v>
      </c>
    </row>
    <row r="106" spans="2:12" x14ac:dyDescent="0.3">
      <c r="B106" s="44">
        <v>46081</v>
      </c>
      <c r="C106" s="3" t="s">
        <v>416</v>
      </c>
      <c r="D106" s="3" t="s">
        <v>499</v>
      </c>
      <c r="E106" s="101"/>
      <c r="F106" s="3" t="s">
        <v>573</v>
      </c>
      <c r="G106" s="4">
        <v>3818400</v>
      </c>
      <c r="H106" s="3" t="s">
        <v>461</v>
      </c>
      <c r="I106" s="4">
        <v>3818702</v>
      </c>
      <c r="K106" s="3"/>
    </row>
    <row r="107" spans="2:12" x14ac:dyDescent="0.3">
      <c r="B107" s="4"/>
      <c r="E107" s="101"/>
      <c r="F107" s="3" t="s">
        <v>418</v>
      </c>
      <c r="G107" s="4" t="s">
        <v>418</v>
      </c>
      <c r="H107" s="3" t="s">
        <v>418</v>
      </c>
      <c r="I107" s="4" t="s">
        <v>418</v>
      </c>
    </row>
    <row r="108" spans="2:12" x14ac:dyDescent="0.3">
      <c r="B108" s="44">
        <v>46088</v>
      </c>
      <c r="C108" s="3" t="s">
        <v>416</v>
      </c>
      <c r="D108" s="3" t="s">
        <v>499</v>
      </c>
      <c r="E108" s="101"/>
      <c r="F108" s="3" t="s">
        <v>230</v>
      </c>
      <c r="G108" s="4">
        <v>3900609</v>
      </c>
      <c r="H108" s="3" t="s">
        <v>231</v>
      </c>
      <c r="I108" s="4">
        <v>3819503</v>
      </c>
    </row>
    <row r="109" spans="2:12" x14ac:dyDescent="0.3">
      <c r="B109" s="44">
        <v>46088</v>
      </c>
      <c r="C109" s="3" t="s">
        <v>416</v>
      </c>
      <c r="D109" s="3" t="s">
        <v>499</v>
      </c>
      <c r="E109" s="101"/>
      <c r="F109" s="3" t="s">
        <v>461</v>
      </c>
      <c r="G109" s="4">
        <v>3818702</v>
      </c>
      <c r="H109" s="3" t="s">
        <v>572</v>
      </c>
      <c r="I109" s="53">
        <v>3350303</v>
      </c>
      <c r="K109" s="3"/>
    </row>
    <row r="110" spans="2:12" x14ac:dyDescent="0.3">
      <c r="B110" s="44">
        <v>46088</v>
      </c>
      <c r="C110" s="3" t="s">
        <v>416</v>
      </c>
      <c r="D110" s="3" t="s">
        <v>499</v>
      </c>
      <c r="E110" s="101"/>
      <c r="F110" s="3" t="s">
        <v>226</v>
      </c>
      <c r="G110" s="4">
        <v>3361902</v>
      </c>
      <c r="H110" s="3" t="s">
        <v>597</v>
      </c>
      <c r="I110" s="4">
        <v>3352707</v>
      </c>
    </row>
    <row r="111" spans="2:12" x14ac:dyDescent="0.3">
      <c r="B111" s="44">
        <v>46088</v>
      </c>
      <c r="C111" s="3" t="s">
        <v>416</v>
      </c>
      <c r="D111" s="3" t="s">
        <v>499</v>
      </c>
      <c r="E111" s="101"/>
      <c r="F111" s="3" t="s">
        <v>571</v>
      </c>
      <c r="G111" s="4">
        <v>3900505</v>
      </c>
      <c r="H111" s="3" t="s">
        <v>573</v>
      </c>
      <c r="I111" s="4">
        <v>3818400</v>
      </c>
    </row>
    <row r="112" spans="2:12" x14ac:dyDescent="0.3">
      <c r="B112" s="44">
        <v>46088</v>
      </c>
      <c r="C112" s="3" t="s">
        <v>416</v>
      </c>
      <c r="D112" s="3" t="s">
        <v>499</v>
      </c>
      <c r="E112" s="101"/>
      <c r="F112" s="3" t="s">
        <v>599</v>
      </c>
      <c r="G112" s="4" t="s">
        <v>556</v>
      </c>
      <c r="H112" s="3" t="s">
        <v>228</v>
      </c>
      <c r="I112" s="53">
        <v>3358607</v>
      </c>
      <c r="K112" s="3" t="s">
        <v>228</v>
      </c>
      <c r="L112" s="3" t="s">
        <v>579</v>
      </c>
    </row>
    <row r="113" spans="2:12" x14ac:dyDescent="0.3">
      <c r="B113" s="44"/>
      <c r="E113" s="101"/>
      <c r="F113" s="3" t="s">
        <v>418</v>
      </c>
      <c r="G113" s="4" t="s">
        <v>418</v>
      </c>
      <c r="H113" s="3" t="s">
        <v>418</v>
      </c>
      <c r="I113" s="4" t="s">
        <v>418</v>
      </c>
    </row>
    <row r="114" spans="2:12" x14ac:dyDescent="0.3">
      <c r="B114" s="44">
        <v>46095</v>
      </c>
      <c r="C114" s="3" t="s">
        <v>416</v>
      </c>
      <c r="D114" s="3" t="s">
        <v>499</v>
      </c>
      <c r="E114" s="101"/>
      <c r="F114" s="3" t="s">
        <v>231</v>
      </c>
      <c r="G114" s="4">
        <v>3819503</v>
      </c>
      <c r="H114" s="3" t="s">
        <v>599</v>
      </c>
      <c r="I114" s="4" t="s">
        <v>556</v>
      </c>
      <c r="K114" s="3" t="s">
        <v>582</v>
      </c>
      <c r="L114" s="3" t="s">
        <v>231</v>
      </c>
    </row>
    <row r="115" spans="2:12" x14ac:dyDescent="0.3">
      <c r="B115" s="44">
        <v>46095</v>
      </c>
      <c r="C115" s="3" t="s">
        <v>416</v>
      </c>
      <c r="D115" s="3" t="s">
        <v>499</v>
      </c>
      <c r="E115" s="101"/>
      <c r="F115" s="3" t="s">
        <v>597</v>
      </c>
      <c r="G115" s="4">
        <v>3352707</v>
      </c>
      <c r="H115" s="3" t="s">
        <v>230</v>
      </c>
      <c r="I115" s="4">
        <v>3900609</v>
      </c>
    </row>
    <row r="116" spans="2:12" x14ac:dyDescent="0.3">
      <c r="B116" s="44">
        <v>46095</v>
      </c>
      <c r="C116" s="3" t="s">
        <v>416</v>
      </c>
      <c r="D116" s="3" t="s">
        <v>499</v>
      </c>
      <c r="E116" s="101"/>
      <c r="F116" s="3" t="s">
        <v>571</v>
      </c>
      <c r="G116" s="4">
        <v>3900505</v>
      </c>
      <c r="H116" s="3" t="s">
        <v>572</v>
      </c>
      <c r="I116" s="53">
        <v>3350303</v>
      </c>
    </row>
    <row r="117" spans="2:12" x14ac:dyDescent="0.3">
      <c r="B117" s="44">
        <v>46095</v>
      </c>
      <c r="C117" s="3" t="s">
        <v>416</v>
      </c>
      <c r="D117" s="3" t="s">
        <v>499</v>
      </c>
      <c r="E117" s="101"/>
      <c r="F117" s="3" t="s">
        <v>228</v>
      </c>
      <c r="G117" s="53">
        <v>3358607</v>
      </c>
      <c r="H117" s="3" t="s">
        <v>461</v>
      </c>
      <c r="I117" s="4">
        <v>3818702</v>
      </c>
      <c r="K117" s="3"/>
    </row>
    <row r="118" spans="2:12" x14ac:dyDescent="0.3">
      <c r="B118" s="44">
        <v>46095</v>
      </c>
      <c r="C118" s="3" t="s">
        <v>416</v>
      </c>
      <c r="D118" s="3" t="s">
        <v>499</v>
      </c>
      <c r="E118" s="101"/>
      <c r="F118" s="3" t="s">
        <v>573</v>
      </c>
      <c r="G118" s="4">
        <v>3818400</v>
      </c>
      <c r="H118" s="3" t="s">
        <v>226</v>
      </c>
      <c r="I118" s="4">
        <v>3361902</v>
      </c>
    </row>
    <row r="119" spans="2:12" x14ac:dyDescent="0.3">
      <c r="B119" s="44"/>
      <c r="E119" s="101"/>
      <c r="F119" s="3" t="s">
        <v>418</v>
      </c>
      <c r="G119" s="4" t="s">
        <v>418</v>
      </c>
      <c r="H119" s="3" t="s">
        <v>418</v>
      </c>
      <c r="I119" s="4" t="s">
        <v>418</v>
      </c>
    </row>
    <row r="120" spans="2:12" x14ac:dyDescent="0.3">
      <c r="B120" s="44">
        <v>46102</v>
      </c>
      <c r="C120" s="3" t="s">
        <v>416</v>
      </c>
      <c r="D120" s="3" t="s">
        <v>499</v>
      </c>
      <c r="E120" s="101"/>
      <c r="F120" s="3" t="s">
        <v>230</v>
      </c>
      <c r="G120" s="4">
        <v>3900609</v>
      </c>
      <c r="H120" s="3" t="s">
        <v>599</v>
      </c>
      <c r="I120" s="4" t="s">
        <v>556</v>
      </c>
      <c r="K120" s="3" t="s">
        <v>230</v>
      </c>
      <c r="L120" s="3" t="s">
        <v>578</v>
      </c>
    </row>
    <row r="121" spans="2:12" x14ac:dyDescent="0.3">
      <c r="B121" s="44">
        <v>46102</v>
      </c>
      <c r="C121" s="3" t="s">
        <v>416</v>
      </c>
      <c r="D121" s="3" t="s">
        <v>499</v>
      </c>
      <c r="E121" s="101"/>
      <c r="F121" s="3" t="s">
        <v>461</v>
      </c>
      <c r="G121" s="4">
        <v>3818702</v>
      </c>
      <c r="H121" s="3" t="s">
        <v>231</v>
      </c>
      <c r="I121" s="4">
        <v>3819503</v>
      </c>
    </row>
    <row r="122" spans="2:12" x14ac:dyDescent="0.3">
      <c r="B122" s="44">
        <v>46102</v>
      </c>
      <c r="C122" s="3" t="s">
        <v>416</v>
      </c>
      <c r="D122" s="3" t="s">
        <v>499</v>
      </c>
      <c r="E122" s="101"/>
      <c r="F122" s="3" t="s">
        <v>572</v>
      </c>
      <c r="G122" s="53">
        <v>3350303</v>
      </c>
      <c r="H122" s="3" t="s">
        <v>226</v>
      </c>
      <c r="I122" s="4">
        <v>3361902</v>
      </c>
    </row>
    <row r="123" spans="2:12" x14ac:dyDescent="0.3">
      <c r="B123" s="44">
        <v>46102</v>
      </c>
      <c r="C123" s="3" t="s">
        <v>416</v>
      </c>
      <c r="D123" s="3" t="s">
        <v>499</v>
      </c>
      <c r="E123" s="101"/>
      <c r="F123" s="3" t="s">
        <v>573</v>
      </c>
      <c r="G123" s="4">
        <v>3818400</v>
      </c>
      <c r="H123" s="3" t="s">
        <v>597</v>
      </c>
      <c r="I123" s="4">
        <v>3352707</v>
      </c>
    </row>
    <row r="124" spans="2:12" x14ac:dyDescent="0.3">
      <c r="B124" s="44">
        <v>46102</v>
      </c>
      <c r="C124" s="3" t="s">
        <v>416</v>
      </c>
      <c r="D124" s="3" t="s">
        <v>499</v>
      </c>
      <c r="E124" s="101"/>
      <c r="F124" s="3" t="s">
        <v>228</v>
      </c>
      <c r="G124" s="53">
        <v>3358607</v>
      </c>
      <c r="H124" s="3" t="s">
        <v>571</v>
      </c>
      <c r="I124" s="4">
        <v>3900505</v>
      </c>
    </row>
    <row r="125" spans="2:12" x14ac:dyDescent="0.3">
      <c r="B125" s="44"/>
      <c r="E125" s="101"/>
      <c r="F125" s="3" t="s">
        <v>418</v>
      </c>
      <c r="G125" s="4" t="s">
        <v>418</v>
      </c>
      <c r="H125" s="3" t="s">
        <v>418</v>
      </c>
      <c r="I125" s="4" t="s">
        <v>418</v>
      </c>
    </row>
    <row r="126" spans="2:12" x14ac:dyDescent="0.3">
      <c r="B126" s="44">
        <v>46109</v>
      </c>
      <c r="C126" s="3" t="s">
        <v>416</v>
      </c>
      <c r="D126" s="3" t="s">
        <v>499</v>
      </c>
      <c r="E126" s="101"/>
      <c r="F126" s="3" t="s">
        <v>231</v>
      </c>
      <c r="G126" s="4">
        <v>3819503</v>
      </c>
      <c r="H126" s="3" t="s">
        <v>571</v>
      </c>
      <c r="I126" s="4">
        <v>3900505</v>
      </c>
    </row>
    <row r="127" spans="2:12" x14ac:dyDescent="0.3">
      <c r="B127" s="44">
        <v>46109</v>
      </c>
      <c r="C127" s="3" t="s">
        <v>416</v>
      </c>
      <c r="D127" s="3" t="s">
        <v>499</v>
      </c>
      <c r="E127" s="101"/>
      <c r="F127" s="3" t="s">
        <v>597</v>
      </c>
      <c r="G127" s="4">
        <v>3352707</v>
      </c>
      <c r="H127" s="3" t="s">
        <v>572</v>
      </c>
      <c r="I127" s="53">
        <v>3350303</v>
      </c>
    </row>
    <row r="128" spans="2:12" x14ac:dyDescent="0.3">
      <c r="B128" s="44">
        <v>46109</v>
      </c>
      <c r="C128" s="3" t="s">
        <v>416</v>
      </c>
      <c r="D128" s="3" t="s">
        <v>499</v>
      </c>
      <c r="E128" s="101"/>
      <c r="F128" s="3" t="s">
        <v>226</v>
      </c>
      <c r="G128" s="4">
        <v>3361902</v>
      </c>
      <c r="H128" s="3" t="s">
        <v>228</v>
      </c>
      <c r="I128" s="53">
        <v>3358607</v>
      </c>
    </row>
    <row r="129" spans="2:12" x14ac:dyDescent="0.3">
      <c r="B129" s="44">
        <v>46109</v>
      </c>
      <c r="C129" s="3" t="s">
        <v>416</v>
      </c>
      <c r="D129" s="3" t="s">
        <v>499</v>
      </c>
      <c r="E129" s="101"/>
      <c r="F129" s="3" t="s">
        <v>230</v>
      </c>
      <c r="G129" s="4">
        <v>3900609</v>
      </c>
      <c r="H129" s="3" t="s">
        <v>573</v>
      </c>
      <c r="I129" s="4">
        <v>3818400</v>
      </c>
    </row>
    <row r="130" spans="2:12" x14ac:dyDescent="0.3">
      <c r="B130" s="44">
        <v>46109</v>
      </c>
      <c r="C130" s="3" t="s">
        <v>416</v>
      </c>
      <c r="D130" s="3" t="s">
        <v>499</v>
      </c>
      <c r="E130" s="101"/>
      <c r="F130" s="3" t="s">
        <v>599</v>
      </c>
      <c r="G130" s="4" t="s">
        <v>556</v>
      </c>
      <c r="H130" s="3" t="s">
        <v>461</v>
      </c>
      <c r="I130" s="4">
        <v>3818702</v>
      </c>
      <c r="K130" s="3" t="s">
        <v>581</v>
      </c>
      <c r="L130" s="3" t="s">
        <v>461</v>
      </c>
    </row>
    <row r="131" spans="2:12" x14ac:dyDescent="0.3">
      <c r="B131" s="44"/>
    </row>
    <row r="132" spans="2:12" x14ac:dyDescent="0.3">
      <c r="B132" s="44"/>
    </row>
    <row r="133" spans="2:12" x14ac:dyDescent="0.3">
      <c r="B133" s="44"/>
    </row>
    <row r="134" spans="2:12" x14ac:dyDescent="0.3">
      <c r="B134" s="4"/>
    </row>
    <row r="135" spans="2:12" x14ac:dyDescent="0.3">
      <c r="B135" s="44"/>
    </row>
    <row r="136" spans="2:12" x14ac:dyDescent="0.3">
      <c r="B136" s="44"/>
    </row>
    <row r="137" spans="2:12" x14ac:dyDescent="0.3">
      <c r="B137" s="44"/>
    </row>
    <row r="138" spans="2:12" x14ac:dyDescent="0.3">
      <c r="B138" s="44"/>
    </row>
    <row r="139" spans="2:12" x14ac:dyDescent="0.3">
      <c r="B139" s="44"/>
    </row>
    <row r="140" spans="2:12" x14ac:dyDescent="0.3">
      <c r="B140" s="44"/>
    </row>
    <row r="141" spans="2:12" x14ac:dyDescent="0.3">
      <c r="B141" s="4"/>
    </row>
    <row r="142" spans="2:12" x14ac:dyDescent="0.3">
      <c r="B142" s="44"/>
    </row>
    <row r="143" spans="2:12" x14ac:dyDescent="0.3">
      <c r="B143" s="44"/>
    </row>
    <row r="144" spans="2:12" x14ac:dyDescent="0.3">
      <c r="B144" s="44"/>
    </row>
    <row r="145" spans="2:2" x14ac:dyDescent="0.3">
      <c r="B145" s="44"/>
    </row>
    <row r="146" spans="2:2" x14ac:dyDescent="0.3">
      <c r="B146" s="44"/>
    </row>
    <row r="147" spans="2:2" x14ac:dyDescent="0.3">
      <c r="B147" s="44"/>
    </row>
    <row r="148" spans="2:2" x14ac:dyDescent="0.3">
      <c r="B148" s="4"/>
    </row>
    <row r="149" spans="2:2" x14ac:dyDescent="0.3">
      <c r="B149" s="44"/>
    </row>
    <row r="150" spans="2:2" x14ac:dyDescent="0.3">
      <c r="B150" s="44"/>
    </row>
    <row r="151" spans="2:2" x14ac:dyDescent="0.3">
      <c r="B151" s="44"/>
    </row>
    <row r="152" spans="2:2" x14ac:dyDescent="0.3">
      <c r="B152" s="44"/>
    </row>
    <row r="153" spans="2:2" x14ac:dyDescent="0.3">
      <c r="B153" s="44"/>
    </row>
    <row r="154" spans="2:2" x14ac:dyDescent="0.3">
      <c r="B154" s="44"/>
    </row>
    <row r="155" spans="2:2" x14ac:dyDescent="0.3">
      <c r="B155" s="4"/>
    </row>
    <row r="156" spans="2:2" x14ac:dyDescent="0.3">
      <c r="B156" s="44"/>
    </row>
    <row r="157" spans="2:2" x14ac:dyDescent="0.3">
      <c r="B157" s="44"/>
    </row>
    <row r="158" spans="2:2" x14ac:dyDescent="0.3">
      <c r="B158" s="44"/>
    </row>
    <row r="159" spans="2:2" x14ac:dyDescent="0.3">
      <c r="B159" s="44"/>
    </row>
    <row r="160" spans="2:2" x14ac:dyDescent="0.3">
      <c r="B160" s="44"/>
    </row>
    <row r="161" spans="2:2" x14ac:dyDescent="0.3">
      <c r="B161" s="44"/>
    </row>
    <row r="162" spans="2:2" x14ac:dyDescent="0.3">
      <c r="B162" s="4"/>
    </row>
    <row r="163" spans="2:2" x14ac:dyDescent="0.3">
      <c r="B163" s="44"/>
    </row>
    <row r="164" spans="2:2" x14ac:dyDescent="0.3">
      <c r="B164" s="44"/>
    </row>
    <row r="165" spans="2:2" x14ac:dyDescent="0.3">
      <c r="B165" s="44"/>
    </row>
    <row r="166" spans="2:2" x14ac:dyDescent="0.3">
      <c r="B166" s="44"/>
    </row>
    <row r="167" spans="2:2" x14ac:dyDescent="0.3">
      <c r="B167" s="44"/>
    </row>
    <row r="168" spans="2:2" x14ac:dyDescent="0.3">
      <c r="B168" s="44"/>
    </row>
    <row r="169" spans="2:2" x14ac:dyDescent="0.3">
      <c r="B169" s="4"/>
    </row>
    <row r="170" spans="2:2" x14ac:dyDescent="0.3">
      <c r="B170" s="44"/>
    </row>
    <row r="171" spans="2:2" x14ac:dyDescent="0.3">
      <c r="B171" s="44"/>
    </row>
    <row r="172" spans="2:2" x14ac:dyDescent="0.3">
      <c r="B172" s="44"/>
    </row>
    <row r="173" spans="2:2" x14ac:dyDescent="0.3">
      <c r="B173" s="44"/>
    </row>
    <row r="174" spans="2:2" x14ac:dyDescent="0.3">
      <c r="B174" s="44"/>
    </row>
    <row r="175" spans="2:2" x14ac:dyDescent="0.3">
      <c r="B175" s="44"/>
    </row>
  </sheetData>
  <sortState xmlns:xlrd2="http://schemas.microsoft.com/office/spreadsheetml/2017/richdata2" ref="A10:AQ19">
    <sortCondition ref="B10:B19"/>
  </sortState>
  <mergeCells count="1">
    <mergeCell ref="K5:K6"/>
  </mergeCells>
  <conditionalFormatting sqref="B9">
    <cfRule type="duplicateValues" dxfId="5388" priority="123"/>
  </conditionalFormatting>
  <conditionalFormatting sqref="B14:B19 B10:B12">
    <cfRule type="duplicateValues" dxfId="5387" priority="3117"/>
  </conditionalFormatting>
  <conditionalFormatting sqref="F1:I1048576">
    <cfRule type="containsText" dxfId="5386" priority="67" operator="containsText" text="Code">
      <formula>NOT(ISERROR(SEARCH("Code",F1)))</formula>
    </cfRule>
  </conditionalFormatting>
  <conditionalFormatting sqref="I10:I19">
    <cfRule type="containsText" dxfId="5385" priority="71" operator="containsText" text="Code">
      <formula>NOT(ISERROR(SEARCH("Code",I10)))</formula>
    </cfRule>
  </conditionalFormatting>
  <conditionalFormatting sqref="I10:L19">
    <cfRule type="cellIs" dxfId="5384" priority="68" operator="lessThan">
      <formula>4</formula>
    </cfRule>
    <cfRule type="cellIs" dxfId="5383" priority="69" operator="greaterThan">
      <formula>5</formula>
    </cfRule>
    <cfRule type="containsText" dxfId="5382" priority="70" operator="containsText" text="c'[Fixtures All.xlsx]Women Filtered'!$F$2">
      <formula>NOT(ISERROR(SEARCH("c'[Fixtures All.xlsx]Women Filtered'!$F$2",I10)))</formula>
    </cfRule>
  </conditionalFormatting>
  <conditionalFormatting sqref="K9:K19">
    <cfRule type="containsText" dxfId="5381" priority="3" operator="containsText" text="c'[Fixtures All.xlsx]Women Filtered'!$F$2">
      <formula>NOT(ISERROR(SEARCH("c'[Fixtures All.xlsx]Women Filtered'!$F$2",K9)))</formula>
    </cfRule>
  </conditionalFormatting>
  <conditionalFormatting sqref="K10:K19">
    <cfRule type="containsText" dxfId="5380" priority="1" operator="containsText" text="Code">
      <formula>NOT(ISERROR(SEARCH("Code",K10)))</formula>
    </cfRule>
  </conditionalFormatting>
  <conditionalFormatting sqref="K25">
    <cfRule type="containsText" dxfId="5379" priority="65" operator="containsText" text="Code">
      <formula>NOT(ISERROR(SEARCH("Code",K25)))</formula>
    </cfRule>
  </conditionalFormatting>
  <conditionalFormatting sqref="K28">
    <cfRule type="containsText" dxfId="5378" priority="29" operator="containsText" text="Code">
      <formula>NOT(ISERROR(SEARCH("Code",K28)))</formula>
    </cfRule>
  </conditionalFormatting>
  <conditionalFormatting sqref="K31">
    <cfRule type="containsText" dxfId="5377" priority="27" operator="containsText" text="code">
      <formula>NOT(ISERROR(SEARCH("code",K31)))</formula>
    </cfRule>
  </conditionalFormatting>
  <conditionalFormatting sqref="K33">
    <cfRule type="containsText" dxfId="5376" priority="63" operator="containsText" text="code">
      <formula>NOT(ISERROR(SEARCH("code",K33)))</formula>
    </cfRule>
  </conditionalFormatting>
  <conditionalFormatting sqref="K38">
    <cfRule type="containsText" dxfId="5375" priority="61" operator="containsText" text="Code">
      <formula>NOT(ISERROR(SEARCH("Code",K38)))</formula>
    </cfRule>
  </conditionalFormatting>
  <conditionalFormatting sqref="K40">
    <cfRule type="containsText" dxfId="5374" priority="25" operator="containsText" text="Code">
      <formula>NOT(ISERROR(SEARCH("Code",K40)))</formula>
    </cfRule>
  </conditionalFormatting>
  <conditionalFormatting sqref="K43">
    <cfRule type="containsText" dxfId="5373" priority="59" operator="containsText" text="Code">
      <formula>NOT(ISERROR(SEARCH("Code",K43)))</formula>
    </cfRule>
  </conditionalFormatting>
  <conditionalFormatting sqref="K46">
    <cfRule type="containsText" dxfId="5372" priority="23" operator="containsText" text="Code">
      <formula>NOT(ISERROR(SEARCH("Code",K46)))</formula>
    </cfRule>
  </conditionalFormatting>
  <conditionalFormatting sqref="K50">
    <cfRule type="containsText" dxfId="5371" priority="57" operator="containsText" text="code">
      <formula>NOT(ISERROR(SEARCH("code",K50)))</formula>
    </cfRule>
  </conditionalFormatting>
  <conditionalFormatting sqref="K52">
    <cfRule type="containsText" dxfId="5370" priority="21" operator="containsText" text="code">
      <formula>NOT(ISERROR(SEARCH("code",K52)))</formula>
    </cfRule>
  </conditionalFormatting>
  <conditionalFormatting sqref="K56:K57">
    <cfRule type="containsText" dxfId="5369" priority="55" operator="containsText" text="code">
      <formula>NOT(ISERROR(SEARCH("code",K56)))</formula>
    </cfRule>
  </conditionalFormatting>
  <conditionalFormatting sqref="K61">
    <cfRule type="containsText" dxfId="5368" priority="53" operator="containsText" text="Code">
      <formula>NOT(ISERROR(SEARCH("Code",K61)))</formula>
    </cfRule>
  </conditionalFormatting>
  <conditionalFormatting sqref="K64">
    <cfRule type="containsText" dxfId="5367" priority="19" operator="containsText" text="Code">
      <formula>NOT(ISERROR(SEARCH("Code",K64)))</formula>
    </cfRule>
  </conditionalFormatting>
  <conditionalFormatting sqref="K66">
    <cfRule type="containsText" dxfId="5366" priority="51" operator="containsText" text="code">
      <formula>NOT(ISERROR(SEARCH("code",K66)))</formula>
    </cfRule>
  </conditionalFormatting>
  <conditionalFormatting sqref="K70">
    <cfRule type="containsText" dxfId="5365" priority="17" operator="containsText" text="code">
      <formula>NOT(ISERROR(SEARCH("code",K70)))</formula>
    </cfRule>
  </conditionalFormatting>
  <conditionalFormatting sqref="K73">
    <cfRule type="containsText" dxfId="5364" priority="49" operator="containsText" text="Code">
      <formula>NOT(ISERROR(SEARCH("Code",K73)))</formula>
    </cfRule>
  </conditionalFormatting>
  <conditionalFormatting sqref="K78">
    <cfRule type="containsText" dxfId="5363" priority="47" operator="containsText" text="code">
      <formula>NOT(ISERROR(SEARCH("code",K78)))</formula>
    </cfRule>
  </conditionalFormatting>
  <conditionalFormatting sqref="K81">
    <cfRule type="containsText" dxfId="5362" priority="15" operator="containsText" text="code">
      <formula>NOT(ISERROR(SEARCH("code",K81)))</formula>
    </cfRule>
  </conditionalFormatting>
  <conditionalFormatting sqref="K85">
    <cfRule type="containsText" dxfId="5361" priority="45" operator="containsText" text="Code">
      <formula>NOT(ISERROR(SEARCH("Code",K85)))</formula>
    </cfRule>
  </conditionalFormatting>
  <conditionalFormatting sqref="K88">
    <cfRule type="containsText" dxfId="5360" priority="13" operator="containsText" text="Code">
      <formula>NOT(ISERROR(SEARCH("Code",K88)))</formula>
    </cfRule>
  </conditionalFormatting>
  <conditionalFormatting sqref="K90:K91">
    <cfRule type="containsText" dxfId="5359" priority="43" operator="containsText" text="code">
      <formula>NOT(ISERROR(SEARCH("code",K90)))</formula>
    </cfRule>
  </conditionalFormatting>
  <conditionalFormatting sqref="K98">
    <cfRule type="containsText" dxfId="5358" priority="41" operator="containsText" text="code">
      <formula>NOT(ISERROR(SEARCH("code",K98)))</formula>
    </cfRule>
  </conditionalFormatting>
  <conditionalFormatting sqref="K100">
    <cfRule type="containsText" dxfId="5357" priority="11" operator="containsText" text="code">
      <formula>NOT(ISERROR(SEARCH("code",K100)))</formula>
    </cfRule>
  </conditionalFormatting>
  <conditionalFormatting sqref="K104">
    <cfRule type="containsText" dxfId="5356" priority="9" operator="containsText" text="code">
      <formula>NOT(ISERROR(SEARCH("code",K104)))</formula>
    </cfRule>
  </conditionalFormatting>
  <conditionalFormatting sqref="K106">
    <cfRule type="containsText" dxfId="5355" priority="39" operator="containsText" text="code">
      <formula>NOT(ISERROR(SEARCH("code",K106)))</formula>
    </cfRule>
  </conditionalFormatting>
  <conditionalFormatting sqref="K109">
    <cfRule type="containsText" dxfId="5354" priority="37" operator="containsText" text="Code">
      <formula>NOT(ISERROR(SEARCH("Code",K109)))</formula>
    </cfRule>
  </conditionalFormatting>
  <conditionalFormatting sqref="K112">
    <cfRule type="containsText" dxfId="5353" priority="7" operator="containsText" text="Code">
      <formula>NOT(ISERROR(SEARCH("Code",K112)))</formula>
    </cfRule>
  </conditionalFormatting>
  <conditionalFormatting sqref="K114">
    <cfRule type="containsText" dxfId="5352" priority="5" operator="containsText" text="code">
      <formula>NOT(ISERROR(SEARCH("code",K114)))</formula>
    </cfRule>
  </conditionalFormatting>
  <conditionalFormatting sqref="K117">
    <cfRule type="containsText" dxfId="5351" priority="35" operator="containsText" text="code">
      <formula>NOT(ISERROR(SEARCH("code",K117)))</formula>
    </cfRule>
  </conditionalFormatting>
  <conditionalFormatting sqref="K120:K121">
    <cfRule type="containsText" dxfId="5350" priority="33" operator="containsText" text="Code">
      <formula>NOT(ISERROR(SEARCH("Code",K120)))</formula>
    </cfRule>
  </conditionalFormatting>
  <conditionalFormatting sqref="K130">
    <cfRule type="containsText" dxfId="5349" priority="31" operator="containsText" text="code">
      <formula>NOT(ISERROR(SEARCH("code",K130)))</formula>
    </cfRule>
  </conditionalFormatting>
  <conditionalFormatting sqref="K59:L60 K62:L63 K65:L65 K67:L69 K71:L72 K74:L77 K79:L80 K82:L84 K86:L87 K89:L89 K92:L92">
    <cfRule type="containsText" dxfId="5348" priority="66" operator="containsText" text="cre">
      <formula>NOT(ISERROR(SEARCH("cre",K59)))</formula>
    </cfRule>
  </conditionalFormatting>
  <conditionalFormatting sqref="L25">
    <cfRule type="containsText" dxfId="5347" priority="64" operator="containsText" text="code">
      <formula>NOT(ISERROR(SEARCH("code",L25)))</formula>
    </cfRule>
  </conditionalFormatting>
  <conditionalFormatting sqref="L28">
    <cfRule type="containsText" dxfId="5346" priority="28" operator="containsText" text="code">
      <formula>NOT(ISERROR(SEARCH("code",L28)))</formula>
    </cfRule>
  </conditionalFormatting>
  <conditionalFormatting sqref="L31">
    <cfRule type="containsText" dxfId="5345" priority="26" operator="containsText" text="Code">
      <formula>NOT(ISERROR(SEARCH("Code",L31)))</formula>
    </cfRule>
  </conditionalFormatting>
  <conditionalFormatting sqref="L33">
    <cfRule type="containsText" dxfId="5344" priority="62" operator="containsText" text="Code">
      <formula>NOT(ISERROR(SEARCH("Code",L33)))</formula>
    </cfRule>
  </conditionalFormatting>
  <conditionalFormatting sqref="L43">
    <cfRule type="containsText" dxfId="5343" priority="58" operator="containsText" text="code">
      <formula>NOT(ISERROR(SEARCH("code",L43)))</formula>
    </cfRule>
  </conditionalFormatting>
  <conditionalFormatting sqref="L46">
    <cfRule type="containsText" dxfId="5342" priority="22" operator="containsText" text="code">
      <formula>NOT(ISERROR(SEARCH("code",L46)))</formula>
    </cfRule>
  </conditionalFormatting>
  <conditionalFormatting sqref="L50">
    <cfRule type="containsText" dxfId="5341" priority="56" operator="containsText" text="Code">
      <formula>NOT(ISERROR(SEARCH("Code",L50)))</formula>
    </cfRule>
  </conditionalFormatting>
  <conditionalFormatting sqref="L52">
    <cfRule type="containsText" dxfId="5340" priority="20" operator="containsText" text="Code">
      <formula>NOT(ISERROR(SEARCH("Code",L52)))</formula>
    </cfRule>
  </conditionalFormatting>
  <conditionalFormatting sqref="L56:L57">
    <cfRule type="containsText" dxfId="5339" priority="54" operator="containsText" text="Code">
      <formula>NOT(ISERROR(SEARCH("Code",L56)))</formula>
    </cfRule>
  </conditionalFormatting>
  <conditionalFormatting sqref="L61">
    <cfRule type="containsText" dxfId="5338" priority="52" operator="containsText" text="code">
      <formula>NOT(ISERROR(SEARCH("code",L61)))</formula>
    </cfRule>
  </conditionalFormatting>
  <conditionalFormatting sqref="L64">
    <cfRule type="containsText" dxfId="5337" priority="18" operator="containsText" text="code">
      <formula>NOT(ISERROR(SEARCH("code",L64)))</formula>
    </cfRule>
  </conditionalFormatting>
  <conditionalFormatting sqref="L66">
    <cfRule type="containsText" dxfId="5336" priority="50" operator="containsText" text="Code">
      <formula>NOT(ISERROR(SEARCH("Code",L66)))</formula>
    </cfRule>
  </conditionalFormatting>
  <conditionalFormatting sqref="L70">
    <cfRule type="containsText" dxfId="5335" priority="16" operator="containsText" text="Code">
      <formula>NOT(ISERROR(SEARCH("Code",L70)))</formula>
    </cfRule>
  </conditionalFormatting>
  <conditionalFormatting sqref="L73">
    <cfRule type="containsText" dxfId="5334" priority="48" operator="containsText" text="code">
      <formula>NOT(ISERROR(SEARCH("code",L73)))</formula>
    </cfRule>
  </conditionalFormatting>
  <conditionalFormatting sqref="L78">
    <cfRule type="containsText" dxfId="5333" priority="46" operator="containsText" text="Code">
      <formula>NOT(ISERROR(SEARCH("Code",L78)))</formula>
    </cfRule>
  </conditionalFormatting>
  <conditionalFormatting sqref="L81">
    <cfRule type="containsText" dxfId="5332" priority="14" operator="containsText" text="Code">
      <formula>NOT(ISERROR(SEARCH("Code",L81)))</formula>
    </cfRule>
  </conditionalFormatting>
  <conditionalFormatting sqref="L85">
    <cfRule type="containsText" dxfId="5331" priority="44" operator="containsText" text="code">
      <formula>NOT(ISERROR(SEARCH("code",L85)))</formula>
    </cfRule>
  </conditionalFormatting>
  <conditionalFormatting sqref="L88">
    <cfRule type="containsText" dxfId="5330" priority="12" operator="containsText" text="code">
      <formula>NOT(ISERROR(SEARCH("code",L88)))</formula>
    </cfRule>
  </conditionalFormatting>
  <conditionalFormatting sqref="L90:L91">
    <cfRule type="containsText" dxfId="5329" priority="42" operator="containsText" text="Code">
      <formula>NOT(ISERROR(SEARCH("Code",L90)))</formula>
    </cfRule>
  </conditionalFormatting>
  <conditionalFormatting sqref="L98">
    <cfRule type="containsText" dxfId="5328" priority="40" operator="containsText" text="Code">
      <formula>NOT(ISERROR(SEARCH("Code",L98)))</formula>
    </cfRule>
  </conditionalFormatting>
  <conditionalFormatting sqref="L100">
    <cfRule type="containsText" dxfId="5327" priority="10" operator="containsText" text="Code">
      <formula>NOT(ISERROR(SEARCH("Code",L100)))</formula>
    </cfRule>
  </conditionalFormatting>
  <conditionalFormatting sqref="L104">
    <cfRule type="containsText" dxfId="5326" priority="8" operator="containsText" text="Code">
      <formula>NOT(ISERROR(SEARCH("Code",L104)))</formula>
    </cfRule>
  </conditionalFormatting>
  <conditionalFormatting sqref="L106">
    <cfRule type="containsText" dxfId="5325" priority="38" operator="containsText" text="Code">
      <formula>NOT(ISERROR(SEARCH("Code",L106)))</formula>
    </cfRule>
  </conditionalFormatting>
  <conditionalFormatting sqref="L109">
    <cfRule type="containsText" dxfId="5324" priority="36" operator="containsText" text="code">
      <formula>NOT(ISERROR(SEARCH("code",L109)))</formula>
    </cfRule>
  </conditionalFormatting>
  <conditionalFormatting sqref="L112">
    <cfRule type="containsText" dxfId="5323" priority="6" operator="containsText" text="code">
      <formula>NOT(ISERROR(SEARCH("code",L112)))</formula>
    </cfRule>
  </conditionalFormatting>
  <conditionalFormatting sqref="L114">
    <cfRule type="containsText" dxfId="5322" priority="4" operator="containsText" text="Code">
      <formula>NOT(ISERROR(SEARCH("Code",L114)))</formula>
    </cfRule>
  </conditionalFormatting>
  <conditionalFormatting sqref="L117">
    <cfRule type="containsText" dxfId="5321" priority="34" operator="containsText" text="Code">
      <formula>NOT(ISERROR(SEARCH("Code",L117)))</formula>
    </cfRule>
  </conditionalFormatting>
  <conditionalFormatting sqref="L120:L121">
    <cfRule type="containsText" dxfId="5320" priority="32" operator="containsText" text="code">
      <formula>NOT(ISERROR(SEARCH("code",L120)))</formula>
    </cfRule>
  </conditionalFormatting>
  <conditionalFormatting sqref="L130">
    <cfRule type="containsText" dxfId="5319" priority="30" operator="containsText" text="Code">
      <formula>NOT(ISERROR(SEARCH("Code",L130)))</formula>
    </cfRule>
  </conditionalFormatting>
  <conditionalFormatting sqref="L38:M38">
    <cfRule type="containsText" dxfId="5318" priority="60" operator="containsText" text="code">
      <formula>NOT(ISERROR(SEARCH("code",L38)))</formula>
    </cfRule>
  </conditionalFormatting>
  <conditionalFormatting sqref="L40:M40">
    <cfRule type="containsText" dxfId="5317" priority="24" operator="containsText" text="code">
      <formula>NOT(ISERROR(SEARCH("code",L40)))</formula>
    </cfRule>
  </conditionalFormatting>
  <hyperlinks>
    <hyperlink ref="K3" location="Contents!A1" display="Back to Contents" xr:uid="{FF30E319-BC0B-476B-B3D8-BAC2F07CCCD0}"/>
    <hyperlink ref="K5:K6" location="'All Fixtures'!A1" display="See all NW Fixtures" xr:uid="{273CADBC-5758-40CE-BE3F-51489A621438}"/>
  </hyperlinks>
  <pageMargins left="0.7" right="0.7" top="0.75" bottom="0.75" header="0.3" footer="0.3"/>
  <pageSetup paperSize="9" orientation="portrait" r:id="rId1"/>
  <ignoredErrors>
    <ignoredError sqref="J10:J19 K10:K1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D22C2-D5B1-43D4-8073-627AEC6275FF}">
  <sheetPr>
    <tabColor rgb="FF4169E1"/>
    <pageSetUpPr fitToPage="1"/>
  </sheetPr>
  <dimension ref="B3:AI54"/>
  <sheetViews>
    <sheetView showGridLines="0" zoomScale="60" zoomScaleNormal="60" workbookViewId="0"/>
  </sheetViews>
  <sheetFormatPr defaultColWidth="8.88671875" defaultRowHeight="14.4" x14ac:dyDescent="0.3"/>
  <cols>
    <col min="1" max="1" width="8" customWidth="1"/>
    <col min="6" max="6" width="11" customWidth="1"/>
    <col min="7" max="7" width="9.77734375" customWidth="1"/>
    <col min="11" max="11" width="11.6640625" customWidth="1"/>
    <col min="13" max="13" width="12.44140625" customWidth="1"/>
    <col min="15" max="15" width="10.33203125" customWidth="1"/>
    <col min="16" max="16" width="10" customWidth="1"/>
    <col min="17" max="17" width="9.44140625" customWidth="1"/>
    <col min="20" max="20" width="12.109375" customWidth="1"/>
    <col min="22" max="22" width="9.5546875" customWidth="1"/>
    <col min="23" max="23" width="10" customWidth="1"/>
    <col min="24" max="24" width="10.33203125" customWidth="1"/>
    <col min="35" max="35" width="29.33203125" style="55" customWidth="1"/>
  </cols>
  <sheetData>
    <row r="3" spans="2:35" ht="15" thickBot="1" x14ac:dyDescent="0.35"/>
    <row r="4" spans="2:35" ht="61.8" thickBot="1" x14ac:dyDescent="0.35">
      <c r="P4" s="12" t="s">
        <v>502</v>
      </c>
      <c r="AI4" s="20" t="s">
        <v>86</v>
      </c>
    </row>
    <row r="13" spans="2:35" ht="15" thickBot="1" x14ac:dyDescent="0.35"/>
    <row r="14" spans="2:35" ht="15" customHeight="1" x14ac:dyDescent="0.4">
      <c r="B14" s="120" t="s">
        <v>0</v>
      </c>
      <c r="C14" s="121"/>
      <c r="F14" s="26"/>
      <c r="G14" s="26"/>
      <c r="H14" s="26"/>
      <c r="I14" s="26"/>
      <c r="J14" s="26"/>
      <c r="K14" s="26"/>
      <c r="L14" s="126" t="s">
        <v>16</v>
      </c>
      <c r="M14" s="127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</row>
    <row r="15" spans="2:35" ht="15" customHeight="1" x14ac:dyDescent="0.4">
      <c r="B15" s="122"/>
      <c r="C15" s="123"/>
      <c r="F15" s="26"/>
      <c r="G15" s="26"/>
      <c r="H15" s="26"/>
      <c r="I15" s="26"/>
      <c r="J15" s="26"/>
      <c r="K15" s="26"/>
      <c r="L15" s="128"/>
      <c r="M15" s="129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</row>
    <row r="16" spans="2:35" ht="15" customHeight="1" thickBot="1" x14ac:dyDescent="0.45">
      <c r="B16" s="124"/>
      <c r="C16" s="125"/>
      <c r="F16" s="26"/>
      <c r="G16" s="26"/>
      <c r="H16" s="26"/>
      <c r="I16" s="26"/>
      <c r="J16" s="26"/>
      <c r="K16" s="26"/>
      <c r="L16" s="130"/>
      <c r="M16" s="131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</row>
    <row r="17" spans="2:25" ht="15" customHeight="1" thickBot="1" x14ac:dyDescent="0.45">
      <c r="F17" s="26"/>
      <c r="G17" s="26"/>
      <c r="H17" s="26"/>
      <c r="I17" s="26"/>
      <c r="J17" s="26"/>
      <c r="K17" s="26"/>
      <c r="L17" s="2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</row>
    <row r="18" spans="2:25" ht="15" customHeight="1" x14ac:dyDescent="0.4">
      <c r="B18" s="120" t="s">
        <v>1</v>
      </c>
      <c r="C18" s="121"/>
      <c r="F18" s="26"/>
      <c r="G18" s="26"/>
      <c r="H18" s="26"/>
      <c r="I18" s="26"/>
      <c r="J18" s="26"/>
      <c r="K18" s="26"/>
      <c r="L18" s="126" t="s">
        <v>17</v>
      </c>
      <c r="M18" s="127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2:25" ht="15" customHeight="1" x14ac:dyDescent="0.4">
      <c r="B19" s="122"/>
      <c r="C19" s="123"/>
      <c r="F19" s="26"/>
      <c r="G19" s="26"/>
      <c r="H19" s="26"/>
      <c r="I19" s="26"/>
      <c r="J19" s="26"/>
      <c r="K19" s="26"/>
      <c r="L19" s="128"/>
      <c r="M19" s="129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2:25" ht="15" customHeight="1" thickBot="1" x14ac:dyDescent="0.45">
      <c r="B20" s="124"/>
      <c r="C20" s="125"/>
      <c r="F20" s="26"/>
      <c r="G20" s="26"/>
      <c r="H20" s="26"/>
      <c r="I20" s="26"/>
      <c r="J20" s="26"/>
      <c r="K20" s="26"/>
      <c r="L20" s="130"/>
      <c r="M20" s="131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</row>
    <row r="21" spans="2:25" ht="15" customHeight="1" thickBot="1" x14ac:dyDescent="0.45">
      <c r="F21" s="26"/>
      <c r="G21" s="26"/>
      <c r="H21" s="26"/>
      <c r="I21" s="26"/>
      <c r="J21" s="26"/>
      <c r="K21" s="26"/>
      <c r="L21" s="28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</row>
    <row r="22" spans="2:25" ht="15" customHeight="1" x14ac:dyDescent="0.4">
      <c r="B22" s="120" t="s">
        <v>2</v>
      </c>
      <c r="C22" s="121"/>
      <c r="F22" s="26"/>
      <c r="G22" s="26"/>
      <c r="H22" s="132"/>
      <c r="I22" s="132"/>
      <c r="J22" s="1"/>
      <c r="K22" s="26"/>
      <c r="L22" s="134" t="s">
        <v>22</v>
      </c>
      <c r="M22" s="135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</row>
    <row r="23" spans="2:25" ht="15" customHeight="1" x14ac:dyDescent="0.4">
      <c r="B23" s="122"/>
      <c r="C23" s="123"/>
      <c r="F23" s="26"/>
      <c r="G23" s="26"/>
      <c r="H23" s="132"/>
      <c r="I23" s="132"/>
      <c r="J23" s="1"/>
      <c r="K23" s="26"/>
      <c r="L23" s="136"/>
      <c r="M23" s="137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</row>
    <row r="24" spans="2:25" ht="15" customHeight="1" thickBot="1" x14ac:dyDescent="0.45">
      <c r="B24" s="124"/>
      <c r="C24" s="125"/>
      <c r="F24" s="26"/>
      <c r="G24" s="27"/>
      <c r="H24" s="133"/>
      <c r="I24" s="133"/>
      <c r="J24" s="2"/>
      <c r="K24" s="27"/>
      <c r="L24" s="138"/>
      <c r="M24" s="139"/>
      <c r="N24" s="27"/>
      <c r="O24" s="27"/>
      <c r="P24" s="27"/>
      <c r="Q24" s="27"/>
      <c r="R24" s="27"/>
      <c r="S24" s="26"/>
      <c r="T24" s="26"/>
      <c r="U24" s="26"/>
      <c r="V24" s="26"/>
      <c r="W24" s="26"/>
      <c r="X24" s="26"/>
      <c r="Y24" s="26"/>
    </row>
    <row r="25" spans="2:25" ht="15" customHeight="1" thickBot="1" x14ac:dyDescent="0.45">
      <c r="F25" s="26"/>
      <c r="G25" s="29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8"/>
      <c r="S25" s="26"/>
      <c r="T25" s="26"/>
      <c r="U25" s="26"/>
      <c r="V25" s="26"/>
      <c r="W25" s="26"/>
      <c r="X25" s="26"/>
      <c r="Y25" s="26"/>
    </row>
    <row r="26" spans="2:25" ht="15" customHeight="1" x14ac:dyDescent="0.4">
      <c r="B26" s="120" t="s">
        <v>3</v>
      </c>
      <c r="C26" s="121"/>
      <c r="F26" s="134" t="s">
        <v>23</v>
      </c>
      <c r="G26" s="135"/>
      <c r="H26" s="26"/>
      <c r="I26" s="26"/>
      <c r="J26" s="132"/>
      <c r="K26" s="132"/>
      <c r="L26" s="26"/>
      <c r="M26" s="26"/>
      <c r="N26" s="26"/>
      <c r="O26" s="26"/>
      <c r="P26" s="26"/>
      <c r="Q26" s="26"/>
      <c r="R26" s="134" t="s">
        <v>24</v>
      </c>
      <c r="S26" s="135"/>
      <c r="T26" s="26"/>
      <c r="U26" s="26"/>
      <c r="V26" s="26"/>
      <c r="W26" s="26"/>
      <c r="X26" s="26"/>
      <c r="Y26" s="26"/>
    </row>
    <row r="27" spans="2:25" ht="15" customHeight="1" x14ac:dyDescent="0.4">
      <c r="B27" s="122"/>
      <c r="C27" s="123"/>
      <c r="F27" s="136"/>
      <c r="G27" s="137"/>
      <c r="H27" s="26"/>
      <c r="I27" s="26"/>
      <c r="J27" s="132"/>
      <c r="K27" s="132"/>
      <c r="L27" s="26"/>
      <c r="M27" s="26"/>
      <c r="N27" s="26"/>
      <c r="O27" s="26"/>
      <c r="P27" s="26"/>
      <c r="Q27" s="26"/>
      <c r="R27" s="136"/>
      <c r="S27" s="137"/>
      <c r="T27" s="26"/>
      <c r="U27" s="26"/>
      <c r="V27" s="26"/>
      <c r="W27" s="26"/>
      <c r="X27" s="26"/>
      <c r="Y27" s="26"/>
    </row>
    <row r="28" spans="2:25" ht="15" customHeight="1" thickBot="1" x14ac:dyDescent="0.45">
      <c r="B28" s="124"/>
      <c r="C28" s="125"/>
      <c r="F28" s="138"/>
      <c r="G28" s="139"/>
      <c r="H28" s="26"/>
      <c r="I28" s="26"/>
      <c r="J28" s="132"/>
      <c r="K28" s="132"/>
      <c r="L28" s="26"/>
      <c r="M28" s="26"/>
      <c r="N28" s="26"/>
      <c r="O28" s="27"/>
      <c r="P28" s="27"/>
      <c r="Q28" s="27"/>
      <c r="R28" s="138"/>
      <c r="S28" s="139"/>
      <c r="T28" s="27"/>
      <c r="U28" s="27"/>
      <c r="V28" s="27"/>
      <c r="W28" s="26"/>
      <c r="X28" s="26"/>
      <c r="Y28" s="26"/>
    </row>
    <row r="29" spans="2:25" ht="15" customHeight="1" thickBot="1" x14ac:dyDescent="0.45">
      <c r="F29" s="28"/>
      <c r="G29" s="26"/>
      <c r="H29" s="26"/>
      <c r="I29" s="26"/>
      <c r="J29" s="26"/>
      <c r="K29" s="26"/>
      <c r="L29" s="26"/>
      <c r="M29" s="26"/>
      <c r="N29" s="28"/>
      <c r="O29" s="26"/>
      <c r="P29" s="26"/>
      <c r="Q29" s="26"/>
      <c r="R29" s="26"/>
      <c r="S29" s="26"/>
      <c r="T29" s="26"/>
      <c r="U29" s="26"/>
      <c r="V29" s="30"/>
      <c r="W29" s="26"/>
      <c r="X29" s="26"/>
      <c r="Y29" s="26"/>
    </row>
    <row r="30" spans="2:25" ht="15" customHeight="1" x14ac:dyDescent="0.4">
      <c r="B30" s="120" t="s">
        <v>4</v>
      </c>
      <c r="C30" s="121"/>
      <c r="F30" s="170" t="s">
        <v>26</v>
      </c>
      <c r="G30" s="171"/>
      <c r="H30" s="26"/>
      <c r="I30" s="26"/>
      <c r="J30" s="132"/>
      <c r="K30" s="132"/>
      <c r="L30" s="26"/>
      <c r="M30" s="26"/>
      <c r="N30" s="164" t="s">
        <v>25</v>
      </c>
      <c r="O30" s="165"/>
      <c r="P30" s="1"/>
      <c r="Q30" s="26"/>
      <c r="R30" s="26"/>
      <c r="S30" s="26"/>
      <c r="T30" s="26"/>
      <c r="U30" s="1"/>
      <c r="V30" s="164" t="s">
        <v>27</v>
      </c>
      <c r="W30" s="165"/>
      <c r="X30" s="26"/>
      <c r="Y30" s="26"/>
    </row>
    <row r="31" spans="2:25" ht="15" customHeight="1" x14ac:dyDescent="0.4">
      <c r="B31" s="122"/>
      <c r="C31" s="123"/>
      <c r="F31" s="172"/>
      <c r="G31" s="173"/>
      <c r="H31" s="26"/>
      <c r="I31" s="26"/>
      <c r="J31" s="132"/>
      <c r="K31" s="132"/>
      <c r="L31" s="26"/>
      <c r="M31" s="26"/>
      <c r="N31" s="166"/>
      <c r="O31" s="167"/>
      <c r="P31" s="1"/>
      <c r="Q31" s="26"/>
      <c r="R31" s="26"/>
      <c r="S31" s="26"/>
      <c r="T31" s="26"/>
      <c r="U31" s="1"/>
      <c r="V31" s="166"/>
      <c r="W31" s="167"/>
      <c r="X31" s="26"/>
      <c r="Y31" s="26"/>
    </row>
    <row r="32" spans="2:25" ht="15" customHeight="1" thickBot="1" x14ac:dyDescent="0.45">
      <c r="B32" s="124"/>
      <c r="C32" s="125"/>
      <c r="F32" s="174"/>
      <c r="G32" s="175"/>
      <c r="H32" s="26"/>
      <c r="I32" s="26"/>
      <c r="J32" s="132"/>
      <c r="K32" s="132"/>
      <c r="L32" s="26"/>
      <c r="M32" s="27"/>
      <c r="N32" s="168"/>
      <c r="O32" s="169"/>
      <c r="P32" s="2"/>
      <c r="Q32" s="26"/>
      <c r="R32" s="26"/>
      <c r="S32" s="26"/>
      <c r="T32" s="26"/>
      <c r="U32" s="2"/>
      <c r="V32" s="168"/>
      <c r="W32" s="169"/>
      <c r="X32" s="27"/>
      <c r="Y32" s="26"/>
    </row>
    <row r="33" spans="2:25" ht="15" customHeight="1" thickBot="1" x14ac:dyDescent="0.45">
      <c r="F33" s="26"/>
      <c r="G33" s="69"/>
      <c r="H33" s="26"/>
      <c r="I33" s="26"/>
      <c r="J33" s="26"/>
      <c r="K33" s="26"/>
      <c r="L33" s="28"/>
      <c r="M33" s="26"/>
      <c r="N33" s="26"/>
      <c r="O33" s="26"/>
      <c r="P33" s="30"/>
      <c r="Q33" s="26"/>
      <c r="R33" s="26"/>
      <c r="S33" s="26"/>
      <c r="T33" s="28"/>
      <c r="U33" s="26"/>
      <c r="V33" s="26"/>
      <c r="W33" s="26"/>
      <c r="X33" s="28"/>
      <c r="Y33" s="26"/>
    </row>
    <row r="34" spans="2:25" ht="15" customHeight="1" x14ac:dyDescent="0.4">
      <c r="B34" s="120" t="s">
        <v>5</v>
      </c>
      <c r="C34" s="121"/>
      <c r="F34" s="26"/>
      <c r="G34" s="26"/>
      <c r="H34" s="26"/>
      <c r="I34" s="26"/>
      <c r="J34" s="1"/>
      <c r="K34" s="1"/>
      <c r="L34" s="170" t="s">
        <v>33</v>
      </c>
      <c r="M34" s="171"/>
      <c r="N34" s="1"/>
      <c r="O34" s="26"/>
      <c r="P34" s="164" t="s">
        <v>31</v>
      </c>
      <c r="Q34" s="165"/>
      <c r="R34" s="1"/>
      <c r="S34" s="26"/>
      <c r="T34" s="164" t="s">
        <v>34</v>
      </c>
      <c r="U34" s="165"/>
      <c r="V34" s="26"/>
      <c r="W34" s="26"/>
      <c r="X34" s="164" t="s">
        <v>28</v>
      </c>
      <c r="Y34" s="165"/>
    </row>
    <row r="35" spans="2:25" ht="15" customHeight="1" x14ac:dyDescent="0.4">
      <c r="B35" s="122"/>
      <c r="C35" s="123"/>
      <c r="F35" s="26"/>
      <c r="G35" s="26"/>
      <c r="H35" s="26"/>
      <c r="I35" s="26"/>
      <c r="J35" s="1"/>
      <c r="K35" s="1"/>
      <c r="L35" s="172"/>
      <c r="M35" s="173"/>
      <c r="N35" s="1"/>
      <c r="O35" s="26"/>
      <c r="P35" s="166"/>
      <c r="Q35" s="167"/>
      <c r="R35" s="1"/>
      <c r="S35" s="26"/>
      <c r="T35" s="166"/>
      <c r="U35" s="167"/>
      <c r="V35" s="26"/>
      <c r="W35" s="26"/>
      <c r="X35" s="166"/>
      <c r="Y35" s="167"/>
    </row>
    <row r="36" spans="2:25" ht="15" customHeight="1" thickBot="1" x14ac:dyDescent="0.45">
      <c r="B36" s="124"/>
      <c r="C36" s="125"/>
      <c r="F36" s="26"/>
      <c r="G36" s="26"/>
      <c r="H36" s="26"/>
      <c r="I36" s="26"/>
      <c r="J36" s="1"/>
      <c r="K36" s="1"/>
      <c r="L36" s="174"/>
      <c r="M36" s="175"/>
      <c r="N36" s="1"/>
      <c r="O36" s="26"/>
      <c r="P36" s="168"/>
      <c r="Q36" s="169"/>
      <c r="R36" s="1"/>
      <c r="S36" s="26"/>
      <c r="T36" s="168"/>
      <c r="U36" s="169"/>
      <c r="V36" s="26"/>
      <c r="W36" s="26"/>
      <c r="X36" s="168"/>
      <c r="Y36" s="169"/>
    </row>
    <row r="37" spans="2:25" ht="15" customHeight="1" thickBot="1" x14ac:dyDescent="0.45"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8"/>
      <c r="Q37" s="26"/>
      <c r="R37" s="26"/>
      <c r="S37" s="26"/>
      <c r="T37" s="28"/>
      <c r="U37" s="26"/>
      <c r="V37" s="26"/>
      <c r="W37" s="26"/>
      <c r="X37" s="28"/>
      <c r="Y37" s="26"/>
    </row>
    <row r="38" spans="2:25" ht="15" customHeight="1" x14ac:dyDescent="0.4">
      <c r="B38" s="120" t="s">
        <v>6</v>
      </c>
      <c r="C38" s="121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170" t="s">
        <v>32</v>
      </c>
      <c r="Q38" s="171"/>
      <c r="R38" s="26"/>
      <c r="S38" s="26"/>
      <c r="T38" s="164" t="s">
        <v>35</v>
      </c>
      <c r="U38" s="165"/>
      <c r="V38" s="26"/>
      <c r="W38" s="26"/>
      <c r="X38" s="164" t="s">
        <v>29</v>
      </c>
      <c r="Y38" s="165"/>
    </row>
    <row r="39" spans="2:25" ht="15" customHeight="1" x14ac:dyDescent="0.4">
      <c r="B39" s="122"/>
      <c r="C39" s="123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172"/>
      <c r="Q39" s="173"/>
      <c r="R39" s="26"/>
      <c r="S39" s="26"/>
      <c r="T39" s="166"/>
      <c r="U39" s="167"/>
      <c r="V39" s="26"/>
      <c r="W39" s="26"/>
      <c r="X39" s="166"/>
      <c r="Y39" s="167"/>
    </row>
    <row r="40" spans="2:25" ht="15" customHeight="1" thickBot="1" x14ac:dyDescent="0.45">
      <c r="B40" s="124"/>
      <c r="C40" s="125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174"/>
      <c r="Q40" s="175"/>
      <c r="R40" s="26"/>
      <c r="S40" s="26"/>
      <c r="T40" s="168"/>
      <c r="U40" s="169"/>
      <c r="V40" s="26"/>
      <c r="W40" s="26"/>
      <c r="X40" s="168"/>
      <c r="Y40" s="169"/>
    </row>
    <row r="41" spans="2:25" ht="15" customHeight="1" thickBot="1" x14ac:dyDescent="0.45"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8"/>
      <c r="U41" s="26"/>
      <c r="V41" s="26"/>
      <c r="W41" s="26"/>
      <c r="X41" s="28"/>
      <c r="Y41" s="26"/>
    </row>
    <row r="42" spans="2:25" ht="15" customHeight="1" x14ac:dyDescent="0.4">
      <c r="B42" s="120" t="s">
        <v>7</v>
      </c>
      <c r="C42" s="121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70" t="s">
        <v>36</v>
      </c>
      <c r="U42" s="171"/>
      <c r="V42" s="26"/>
      <c r="W42" s="26"/>
      <c r="X42" s="170" t="s">
        <v>30</v>
      </c>
      <c r="Y42" s="171"/>
    </row>
    <row r="43" spans="2:25" ht="15" customHeight="1" x14ac:dyDescent="0.4">
      <c r="B43" s="122"/>
      <c r="C43" s="123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172"/>
      <c r="U43" s="173"/>
      <c r="V43" s="26"/>
      <c r="W43" s="26"/>
      <c r="X43" s="172"/>
      <c r="Y43" s="173"/>
    </row>
    <row r="44" spans="2:25" ht="15" customHeight="1" thickBot="1" x14ac:dyDescent="0.45">
      <c r="B44" s="124"/>
      <c r="C44" s="125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174"/>
      <c r="U44" s="175"/>
      <c r="V44" s="26"/>
      <c r="W44" s="26"/>
      <c r="X44" s="174"/>
      <c r="Y44" s="175"/>
    </row>
    <row r="45" spans="2:25" ht="15" customHeight="1" x14ac:dyDescent="0.3"/>
    <row r="46" spans="2:25" ht="15" customHeight="1" thickBot="1" x14ac:dyDescent="0.35"/>
    <row r="47" spans="2:25" ht="15" customHeight="1" x14ac:dyDescent="0.3">
      <c r="D47" s="140" t="s">
        <v>18</v>
      </c>
      <c r="E47" s="141"/>
      <c r="G47" s="146" t="s">
        <v>19</v>
      </c>
      <c r="H47" s="147"/>
      <c r="J47" s="152" t="s">
        <v>20</v>
      </c>
      <c r="K47" s="153"/>
      <c r="M47" s="158" t="s">
        <v>21</v>
      </c>
      <c r="N47" s="159"/>
    </row>
    <row r="48" spans="2:25" ht="15" customHeight="1" x14ac:dyDescent="0.3">
      <c r="D48" s="142"/>
      <c r="E48" s="143"/>
      <c r="G48" s="148"/>
      <c r="H48" s="149"/>
      <c r="J48" s="154"/>
      <c r="K48" s="155"/>
      <c r="M48" s="160"/>
      <c r="N48" s="161"/>
    </row>
    <row r="49" spans="2:14" ht="15" customHeight="1" thickBot="1" x14ac:dyDescent="0.35">
      <c r="D49" s="144"/>
      <c r="E49" s="145"/>
      <c r="G49" s="150"/>
      <c r="H49" s="151"/>
      <c r="J49" s="156"/>
      <c r="K49" s="157"/>
      <c r="M49" s="162"/>
      <c r="N49" s="163"/>
    </row>
    <row r="54" spans="2:14" ht="23.4" x14ac:dyDescent="0.45">
      <c r="B54" s="61" t="s">
        <v>84</v>
      </c>
    </row>
  </sheetData>
  <mergeCells count="32">
    <mergeCell ref="B42:C44"/>
    <mergeCell ref="T38:U40"/>
    <mergeCell ref="T42:U44"/>
    <mergeCell ref="X42:Y44"/>
    <mergeCell ref="P38:Q40"/>
    <mergeCell ref="T34:U36"/>
    <mergeCell ref="X34:Y36"/>
    <mergeCell ref="X38:Y40"/>
    <mergeCell ref="R26:S28"/>
    <mergeCell ref="F30:G32"/>
    <mergeCell ref="N30:O32"/>
    <mergeCell ref="V30:W32"/>
    <mergeCell ref="L34:M36"/>
    <mergeCell ref="P34:Q36"/>
    <mergeCell ref="D47:E49"/>
    <mergeCell ref="G47:H49"/>
    <mergeCell ref="J47:K49"/>
    <mergeCell ref="M47:N49"/>
    <mergeCell ref="L22:M24"/>
    <mergeCell ref="B34:C36"/>
    <mergeCell ref="B38:C40"/>
    <mergeCell ref="B22:C24"/>
    <mergeCell ref="H22:I24"/>
    <mergeCell ref="B26:C28"/>
    <mergeCell ref="F26:G28"/>
    <mergeCell ref="B14:C16"/>
    <mergeCell ref="L14:M16"/>
    <mergeCell ref="B18:C20"/>
    <mergeCell ref="L18:M20"/>
    <mergeCell ref="B30:C32"/>
    <mergeCell ref="J30:K32"/>
    <mergeCell ref="J26:K28"/>
  </mergeCells>
  <conditionalFormatting sqref="AI4">
    <cfRule type="duplicateValues" dxfId="6072" priority="1"/>
  </conditionalFormatting>
  <hyperlinks>
    <hyperlink ref="AI4" location="Contents!A1" display="Back to Contents" xr:uid="{BFEDDD6D-AF3D-49AC-9982-6843381C7DB2}"/>
    <hyperlink ref="L18:M20" location="'M1'!A1" display="NW Division 1" xr:uid="{DBBFF024-14E7-4EF3-A085-83AECC2A833A}"/>
    <hyperlink ref="L22:M24" location="'M2'!A1" display="NW Division 2" xr:uid="{67BD9A8B-7B80-4C60-9489-934481BFB661}"/>
    <hyperlink ref="F26:G28" location="M3N!A1" display="NW Division 3 North" xr:uid="{B8E596D0-D704-4F96-BBE1-C307CDF1B971}"/>
    <hyperlink ref="R26:S28" location="M3S!A1" display="NW Division 3 South" xr:uid="{A8BD1D5E-30D0-46B7-AB5F-6A575B8A4505}"/>
    <hyperlink ref="F30:G32" location="M4N!A1" display="NW Division 4 North" xr:uid="{781AB0AA-5EF9-46F8-9375-FA5265FF90EC}"/>
    <hyperlink ref="N30:O32" location="M4W!A1" display="NW Division 4 West" xr:uid="{5F596DD0-8263-45FE-9B01-932EA87A9532}"/>
    <hyperlink ref="L34:M36" location="M5WN!A1" display="NW Division 5 West (North)" xr:uid="{F7C26BC5-4162-40B7-8178-E5C3DC0D4883}"/>
    <hyperlink ref="P34:Q36" location="M5WS!A1" display="NW Division 5 West (South)" xr:uid="{F5420A65-A0F8-4972-B639-230F276CD3FE}"/>
    <hyperlink ref="P38:Q40" location="M6WS!A1" display="NW Division 6 West (South)" xr:uid="{AE355728-652D-49F5-9D23-13F589B14F93}"/>
    <hyperlink ref="V30:W32" location="M4E!A1" display="NW Division 4 East" xr:uid="{6CAA4963-C577-45C3-8FF4-E20C6874F73B}"/>
    <hyperlink ref="T34:U36" location="M5SC!A1" display="NW Division 5 South (Central)" xr:uid="{DCEB2434-A76F-45EC-843B-E16DC84E49C9}"/>
    <hyperlink ref="T38:U40" location="M6SC!A1" display="NW Division 6 South (Central)" xr:uid="{C4F3EDF2-07CE-4BA6-9014-1C1BA6B90815}"/>
    <hyperlink ref="T42:U44" location="M7SC!A1" display="NW Division 7 South (Central)" xr:uid="{09BA41A6-9AB4-48C7-81D5-3D5A938F0E7C}"/>
    <hyperlink ref="X34:Y36" location="M5E!A1" display="NW Division 5 East" xr:uid="{224B15A6-6345-4C3D-B680-67F5415A0FB9}"/>
    <hyperlink ref="X38:Y40" location="M6E!A1" display="NW Division 6 East" xr:uid="{278EE98C-0E43-40AF-B23A-04940C6AFC44}"/>
    <hyperlink ref="X42:Y44" location="M7E!A1" display="NW Division 7 East" xr:uid="{B81D9262-9497-4042-B865-54F339327769}"/>
    <hyperlink ref="L14:M16" location="MPrem!A1" display="NW Premier Division" xr:uid="{993065F4-CDCF-40EE-A82C-765984C7002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839CC-3720-4159-BFE6-CDA9CD1CB3E8}">
  <dimension ref="A2:AQ130"/>
  <sheetViews>
    <sheetView workbookViewId="0"/>
  </sheetViews>
  <sheetFormatPr defaultRowHeight="14.4" x14ac:dyDescent="0.3"/>
  <cols>
    <col min="1" max="1" width="3.5546875" style="47" customWidth="1"/>
    <col min="2" max="2" width="23.21875" style="3" customWidth="1"/>
    <col min="3" max="3" width="26" style="3" customWidth="1"/>
    <col min="4" max="4" width="43.88671875" style="3" customWidth="1"/>
    <col min="5" max="5" width="14.33203125" style="3" customWidth="1"/>
    <col min="6" max="6" width="30" style="3" customWidth="1"/>
    <col min="7" max="7" width="8.88671875" style="3"/>
    <col min="8" max="8" width="29.6640625" style="3" customWidth="1"/>
    <col min="9" max="9" width="8.88671875" style="3"/>
    <col min="10" max="10" width="17.77734375" style="3" customWidth="1"/>
    <col min="11" max="11" width="17.441406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498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COUNTIF(F$24:H$130,"Alderley Edge 5")</f>
        <v>18</v>
      </c>
      <c r="B10" s="3" t="s">
        <v>184</v>
      </c>
      <c r="C10" s="53">
        <v>3363004</v>
      </c>
      <c r="D10" s="57">
        <f>COUNTIF(F$24:I$130,"3363004")</f>
        <v>18</v>
      </c>
      <c r="E10" s="47"/>
      <c r="F10" s="57">
        <f>COUNTIF(F$24:F$130,"Alderley Edge 5")</f>
        <v>9</v>
      </c>
      <c r="G10" s="47"/>
      <c r="H10" s="57">
        <f>COUNTIF(H$24:H$130,"Alderley Edge 5")</f>
        <v>9</v>
      </c>
      <c r="I10" s="57">
        <f>COUNTIF(F$24:F$76,"Alderley Edge 5")</f>
        <v>5</v>
      </c>
      <c r="J10" s="57">
        <f>COUNTIF(F$77:F$130,"Alderley Edge 5")</f>
        <v>4</v>
      </c>
      <c r="K10" s="57">
        <f>COUNTIF(H$24:H$76,"Alderley Edge 5")</f>
        <v>4</v>
      </c>
      <c r="L10" s="57">
        <f>COUNTIF(H$77:H$130,"Alderley Edge 5")</f>
        <v>5</v>
      </c>
    </row>
    <row r="11" spans="1:12" ht="15" customHeight="1" x14ac:dyDescent="0.3">
      <c r="A11" s="47">
        <f>COUNTIF(F$24:H$130,"Deeside Ramblers 6")</f>
        <v>18</v>
      </c>
      <c r="B11" s="3" t="s">
        <v>219</v>
      </c>
      <c r="C11" s="53">
        <v>3357608</v>
      </c>
      <c r="D11" s="57">
        <f>COUNTIF(F$24:I$130,"3357608")</f>
        <v>18</v>
      </c>
      <c r="E11" s="47"/>
      <c r="F11" s="57">
        <f>COUNTIF(F$24:F$130,"Deeside Ramblers 6")</f>
        <v>9</v>
      </c>
      <c r="G11" s="47"/>
      <c r="H11" s="57">
        <f>COUNTIF(H$24:H$130,"Deeside Ramblers 6")</f>
        <v>9</v>
      </c>
      <c r="I11" s="57">
        <f>COUNTIF(F$24:F$76,"Deeside Ramblers 6")</f>
        <v>5</v>
      </c>
      <c r="J11" s="57">
        <f>COUNTIF(F$77:F$130,"Deeside Ramblers 6")</f>
        <v>4</v>
      </c>
      <c r="K11" s="57">
        <f>COUNTIF(H$24:H$76,"Deeside Ramblers 6")</f>
        <v>4</v>
      </c>
      <c r="L11" s="57">
        <f>COUNTIF(H$77:H$130,"Deeside Ramblers 6")</f>
        <v>5</v>
      </c>
    </row>
    <row r="12" spans="1:12" ht="15" customHeight="1" x14ac:dyDescent="0.3">
      <c r="A12" s="47">
        <f>COUNTIF(F$24:H$130,"Deeside Ramblers 7")</f>
        <v>18</v>
      </c>
      <c r="B12" s="3" t="s">
        <v>244</v>
      </c>
      <c r="C12" s="53">
        <v>3357504</v>
      </c>
      <c r="D12" s="57">
        <f>COUNTIF(F$24:I$130,"3357504")</f>
        <v>18</v>
      </c>
      <c r="E12" s="47"/>
      <c r="F12" s="57">
        <f>COUNTIF(F$24:F$130,"Deeside Ramblers 7")</f>
        <v>9</v>
      </c>
      <c r="G12" s="47"/>
      <c r="H12" s="57">
        <f>COUNTIF(H$24:H$130,"Deeside Ramblers 7")</f>
        <v>9</v>
      </c>
      <c r="I12" s="57">
        <f>COUNTIF(F$24:F$76,"Deeside Ramblers 7")</f>
        <v>4</v>
      </c>
      <c r="J12" s="57">
        <f>COUNTIF(F$77:F$130,"Deeside Ramblers 7")</f>
        <v>5</v>
      </c>
      <c r="K12" s="57">
        <f>COUNTIF(H$24:H$76,"Deeside Ramblers 7")</f>
        <v>5</v>
      </c>
      <c r="L12" s="57">
        <f>COUNTIF(H$77:H$130,"Deeside Ramblers 7")</f>
        <v>4</v>
      </c>
    </row>
    <row r="13" spans="1:12" ht="15" customHeight="1" x14ac:dyDescent="0.3">
      <c r="A13" s="47">
        <f>COUNTIF(F$24:H$130,"Macclesfield 4")</f>
        <v>18</v>
      </c>
      <c r="B13" s="3" t="s">
        <v>245</v>
      </c>
      <c r="C13" s="53">
        <v>3352905</v>
      </c>
      <c r="D13" s="57">
        <f>COUNTIF(F$24:I$130,"3352905")</f>
        <v>18</v>
      </c>
      <c r="E13" s="47"/>
      <c r="F13" s="57">
        <f>COUNTIF(F$24:F$130,"Macclesfield 4")</f>
        <v>9</v>
      </c>
      <c r="G13" s="47"/>
      <c r="H13" s="57">
        <f>COUNTIF(H$24:H$130,"Macclesfield 4")</f>
        <v>9</v>
      </c>
      <c r="I13" s="57">
        <f>COUNTIF(F$24:F$76,"Macclesfield 4")</f>
        <v>5</v>
      </c>
      <c r="J13" s="57">
        <f>COUNTIF(F$77:F$130,"Macclesfield 4")</f>
        <v>4</v>
      </c>
      <c r="K13" s="57">
        <f>COUNTIF(H$24:H$76,"Macclesfield 4")</f>
        <v>4</v>
      </c>
      <c r="L13" s="57">
        <f>COUNTIF(H$77:H$130,"Macclesfield 4")</f>
        <v>5</v>
      </c>
    </row>
    <row r="14" spans="1:12" ht="15" customHeight="1" x14ac:dyDescent="0.3">
      <c r="A14" s="47">
        <f>COUNTIF(F$24:H$130,"Northern 2")</f>
        <v>18</v>
      </c>
      <c r="B14" s="3" t="s">
        <v>222</v>
      </c>
      <c r="C14" s="53">
        <v>3348507</v>
      </c>
      <c r="D14" s="57">
        <f>COUNTIF(F$24:I$130,"3348507")</f>
        <v>18</v>
      </c>
      <c r="E14" s="47"/>
      <c r="F14" s="57">
        <f>COUNTIF(F$24:F$130,"Northern 2")</f>
        <v>9</v>
      </c>
      <c r="G14" s="47"/>
      <c r="H14" s="57">
        <f>COUNTIF(H$24:H$130,"Northern 2")</f>
        <v>9</v>
      </c>
      <c r="I14" s="57">
        <f>COUNTIF(F$24:F$76,"Northern 2")</f>
        <v>4</v>
      </c>
      <c r="J14" s="57">
        <f>COUNTIF(F$77:F$130,"Northern 2")</f>
        <v>5</v>
      </c>
      <c r="K14" s="57">
        <f>COUNTIF(H$24:H$76,"Northern 2")</f>
        <v>5</v>
      </c>
      <c r="L14" s="57">
        <f>COUNTIF(H$77:H$130,"Northern 2")</f>
        <v>4</v>
      </c>
    </row>
    <row r="15" spans="1:12" x14ac:dyDescent="0.3">
      <c r="A15" s="47">
        <f>COUNTIF(F$24:H$130,"Sandbach 2")</f>
        <v>18</v>
      </c>
      <c r="B15" s="3" t="s">
        <v>468</v>
      </c>
      <c r="C15" s="53">
        <v>3349902</v>
      </c>
      <c r="D15" s="57">
        <f>COUNTIF(F$24:I$130,"3349902")</f>
        <v>18</v>
      </c>
      <c r="E15" s="47"/>
      <c r="F15" s="57">
        <f>COUNTIF(F$24:F$130,"Sandbach 2")</f>
        <v>9</v>
      </c>
      <c r="G15" s="47"/>
      <c r="H15" s="57">
        <f>COUNTIF(H$24:H$130,"Sandbach 2")</f>
        <v>9</v>
      </c>
      <c r="I15" s="57">
        <f>COUNTIF(F$24:F$76,"Sandbach 2")</f>
        <v>4</v>
      </c>
      <c r="J15" s="57">
        <f>COUNTIF(F$77:F$130,"Sandbach 2")</f>
        <v>5</v>
      </c>
      <c r="K15" s="57">
        <f>COUNTIF(H$24:H$76,"Sandbach 2")</f>
        <v>5</v>
      </c>
      <c r="L15" s="57">
        <f>COUNTIF(H$77:H$130,"Sandbach 2")</f>
        <v>4</v>
      </c>
    </row>
    <row r="16" spans="1:12" x14ac:dyDescent="0.3">
      <c r="A16" s="47">
        <f>COUNTIF(F$24:H$130,"Triton 3")</f>
        <v>18</v>
      </c>
      <c r="B16" s="3" t="s">
        <v>223</v>
      </c>
      <c r="C16" s="53">
        <v>3348007</v>
      </c>
      <c r="D16" s="57">
        <f>COUNTIF(F$24:I$130,"3348007")</f>
        <v>18</v>
      </c>
      <c r="E16" s="47"/>
      <c r="F16" s="57">
        <f>COUNTIF(F$24:F$130,"Triton 3")</f>
        <v>9</v>
      </c>
      <c r="G16" s="47"/>
      <c r="H16" s="57">
        <f>COUNTIF(H$24:H$130,"Triton 3")</f>
        <v>9</v>
      </c>
      <c r="I16" s="57">
        <f>COUNTIF(F$24:F$76,"Triton 3")</f>
        <v>4</v>
      </c>
      <c r="J16" s="57">
        <f>COUNTIF(F$77:F$130,"Triton 3")</f>
        <v>5</v>
      </c>
      <c r="K16" s="57">
        <f>COUNTIF(H$24:H$76,"Triton 3")</f>
        <v>5</v>
      </c>
      <c r="L16" s="57">
        <f>COUNTIF(H$77:H$130,"Triton 3")</f>
        <v>4</v>
      </c>
    </row>
    <row r="17" spans="1:12" x14ac:dyDescent="0.3">
      <c r="A17" s="47">
        <f>COUNTIF(F$24:H$130,"Whitchurch (Shropshire) 2")</f>
        <v>18</v>
      </c>
      <c r="B17" s="3" t="s">
        <v>429</v>
      </c>
      <c r="C17" s="53">
        <v>3346905</v>
      </c>
      <c r="D17" s="57">
        <f>COUNTIF(F$24:I$130,"3346905")</f>
        <v>18</v>
      </c>
      <c r="E17" s="47"/>
      <c r="F17" s="57">
        <f>COUNTIF(F$24:F$130,"Whitchurch (Shropshire) 2")</f>
        <v>9</v>
      </c>
      <c r="G17" s="47"/>
      <c r="H17" s="57">
        <f>COUNTIF(H$24:H$130,"Whitchurch (Shropshire) 2")</f>
        <v>9</v>
      </c>
      <c r="I17" s="57">
        <f>COUNTIF(F$24:F$76,"Whitchurch (Shropshire) 2")</f>
        <v>5</v>
      </c>
      <c r="J17" s="57">
        <f>COUNTIF(F$77:F$130,"Whitchurch (Shropshire) 2")</f>
        <v>4</v>
      </c>
      <c r="K17" s="57">
        <f>COUNTIF(H$24:H$76,"Whitchurch (Shropshire) 2")</f>
        <v>4</v>
      </c>
      <c r="L17" s="57">
        <f>COUNTIF(H$77:H$130,"Whitchurch (Shropshire) 2")</f>
        <v>5</v>
      </c>
    </row>
    <row r="18" spans="1:12" x14ac:dyDescent="0.3">
      <c r="A18" s="47">
        <f>COUNTIF(F$24:H$130,"Wilmslow 2")</f>
        <v>18</v>
      </c>
      <c r="B18" s="3" t="s">
        <v>146</v>
      </c>
      <c r="C18" s="53">
        <v>3346405</v>
      </c>
      <c r="D18" s="57">
        <f>COUNTIF(F$24:I$130,"3346405")</f>
        <v>18</v>
      </c>
      <c r="E18" s="47"/>
      <c r="F18" s="57">
        <f>COUNTIF(F$24:F$130,"Wilmslow 2")</f>
        <v>9</v>
      </c>
      <c r="G18" s="47"/>
      <c r="H18" s="57">
        <f>COUNTIF(H$24:H$130,"Wilmslow 2")</f>
        <v>9</v>
      </c>
      <c r="I18" s="57">
        <f>COUNTIF(F$24:F$76,"Wilmslow 2")</f>
        <v>5</v>
      </c>
      <c r="J18" s="57">
        <f>COUNTIF(F$77:F$130,"Wilmslow 2")</f>
        <v>4</v>
      </c>
      <c r="K18" s="57">
        <f>COUNTIF(H$24:H$76,"Wilmslow 2")</f>
        <v>4</v>
      </c>
      <c r="L18" s="57">
        <f>COUNTIF(H$77:H$130,"Wilmslow 2")</f>
        <v>5</v>
      </c>
    </row>
    <row r="19" spans="1:12" x14ac:dyDescent="0.3">
      <c r="A19" s="47">
        <f>COUNTIF(F$24:H$130,"Winnington Park 3")</f>
        <v>18</v>
      </c>
      <c r="B19" s="3" t="s">
        <v>225</v>
      </c>
      <c r="C19" s="53">
        <v>3345802</v>
      </c>
      <c r="D19" s="57">
        <f>COUNTIF(F$24:I$130,"3345802")</f>
        <v>18</v>
      </c>
      <c r="E19" s="47"/>
      <c r="F19" s="57">
        <f>COUNTIF(F$24:F$130,"Winnington Park 3")</f>
        <v>9</v>
      </c>
      <c r="G19" s="47"/>
      <c r="H19" s="57">
        <f>COUNTIF(H$24:H$130,"Winnington Park 3")</f>
        <v>9</v>
      </c>
      <c r="I19" s="57">
        <f>COUNTIF(F$24:F$76,"Winnington Park 3")</f>
        <v>4</v>
      </c>
      <c r="J19" s="57">
        <f>COUNTIF(F$77:F$130,"Winnington Park 3")</f>
        <v>5</v>
      </c>
      <c r="K19" s="57">
        <f>COUNTIF(H$24:H$76,"Winnington Park 3")</f>
        <v>5</v>
      </c>
      <c r="L19" s="57">
        <f>COUNTIF(H$77:H$130,"Winnington Park 3")</f>
        <v>4</v>
      </c>
    </row>
    <row r="20" spans="1:12" x14ac:dyDescent="0.3">
      <c r="D20" s="47"/>
      <c r="E20" s="47"/>
      <c r="F20" s="47"/>
      <c r="G20" s="47"/>
      <c r="H20" s="47"/>
      <c r="I20" s="47"/>
    </row>
    <row r="21" spans="1:12" ht="21" x14ac:dyDescent="0.4">
      <c r="B21" s="22" t="s">
        <v>93</v>
      </c>
    </row>
    <row r="22" spans="1:12" s="3" customFormat="1" x14ac:dyDescent="0.3">
      <c r="A22" s="47"/>
      <c r="B22" s="40" t="s">
        <v>408</v>
      </c>
      <c r="C22" s="14" t="s">
        <v>409</v>
      </c>
      <c r="D22" s="14" t="s">
        <v>410</v>
      </c>
      <c r="E22" s="14" t="s">
        <v>411</v>
      </c>
      <c r="F22" s="14" t="s">
        <v>412</v>
      </c>
      <c r="G22" s="14" t="s">
        <v>413</v>
      </c>
      <c r="H22" s="14" t="s">
        <v>414</v>
      </c>
      <c r="I22" s="14" t="s">
        <v>415</v>
      </c>
      <c r="K22" s="57"/>
    </row>
    <row r="24" spans="1:12" x14ac:dyDescent="0.3">
      <c r="B24" s="44">
        <v>45920</v>
      </c>
      <c r="C24" s="3" t="s">
        <v>416</v>
      </c>
      <c r="D24" s="3" t="s">
        <v>498</v>
      </c>
      <c r="E24" s="101"/>
      <c r="F24" s="3" t="s">
        <v>219</v>
      </c>
      <c r="G24" s="4">
        <v>3357608</v>
      </c>
      <c r="H24" s="3" t="s">
        <v>223</v>
      </c>
      <c r="I24" s="4">
        <v>3348007</v>
      </c>
    </row>
    <row r="25" spans="1:12" x14ac:dyDescent="0.3">
      <c r="B25" s="44">
        <v>45920</v>
      </c>
      <c r="C25" s="3" t="s">
        <v>416</v>
      </c>
      <c r="D25" s="3" t="s">
        <v>498</v>
      </c>
      <c r="E25" s="101"/>
      <c r="F25" s="3" t="s">
        <v>245</v>
      </c>
      <c r="G25" s="4">
        <v>3352905</v>
      </c>
      <c r="H25" s="3" t="s">
        <v>244</v>
      </c>
      <c r="I25" s="4">
        <v>3357504</v>
      </c>
    </row>
    <row r="26" spans="1:12" x14ac:dyDescent="0.3">
      <c r="B26" s="44">
        <v>45920</v>
      </c>
      <c r="C26" s="3" t="s">
        <v>416</v>
      </c>
      <c r="D26" s="3" t="s">
        <v>498</v>
      </c>
      <c r="E26" s="101"/>
      <c r="F26" s="3" t="s">
        <v>184</v>
      </c>
      <c r="G26" s="74">
        <v>3363004</v>
      </c>
      <c r="H26" s="3" t="s">
        <v>225</v>
      </c>
      <c r="I26" s="4">
        <v>3345802</v>
      </c>
    </row>
    <row r="27" spans="1:12" x14ac:dyDescent="0.3">
      <c r="B27" s="44">
        <v>45920</v>
      </c>
      <c r="C27" s="3" t="s">
        <v>416</v>
      </c>
      <c r="D27" s="3" t="s">
        <v>498</v>
      </c>
      <c r="E27" s="101"/>
      <c r="F27" s="3" t="s">
        <v>146</v>
      </c>
      <c r="G27" s="74">
        <v>3346405</v>
      </c>
      <c r="H27" s="3" t="s">
        <v>222</v>
      </c>
      <c r="I27" s="4">
        <v>3348507</v>
      </c>
    </row>
    <row r="28" spans="1:12" x14ac:dyDescent="0.3">
      <c r="B28" s="44">
        <v>45920</v>
      </c>
      <c r="C28" s="3" t="s">
        <v>416</v>
      </c>
      <c r="D28" s="3" t="s">
        <v>498</v>
      </c>
      <c r="E28" s="101"/>
      <c r="F28" s="3" t="s">
        <v>429</v>
      </c>
      <c r="G28" s="4">
        <v>3346905</v>
      </c>
      <c r="H28" s="3" t="s">
        <v>468</v>
      </c>
      <c r="I28" s="4">
        <v>3349902</v>
      </c>
    </row>
    <row r="29" spans="1:12" x14ac:dyDescent="0.3">
      <c r="B29" s="44"/>
      <c r="E29" s="101"/>
      <c r="F29" s="3" t="s">
        <v>418</v>
      </c>
      <c r="G29" s="4" t="s">
        <v>418</v>
      </c>
      <c r="H29" s="3" t="s">
        <v>418</v>
      </c>
      <c r="I29" s="4" t="s">
        <v>418</v>
      </c>
    </row>
    <row r="30" spans="1:12" x14ac:dyDescent="0.3">
      <c r="B30" s="44">
        <v>45927</v>
      </c>
      <c r="C30" s="3" t="s">
        <v>416</v>
      </c>
      <c r="D30" s="3" t="s">
        <v>498</v>
      </c>
      <c r="E30" s="101"/>
      <c r="F30" s="3" t="s">
        <v>244</v>
      </c>
      <c r="G30" s="4">
        <v>3357504</v>
      </c>
      <c r="H30" s="3" t="s">
        <v>184</v>
      </c>
      <c r="I30" s="53">
        <v>3363004</v>
      </c>
    </row>
    <row r="31" spans="1:12" x14ac:dyDescent="0.3">
      <c r="B31" s="44">
        <v>45927</v>
      </c>
      <c r="C31" s="3" t="s">
        <v>416</v>
      </c>
      <c r="D31" s="3" t="s">
        <v>498</v>
      </c>
      <c r="E31" s="101"/>
      <c r="F31" s="3" t="s">
        <v>223</v>
      </c>
      <c r="G31" s="4">
        <v>3348007</v>
      </c>
      <c r="H31" s="3" t="s">
        <v>468</v>
      </c>
      <c r="I31" s="4">
        <v>3349902</v>
      </c>
    </row>
    <row r="32" spans="1:12" x14ac:dyDescent="0.3">
      <c r="B32" s="44">
        <v>45927</v>
      </c>
      <c r="C32" s="3" t="s">
        <v>416</v>
      </c>
      <c r="D32" s="3" t="s">
        <v>498</v>
      </c>
      <c r="E32" s="101"/>
      <c r="F32" s="3" t="s">
        <v>222</v>
      </c>
      <c r="G32" s="4">
        <v>3348507</v>
      </c>
      <c r="H32" s="3" t="s">
        <v>219</v>
      </c>
      <c r="I32" s="4">
        <v>3357608</v>
      </c>
    </row>
    <row r="33" spans="2:9" x14ac:dyDescent="0.3">
      <c r="B33" s="44">
        <v>45927</v>
      </c>
      <c r="C33" s="3" t="s">
        <v>416</v>
      </c>
      <c r="D33" s="3" t="s">
        <v>498</v>
      </c>
      <c r="E33" s="101"/>
      <c r="F33" s="3" t="s">
        <v>429</v>
      </c>
      <c r="G33" s="4">
        <v>3346905</v>
      </c>
      <c r="H33" s="3" t="s">
        <v>245</v>
      </c>
      <c r="I33" s="4">
        <v>3352905</v>
      </c>
    </row>
    <row r="34" spans="2:9" x14ac:dyDescent="0.3">
      <c r="B34" s="44">
        <v>45927</v>
      </c>
      <c r="C34" s="3" t="s">
        <v>416</v>
      </c>
      <c r="D34" s="3" t="s">
        <v>498</v>
      </c>
      <c r="E34" s="101"/>
      <c r="F34" s="3" t="s">
        <v>225</v>
      </c>
      <c r="G34" s="4">
        <v>3345802</v>
      </c>
      <c r="H34" s="3" t="s">
        <v>146</v>
      </c>
      <c r="I34" s="53">
        <v>3346405</v>
      </c>
    </row>
    <row r="35" spans="2:9" x14ac:dyDescent="0.3">
      <c r="B35" s="44"/>
      <c r="E35" s="101"/>
      <c r="F35" s="3" t="s">
        <v>418</v>
      </c>
      <c r="G35" s="4" t="s">
        <v>418</v>
      </c>
      <c r="H35" s="3" t="s">
        <v>418</v>
      </c>
      <c r="I35" s="4" t="s">
        <v>418</v>
      </c>
    </row>
    <row r="36" spans="2:9" x14ac:dyDescent="0.3">
      <c r="B36" s="44">
        <v>45934</v>
      </c>
      <c r="C36" s="3" t="s">
        <v>416</v>
      </c>
      <c r="D36" s="3" t="s">
        <v>498</v>
      </c>
      <c r="E36" s="101"/>
      <c r="F36" s="3" t="s">
        <v>244</v>
      </c>
      <c r="G36" s="4">
        <v>3357504</v>
      </c>
      <c r="H36" s="3" t="s">
        <v>429</v>
      </c>
      <c r="I36" s="4">
        <v>3346905</v>
      </c>
    </row>
    <row r="37" spans="2:9" x14ac:dyDescent="0.3">
      <c r="B37" s="44">
        <v>45934</v>
      </c>
      <c r="C37" s="3" t="s">
        <v>416</v>
      </c>
      <c r="D37" s="3" t="s">
        <v>498</v>
      </c>
      <c r="E37" s="101"/>
      <c r="F37" s="3" t="s">
        <v>219</v>
      </c>
      <c r="G37" s="4">
        <v>3357608</v>
      </c>
      <c r="H37" s="3" t="s">
        <v>225</v>
      </c>
      <c r="I37" s="4">
        <v>3345802</v>
      </c>
    </row>
    <row r="38" spans="2:9" x14ac:dyDescent="0.3">
      <c r="B38" s="44">
        <v>45934</v>
      </c>
      <c r="C38" s="3" t="s">
        <v>416</v>
      </c>
      <c r="D38" s="3" t="s">
        <v>498</v>
      </c>
      <c r="E38" s="101"/>
      <c r="F38" s="3" t="s">
        <v>245</v>
      </c>
      <c r="G38" s="4">
        <v>3352905</v>
      </c>
      <c r="H38" s="3" t="s">
        <v>223</v>
      </c>
      <c r="I38" s="4">
        <v>3348007</v>
      </c>
    </row>
    <row r="39" spans="2:9" x14ac:dyDescent="0.3">
      <c r="B39" s="44">
        <v>45934</v>
      </c>
      <c r="C39" s="3" t="s">
        <v>416</v>
      </c>
      <c r="D39" s="3" t="s">
        <v>498</v>
      </c>
      <c r="E39" s="101"/>
      <c r="F39" s="3" t="s">
        <v>146</v>
      </c>
      <c r="G39" s="53">
        <v>3346405</v>
      </c>
      <c r="H39" s="3" t="s">
        <v>184</v>
      </c>
      <c r="I39" s="53">
        <v>3363004</v>
      </c>
    </row>
    <row r="40" spans="2:9" x14ac:dyDescent="0.3">
      <c r="B40" s="44">
        <v>45934</v>
      </c>
      <c r="C40" s="3" t="s">
        <v>416</v>
      </c>
      <c r="D40" s="3" t="s">
        <v>498</v>
      </c>
      <c r="E40" s="101"/>
      <c r="F40" s="3" t="s">
        <v>468</v>
      </c>
      <c r="G40" s="4">
        <v>3349902</v>
      </c>
      <c r="H40" s="3" t="s">
        <v>222</v>
      </c>
      <c r="I40" s="4">
        <v>3348507</v>
      </c>
    </row>
    <row r="41" spans="2:9" x14ac:dyDescent="0.3">
      <c r="B41" s="44"/>
      <c r="E41" s="101"/>
      <c r="F41" s="3" t="s">
        <v>418</v>
      </c>
      <c r="G41" s="4" t="s">
        <v>418</v>
      </c>
      <c r="H41" s="3" t="s">
        <v>418</v>
      </c>
      <c r="I41" s="4" t="s">
        <v>418</v>
      </c>
    </row>
    <row r="42" spans="2:9" x14ac:dyDescent="0.3">
      <c r="B42" s="44">
        <v>45941</v>
      </c>
      <c r="C42" s="3" t="s">
        <v>416</v>
      </c>
      <c r="D42" s="3" t="s">
        <v>498</v>
      </c>
      <c r="E42" s="101"/>
      <c r="F42" s="3" t="s">
        <v>223</v>
      </c>
      <c r="G42" s="4">
        <v>3348007</v>
      </c>
      <c r="H42" s="3" t="s">
        <v>429</v>
      </c>
      <c r="I42" s="4">
        <v>3346905</v>
      </c>
    </row>
    <row r="43" spans="2:9" x14ac:dyDescent="0.3">
      <c r="B43" s="44">
        <v>45941</v>
      </c>
      <c r="C43" s="3" t="s">
        <v>416</v>
      </c>
      <c r="D43" s="3" t="s">
        <v>498</v>
      </c>
      <c r="E43" s="101"/>
      <c r="F43" s="3" t="s">
        <v>222</v>
      </c>
      <c r="G43" s="4">
        <v>3348507</v>
      </c>
      <c r="H43" s="3" t="s">
        <v>245</v>
      </c>
      <c r="I43" s="4">
        <v>3352905</v>
      </c>
    </row>
    <row r="44" spans="2:9" x14ac:dyDescent="0.3">
      <c r="B44" s="44">
        <v>45941</v>
      </c>
      <c r="C44" s="3" t="s">
        <v>416</v>
      </c>
      <c r="D44" s="3" t="s">
        <v>498</v>
      </c>
      <c r="E44" s="101"/>
      <c r="F44" s="3" t="s">
        <v>184</v>
      </c>
      <c r="G44" s="53">
        <v>3363004</v>
      </c>
      <c r="H44" s="3" t="s">
        <v>219</v>
      </c>
      <c r="I44" s="4">
        <v>3357608</v>
      </c>
    </row>
    <row r="45" spans="2:9" x14ac:dyDescent="0.3">
      <c r="B45" s="44">
        <v>45941</v>
      </c>
      <c r="C45" s="3" t="s">
        <v>416</v>
      </c>
      <c r="D45" s="3" t="s">
        <v>498</v>
      </c>
      <c r="E45" s="101"/>
      <c r="F45" s="3" t="s">
        <v>146</v>
      </c>
      <c r="G45" s="53">
        <v>3346405</v>
      </c>
      <c r="H45" s="3" t="s">
        <v>244</v>
      </c>
      <c r="I45" s="4">
        <v>3357504</v>
      </c>
    </row>
    <row r="46" spans="2:9" x14ac:dyDescent="0.3">
      <c r="B46" s="44">
        <v>45941</v>
      </c>
      <c r="C46" s="3" t="s">
        <v>416</v>
      </c>
      <c r="D46" s="3" t="s">
        <v>498</v>
      </c>
      <c r="E46" s="101"/>
      <c r="F46" s="3" t="s">
        <v>225</v>
      </c>
      <c r="G46" s="4">
        <v>3345802</v>
      </c>
      <c r="H46" s="3" t="s">
        <v>468</v>
      </c>
      <c r="I46" s="4">
        <v>3349902</v>
      </c>
    </row>
    <row r="47" spans="2:9" x14ac:dyDescent="0.3">
      <c r="B47" s="44"/>
      <c r="E47" s="101"/>
      <c r="F47" s="3" t="s">
        <v>418</v>
      </c>
      <c r="G47" s="4" t="s">
        <v>418</v>
      </c>
      <c r="H47" s="3" t="s">
        <v>418</v>
      </c>
      <c r="I47" s="4" t="s">
        <v>418</v>
      </c>
    </row>
    <row r="48" spans="2:9" x14ac:dyDescent="0.3">
      <c r="B48" s="44">
        <v>45962</v>
      </c>
      <c r="C48" s="3" t="s">
        <v>416</v>
      </c>
      <c r="D48" s="3" t="s">
        <v>498</v>
      </c>
      <c r="E48" s="101"/>
      <c r="F48" s="3" t="s">
        <v>244</v>
      </c>
      <c r="G48" s="4">
        <v>3357504</v>
      </c>
      <c r="H48" s="3" t="s">
        <v>223</v>
      </c>
      <c r="I48" s="4">
        <v>3348007</v>
      </c>
    </row>
    <row r="49" spans="2:9" x14ac:dyDescent="0.3">
      <c r="B49" s="44">
        <v>45962</v>
      </c>
      <c r="C49" s="3" t="s">
        <v>416</v>
      </c>
      <c r="D49" s="3" t="s">
        <v>498</v>
      </c>
      <c r="E49" s="101"/>
      <c r="F49" s="3" t="s">
        <v>219</v>
      </c>
      <c r="G49" s="4">
        <v>3357608</v>
      </c>
      <c r="H49" s="3" t="s">
        <v>146</v>
      </c>
      <c r="I49" s="53">
        <v>3346405</v>
      </c>
    </row>
    <row r="50" spans="2:9" x14ac:dyDescent="0.3">
      <c r="B50" s="44">
        <v>45962</v>
      </c>
      <c r="C50" s="3" t="s">
        <v>416</v>
      </c>
      <c r="D50" s="3" t="s">
        <v>498</v>
      </c>
      <c r="E50" s="101"/>
      <c r="F50" s="3" t="s">
        <v>245</v>
      </c>
      <c r="G50" s="4">
        <v>3352905</v>
      </c>
      <c r="H50" s="3" t="s">
        <v>225</v>
      </c>
      <c r="I50" s="4">
        <v>3345802</v>
      </c>
    </row>
    <row r="51" spans="2:9" x14ac:dyDescent="0.3">
      <c r="B51" s="44">
        <v>45962</v>
      </c>
      <c r="C51" s="3" t="s">
        <v>416</v>
      </c>
      <c r="D51" s="3" t="s">
        <v>498</v>
      </c>
      <c r="E51" s="101"/>
      <c r="F51" s="3" t="s">
        <v>429</v>
      </c>
      <c r="G51" s="4">
        <v>3346905</v>
      </c>
      <c r="H51" s="3" t="s">
        <v>222</v>
      </c>
      <c r="I51" s="4">
        <v>3348507</v>
      </c>
    </row>
    <row r="52" spans="2:9" x14ac:dyDescent="0.3">
      <c r="B52" s="44">
        <v>45962</v>
      </c>
      <c r="C52" s="3" t="s">
        <v>416</v>
      </c>
      <c r="D52" s="3" t="s">
        <v>498</v>
      </c>
      <c r="E52" s="101"/>
      <c r="F52" s="3" t="s">
        <v>468</v>
      </c>
      <c r="G52" s="4">
        <v>3349902</v>
      </c>
      <c r="H52" s="3" t="s">
        <v>184</v>
      </c>
      <c r="I52" s="53">
        <v>3363004</v>
      </c>
    </row>
    <row r="53" spans="2:9" x14ac:dyDescent="0.3">
      <c r="B53" s="44"/>
      <c r="E53" s="101"/>
      <c r="F53" s="3" t="s">
        <v>418</v>
      </c>
      <c r="G53" s="4" t="s">
        <v>418</v>
      </c>
      <c r="H53" s="3" t="s">
        <v>418</v>
      </c>
      <c r="I53" s="4" t="s">
        <v>418</v>
      </c>
    </row>
    <row r="54" spans="2:9" x14ac:dyDescent="0.3">
      <c r="B54" s="44">
        <v>45969</v>
      </c>
      <c r="C54" s="3" t="s">
        <v>416</v>
      </c>
      <c r="D54" s="3" t="s">
        <v>498</v>
      </c>
      <c r="E54" s="101"/>
      <c r="F54" s="3" t="s">
        <v>219</v>
      </c>
      <c r="G54" s="4">
        <v>3357608</v>
      </c>
      <c r="H54" s="3" t="s">
        <v>244</v>
      </c>
      <c r="I54" s="4">
        <v>3357504</v>
      </c>
    </row>
    <row r="55" spans="2:9" x14ac:dyDescent="0.3">
      <c r="B55" s="44">
        <v>45969</v>
      </c>
      <c r="C55" s="3" t="s">
        <v>416</v>
      </c>
      <c r="D55" s="3" t="s">
        <v>498</v>
      </c>
      <c r="E55" s="101"/>
      <c r="F55" s="3" t="s">
        <v>222</v>
      </c>
      <c r="G55" s="4">
        <v>3348507</v>
      </c>
      <c r="H55" s="3" t="s">
        <v>223</v>
      </c>
      <c r="I55" s="4">
        <v>3348007</v>
      </c>
    </row>
    <row r="56" spans="2:9" x14ac:dyDescent="0.3">
      <c r="B56" s="44">
        <v>45969</v>
      </c>
      <c r="C56" s="3" t="s">
        <v>416</v>
      </c>
      <c r="D56" s="3" t="s">
        <v>498</v>
      </c>
      <c r="E56" s="101"/>
      <c r="F56" s="3" t="s">
        <v>184</v>
      </c>
      <c r="G56" s="53">
        <v>3363004</v>
      </c>
      <c r="H56" s="3" t="s">
        <v>245</v>
      </c>
      <c r="I56" s="4">
        <v>3352905</v>
      </c>
    </row>
    <row r="57" spans="2:9" x14ac:dyDescent="0.3">
      <c r="B57" s="44">
        <v>45969</v>
      </c>
      <c r="C57" s="3" t="s">
        <v>416</v>
      </c>
      <c r="D57" s="3" t="s">
        <v>498</v>
      </c>
      <c r="E57" s="101"/>
      <c r="F57" s="3" t="s">
        <v>146</v>
      </c>
      <c r="G57" s="53">
        <v>3346405</v>
      </c>
      <c r="H57" s="3" t="s">
        <v>468</v>
      </c>
      <c r="I57" s="4">
        <v>3349902</v>
      </c>
    </row>
    <row r="58" spans="2:9" x14ac:dyDescent="0.3">
      <c r="B58" s="44">
        <v>45969</v>
      </c>
      <c r="C58" s="3" t="s">
        <v>416</v>
      </c>
      <c r="D58" s="3" t="s">
        <v>498</v>
      </c>
      <c r="E58" s="101"/>
      <c r="F58" s="3" t="s">
        <v>225</v>
      </c>
      <c r="G58" s="4">
        <v>3345802</v>
      </c>
      <c r="H58" s="3" t="s">
        <v>429</v>
      </c>
      <c r="I58" s="4">
        <v>3346905</v>
      </c>
    </row>
    <row r="59" spans="2:9" x14ac:dyDescent="0.3">
      <c r="B59" s="4"/>
      <c r="E59" s="101"/>
      <c r="F59" s="3" t="s">
        <v>418</v>
      </c>
      <c r="G59" s="4" t="s">
        <v>418</v>
      </c>
      <c r="H59" s="3" t="s">
        <v>418</v>
      </c>
      <c r="I59" s="4" t="s">
        <v>418</v>
      </c>
    </row>
    <row r="60" spans="2:9" x14ac:dyDescent="0.3">
      <c r="B60" s="44">
        <v>45976</v>
      </c>
      <c r="C60" s="3" t="s">
        <v>416</v>
      </c>
      <c r="D60" s="3" t="s">
        <v>498</v>
      </c>
      <c r="E60" s="101"/>
      <c r="F60" s="3" t="s">
        <v>244</v>
      </c>
      <c r="G60" s="4">
        <v>3357504</v>
      </c>
      <c r="H60" s="3" t="s">
        <v>222</v>
      </c>
      <c r="I60" s="4">
        <v>3348507</v>
      </c>
    </row>
    <row r="61" spans="2:9" x14ac:dyDescent="0.3">
      <c r="B61" s="44">
        <v>45976</v>
      </c>
      <c r="C61" s="3" t="s">
        <v>416</v>
      </c>
      <c r="D61" s="3" t="s">
        <v>498</v>
      </c>
      <c r="E61" s="101"/>
      <c r="F61" s="3" t="s">
        <v>245</v>
      </c>
      <c r="G61" s="4">
        <v>3352905</v>
      </c>
      <c r="H61" s="3" t="s">
        <v>146</v>
      </c>
      <c r="I61" s="53">
        <v>3346405</v>
      </c>
    </row>
    <row r="62" spans="2:9" x14ac:dyDescent="0.3">
      <c r="B62" s="44">
        <v>45976</v>
      </c>
      <c r="C62" s="3" t="s">
        <v>416</v>
      </c>
      <c r="D62" s="3" t="s">
        <v>498</v>
      </c>
      <c r="E62" s="101"/>
      <c r="F62" s="3" t="s">
        <v>223</v>
      </c>
      <c r="G62" s="4">
        <v>3348007</v>
      </c>
      <c r="H62" s="3" t="s">
        <v>225</v>
      </c>
      <c r="I62" s="4">
        <v>3345802</v>
      </c>
    </row>
    <row r="63" spans="2:9" x14ac:dyDescent="0.3">
      <c r="B63" s="44">
        <v>45976</v>
      </c>
      <c r="C63" s="3" t="s">
        <v>416</v>
      </c>
      <c r="D63" s="3" t="s">
        <v>498</v>
      </c>
      <c r="E63" s="101"/>
      <c r="F63" s="3" t="s">
        <v>184</v>
      </c>
      <c r="G63" s="53">
        <v>3363004</v>
      </c>
      <c r="H63" s="3" t="s">
        <v>429</v>
      </c>
      <c r="I63" s="4">
        <v>3346905</v>
      </c>
    </row>
    <row r="64" spans="2:9" x14ac:dyDescent="0.3">
      <c r="B64" s="44">
        <v>45976</v>
      </c>
      <c r="C64" s="3" t="s">
        <v>416</v>
      </c>
      <c r="D64" s="3" t="s">
        <v>498</v>
      </c>
      <c r="E64" s="101"/>
      <c r="F64" s="3" t="s">
        <v>468</v>
      </c>
      <c r="G64" s="4">
        <v>3349902</v>
      </c>
      <c r="H64" s="3" t="s">
        <v>219</v>
      </c>
      <c r="I64" s="4">
        <v>3357608</v>
      </c>
    </row>
    <row r="65" spans="2:9" x14ac:dyDescent="0.3">
      <c r="B65" s="4"/>
      <c r="E65" s="101"/>
      <c r="F65" s="3" t="s">
        <v>418</v>
      </c>
      <c r="G65" s="4" t="s">
        <v>418</v>
      </c>
      <c r="H65" s="3" t="s">
        <v>418</v>
      </c>
      <c r="I65" s="4" t="s">
        <v>418</v>
      </c>
    </row>
    <row r="66" spans="2:9" x14ac:dyDescent="0.3">
      <c r="B66" s="44">
        <v>45983</v>
      </c>
      <c r="C66" s="3" t="s">
        <v>416</v>
      </c>
      <c r="D66" s="3" t="s">
        <v>498</v>
      </c>
      <c r="E66" s="101"/>
      <c r="F66" s="3" t="s">
        <v>219</v>
      </c>
      <c r="G66" s="4">
        <v>3357608</v>
      </c>
      <c r="H66" s="3" t="s">
        <v>245</v>
      </c>
      <c r="I66" s="4">
        <v>3352905</v>
      </c>
    </row>
    <row r="67" spans="2:9" x14ac:dyDescent="0.3">
      <c r="B67" s="44">
        <v>45983</v>
      </c>
      <c r="C67" s="3" t="s">
        <v>416</v>
      </c>
      <c r="D67" s="3" t="s">
        <v>498</v>
      </c>
      <c r="E67" s="101"/>
      <c r="F67" s="3" t="s">
        <v>223</v>
      </c>
      <c r="G67" s="4">
        <v>3348007</v>
      </c>
      <c r="H67" s="3" t="s">
        <v>184</v>
      </c>
      <c r="I67" s="53">
        <v>3363004</v>
      </c>
    </row>
    <row r="68" spans="2:9" x14ac:dyDescent="0.3">
      <c r="B68" s="44">
        <v>45983</v>
      </c>
      <c r="C68" s="3" t="s">
        <v>416</v>
      </c>
      <c r="D68" s="3" t="s">
        <v>498</v>
      </c>
      <c r="E68" s="101"/>
      <c r="F68" s="3" t="s">
        <v>429</v>
      </c>
      <c r="G68" s="4">
        <v>3346905</v>
      </c>
      <c r="H68" s="3" t="s">
        <v>146</v>
      </c>
      <c r="I68" s="53">
        <v>3346405</v>
      </c>
    </row>
    <row r="69" spans="2:9" x14ac:dyDescent="0.3">
      <c r="B69" s="44">
        <v>45983</v>
      </c>
      <c r="C69" s="3" t="s">
        <v>416</v>
      </c>
      <c r="D69" s="3" t="s">
        <v>498</v>
      </c>
      <c r="E69" s="101"/>
      <c r="F69" s="3" t="s">
        <v>222</v>
      </c>
      <c r="G69" s="4">
        <v>3348507</v>
      </c>
      <c r="H69" s="3" t="s">
        <v>225</v>
      </c>
      <c r="I69" s="4">
        <v>3345802</v>
      </c>
    </row>
    <row r="70" spans="2:9" x14ac:dyDescent="0.3">
      <c r="B70" s="44">
        <v>45983</v>
      </c>
      <c r="C70" s="3" t="s">
        <v>416</v>
      </c>
      <c r="D70" s="3" t="s">
        <v>498</v>
      </c>
      <c r="E70" s="101"/>
      <c r="F70" s="3" t="s">
        <v>468</v>
      </c>
      <c r="G70" s="4">
        <v>3349902</v>
      </c>
      <c r="H70" s="3" t="s">
        <v>244</v>
      </c>
      <c r="I70" s="4">
        <v>3357504</v>
      </c>
    </row>
    <row r="71" spans="2:9" x14ac:dyDescent="0.3">
      <c r="B71" s="4"/>
      <c r="E71" s="101"/>
      <c r="F71" s="3" t="s">
        <v>418</v>
      </c>
      <c r="G71" s="4" t="s">
        <v>418</v>
      </c>
      <c r="H71" s="3" t="s">
        <v>418</v>
      </c>
      <c r="I71" s="4" t="s">
        <v>418</v>
      </c>
    </row>
    <row r="72" spans="2:9" x14ac:dyDescent="0.3">
      <c r="B72" s="44">
        <v>45990</v>
      </c>
      <c r="C72" s="3" t="s">
        <v>416</v>
      </c>
      <c r="D72" s="3" t="s">
        <v>498</v>
      </c>
      <c r="E72" s="101"/>
      <c r="F72" s="3" t="s">
        <v>225</v>
      </c>
      <c r="G72" s="4">
        <v>3345802</v>
      </c>
      <c r="H72" s="3" t="s">
        <v>244</v>
      </c>
      <c r="I72" s="4">
        <v>3357504</v>
      </c>
    </row>
    <row r="73" spans="2:9" x14ac:dyDescent="0.3">
      <c r="B73" s="44">
        <v>45990</v>
      </c>
      <c r="C73" s="3" t="s">
        <v>416</v>
      </c>
      <c r="D73" s="3" t="s">
        <v>498</v>
      </c>
      <c r="E73" s="101"/>
      <c r="F73" s="3" t="s">
        <v>245</v>
      </c>
      <c r="G73" s="4">
        <v>3352905</v>
      </c>
      <c r="H73" s="3" t="s">
        <v>468</v>
      </c>
      <c r="I73" s="4">
        <v>3349902</v>
      </c>
    </row>
    <row r="74" spans="2:9" x14ac:dyDescent="0.3">
      <c r="B74" s="44">
        <v>45990</v>
      </c>
      <c r="C74" s="3" t="s">
        <v>416</v>
      </c>
      <c r="D74" s="3" t="s">
        <v>498</v>
      </c>
      <c r="E74" s="101"/>
      <c r="F74" s="3" t="s">
        <v>146</v>
      </c>
      <c r="G74" s="53">
        <v>3346405</v>
      </c>
      <c r="H74" s="3" t="s">
        <v>223</v>
      </c>
      <c r="I74" s="4">
        <v>3348007</v>
      </c>
    </row>
    <row r="75" spans="2:9" x14ac:dyDescent="0.3">
      <c r="B75" s="44">
        <v>45990</v>
      </c>
      <c r="C75" s="3" t="s">
        <v>416</v>
      </c>
      <c r="D75" s="3" t="s">
        <v>498</v>
      </c>
      <c r="E75" s="101"/>
      <c r="F75" s="3" t="s">
        <v>184</v>
      </c>
      <c r="G75" s="53">
        <v>3363004</v>
      </c>
      <c r="H75" s="3" t="s">
        <v>222</v>
      </c>
      <c r="I75" s="4">
        <v>3348507</v>
      </c>
    </row>
    <row r="76" spans="2:9" x14ac:dyDescent="0.3">
      <c r="B76" s="44">
        <v>45990</v>
      </c>
      <c r="C76" s="3" t="s">
        <v>416</v>
      </c>
      <c r="D76" s="3" t="s">
        <v>498</v>
      </c>
      <c r="E76" s="101"/>
      <c r="F76" s="3" t="s">
        <v>429</v>
      </c>
      <c r="G76" s="4">
        <v>3346905</v>
      </c>
      <c r="H76" s="3" t="s">
        <v>219</v>
      </c>
      <c r="I76" s="4">
        <v>3357608</v>
      </c>
    </row>
    <row r="77" spans="2:9" x14ac:dyDescent="0.3">
      <c r="B77" s="44"/>
      <c r="E77" s="101"/>
      <c r="F77" s="3" t="s">
        <v>418</v>
      </c>
      <c r="G77" s="4" t="s">
        <v>418</v>
      </c>
      <c r="H77" s="3" t="s">
        <v>418</v>
      </c>
      <c r="I77" s="4" t="s">
        <v>418</v>
      </c>
    </row>
    <row r="78" spans="2:9" x14ac:dyDescent="0.3">
      <c r="B78" s="44">
        <v>46039</v>
      </c>
      <c r="C78" s="3" t="s">
        <v>416</v>
      </c>
      <c r="D78" s="3" t="s">
        <v>498</v>
      </c>
      <c r="E78" s="101"/>
      <c r="F78" s="3" t="s">
        <v>244</v>
      </c>
      <c r="G78" s="4">
        <v>3357504</v>
      </c>
      <c r="H78" s="3" t="s">
        <v>245</v>
      </c>
      <c r="I78" s="4">
        <v>3352905</v>
      </c>
    </row>
    <row r="79" spans="2:9" x14ac:dyDescent="0.3">
      <c r="B79" s="44">
        <v>46039</v>
      </c>
      <c r="C79" s="3" t="s">
        <v>416</v>
      </c>
      <c r="D79" s="3" t="s">
        <v>498</v>
      </c>
      <c r="E79" s="101"/>
      <c r="F79" s="3" t="s">
        <v>223</v>
      </c>
      <c r="G79" s="4">
        <v>3348007</v>
      </c>
      <c r="H79" s="3" t="s">
        <v>219</v>
      </c>
      <c r="I79" s="4">
        <v>3357608</v>
      </c>
    </row>
    <row r="80" spans="2:9" x14ac:dyDescent="0.3">
      <c r="B80" s="44">
        <v>46039</v>
      </c>
      <c r="C80" s="3" t="s">
        <v>416</v>
      </c>
      <c r="D80" s="3" t="s">
        <v>498</v>
      </c>
      <c r="E80" s="101"/>
      <c r="F80" s="3" t="s">
        <v>222</v>
      </c>
      <c r="G80" s="4">
        <v>3348507</v>
      </c>
      <c r="H80" s="3" t="s">
        <v>146</v>
      </c>
      <c r="I80" s="53">
        <v>3346405</v>
      </c>
    </row>
    <row r="81" spans="2:9" x14ac:dyDescent="0.3">
      <c r="B81" s="44">
        <v>46039</v>
      </c>
      <c r="C81" s="3" t="s">
        <v>416</v>
      </c>
      <c r="D81" s="3" t="s">
        <v>498</v>
      </c>
      <c r="E81" s="101"/>
      <c r="F81" s="3" t="s">
        <v>468</v>
      </c>
      <c r="G81" s="4">
        <v>3349902</v>
      </c>
      <c r="H81" s="3" t="s">
        <v>429</v>
      </c>
      <c r="I81" s="4">
        <v>3346905</v>
      </c>
    </row>
    <row r="82" spans="2:9" x14ac:dyDescent="0.3">
      <c r="B82" s="44">
        <v>46039</v>
      </c>
      <c r="C82" s="3" t="s">
        <v>416</v>
      </c>
      <c r="D82" s="3" t="s">
        <v>498</v>
      </c>
      <c r="E82" s="101"/>
      <c r="F82" s="3" t="s">
        <v>225</v>
      </c>
      <c r="G82" s="4">
        <v>3345802</v>
      </c>
      <c r="H82" s="3" t="s">
        <v>184</v>
      </c>
      <c r="I82" s="53">
        <v>3363004</v>
      </c>
    </row>
    <row r="83" spans="2:9" x14ac:dyDescent="0.3">
      <c r="B83" s="44"/>
      <c r="E83" s="101"/>
      <c r="F83" s="3" t="s">
        <v>418</v>
      </c>
      <c r="G83" s="4" t="s">
        <v>418</v>
      </c>
      <c r="H83" s="3" t="s">
        <v>418</v>
      </c>
      <c r="I83" s="4" t="s">
        <v>418</v>
      </c>
    </row>
    <row r="84" spans="2:9" x14ac:dyDescent="0.3">
      <c r="B84" s="44">
        <v>46046</v>
      </c>
      <c r="C84" s="3" t="s">
        <v>416</v>
      </c>
      <c r="D84" s="3" t="s">
        <v>498</v>
      </c>
      <c r="E84" s="101"/>
      <c r="F84" s="3" t="s">
        <v>219</v>
      </c>
      <c r="G84" s="4">
        <v>3357608</v>
      </c>
      <c r="H84" s="3" t="s">
        <v>222</v>
      </c>
      <c r="I84" s="4">
        <v>3348507</v>
      </c>
    </row>
    <row r="85" spans="2:9" x14ac:dyDescent="0.3">
      <c r="B85" s="44">
        <v>46046</v>
      </c>
      <c r="C85" s="3" t="s">
        <v>416</v>
      </c>
      <c r="D85" s="3" t="s">
        <v>498</v>
      </c>
      <c r="E85" s="101"/>
      <c r="F85" s="3" t="s">
        <v>245</v>
      </c>
      <c r="G85" s="4">
        <v>3352905</v>
      </c>
      <c r="H85" s="3" t="s">
        <v>429</v>
      </c>
      <c r="I85" s="4">
        <v>3346905</v>
      </c>
    </row>
    <row r="86" spans="2:9" x14ac:dyDescent="0.3">
      <c r="B86" s="44">
        <v>46046</v>
      </c>
      <c r="C86" s="3" t="s">
        <v>416</v>
      </c>
      <c r="D86" s="3" t="s">
        <v>498</v>
      </c>
      <c r="E86" s="101"/>
      <c r="F86" s="3" t="s">
        <v>184</v>
      </c>
      <c r="G86" s="53">
        <v>3363004</v>
      </c>
      <c r="H86" s="3" t="s">
        <v>244</v>
      </c>
      <c r="I86" s="4">
        <v>3357504</v>
      </c>
    </row>
    <row r="87" spans="2:9" x14ac:dyDescent="0.3">
      <c r="B87" s="44">
        <v>46046</v>
      </c>
      <c r="C87" s="3" t="s">
        <v>416</v>
      </c>
      <c r="D87" s="3" t="s">
        <v>498</v>
      </c>
      <c r="E87" s="101"/>
      <c r="F87" s="3" t="s">
        <v>146</v>
      </c>
      <c r="G87" s="53">
        <v>3346405</v>
      </c>
      <c r="H87" s="3" t="s">
        <v>225</v>
      </c>
      <c r="I87" s="4">
        <v>3345802</v>
      </c>
    </row>
    <row r="88" spans="2:9" x14ac:dyDescent="0.3">
      <c r="B88" s="44">
        <v>46046</v>
      </c>
      <c r="C88" s="3" t="s">
        <v>416</v>
      </c>
      <c r="D88" s="3" t="s">
        <v>498</v>
      </c>
      <c r="E88" s="101"/>
      <c r="F88" s="3" t="s">
        <v>468</v>
      </c>
      <c r="G88" s="4">
        <v>3349902</v>
      </c>
      <c r="H88" s="3" t="s">
        <v>223</v>
      </c>
      <c r="I88" s="4">
        <v>3348007</v>
      </c>
    </row>
    <row r="89" spans="2:9" x14ac:dyDescent="0.3">
      <c r="B89" s="44"/>
      <c r="E89" s="101"/>
      <c r="F89" s="3" t="s">
        <v>418</v>
      </c>
      <c r="G89" s="4" t="s">
        <v>418</v>
      </c>
      <c r="H89" s="3" t="s">
        <v>418</v>
      </c>
      <c r="I89" s="4" t="s">
        <v>418</v>
      </c>
    </row>
    <row r="90" spans="2:9" x14ac:dyDescent="0.3">
      <c r="B90" s="44">
        <v>46053</v>
      </c>
      <c r="C90" s="3" t="s">
        <v>416</v>
      </c>
      <c r="D90" s="3" t="s">
        <v>498</v>
      </c>
      <c r="E90" s="101"/>
      <c r="F90" s="3" t="s">
        <v>223</v>
      </c>
      <c r="G90" s="4">
        <v>3348007</v>
      </c>
      <c r="H90" s="3" t="s">
        <v>245</v>
      </c>
      <c r="I90" s="4">
        <v>3352905</v>
      </c>
    </row>
    <row r="91" spans="2:9" x14ac:dyDescent="0.3">
      <c r="B91" s="44">
        <v>46053</v>
      </c>
      <c r="C91" s="3" t="s">
        <v>416</v>
      </c>
      <c r="D91" s="3" t="s">
        <v>498</v>
      </c>
      <c r="E91" s="101"/>
      <c r="F91" s="3" t="s">
        <v>222</v>
      </c>
      <c r="G91" s="4">
        <v>3348507</v>
      </c>
      <c r="H91" s="3" t="s">
        <v>468</v>
      </c>
      <c r="I91" s="4">
        <v>3349902</v>
      </c>
    </row>
    <row r="92" spans="2:9" x14ac:dyDescent="0.3">
      <c r="B92" s="44">
        <v>46053</v>
      </c>
      <c r="C92" s="3" t="s">
        <v>416</v>
      </c>
      <c r="D92" s="3" t="s">
        <v>498</v>
      </c>
      <c r="E92" s="101"/>
      <c r="F92" s="3" t="s">
        <v>184</v>
      </c>
      <c r="G92" s="53">
        <v>3363004</v>
      </c>
      <c r="H92" s="3" t="s">
        <v>146</v>
      </c>
      <c r="I92" s="53">
        <v>3346405</v>
      </c>
    </row>
    <row r="93" spans="2:9" x14ac:dyDescent="0.3">
      <c r="B93" s="44">
        <v>46053</v>
      </c>
      <c r="C93" s="3" t="s">
        <v>416</v>
      </c>
      <c r="D93" s="3" t="s">
        <v>498</v>
      </c>
      <c r="E93" s="101"/>
      <c r="F93" s="3" t="s">
        <v>429</v>
      </c>
      <c r="G93" s="4">
        <v>3346905</v>
      </c>
      <c r="H93" s="3" t="s">
        <v>244</v>
      </c>
      <c r="I93" s="4">
        <v>3357504</v>
      </c>
    </row>
    <row r="94" spans="2:9" x14ac:dyDescent="0.3">
      <c r="B94" s="44">
        <v>46053</v>
      </c>
      <c r="C94" s="3" t="s">
        <v>416</v>
      </c>
      <c r="D94" s="3" t="s">
        <v>498</v>
      </c>
      <c r="E94" s="101"/>
      <c r="F94" s="3" t="s">
        <v>225</v>
      </c>
      <c r="G94" s="4">
        <v>3345802</v>
      </c>
      <c r="H94" s="3" t="s">
        <v>219</v>
      </c>
      <c r="I94" s="4">
        <v>3357608</v>
      </c>
    </row>
    <row r="95" spans="2:9" x14ac:dyDescent="0.3">
      <c r="B95" s="44"/>
      <c r="E95" s="101"/>
      <c r="F95" s="3" t="s">
        <v>418</v>
      </c>
      <c r="G95" s="4" t="s">
        <v>418</v>
      </c>
      <c r="H95" s="3" t="s">
        <v>418</v>
      </c>
      <c r="I95" s="4" t="s">
        <v>418</v>
      </c>
    </row>
    <row r="96" spans="2:9" x14ac:dyDescent="0.3">
      <c r="B96" s="44">
        <v>46060</v>
      </c>
      <c r="C96" s="3" t="s">
        <v>416</v>
      </c>
      <c r="D96" s="3" t="s">
        <v>498</v>
      </c>
      <c r="E96" s="101"/>
      <c r="F96" s="3" t="s">
        <v>244</v>
      </c>
      <c r="G96" s="4">
        <v>3357504</v>
      </c>
      <c r="H96" s="3" t="s">
        <v>146</v>
      </c>
      <c r="I96" s="53">
        <v>3346405</v>
      </c>
    </row>
    <row r="97" spans="2:9" x14ac:dyDescent="0.3">
      <c r="B97" s="44">
        <v>46060</v>
      </c>
      <c r="C97" s="3" t="s">
        <v>416</v>
      </c>
      <c r="D97" s="3" t="s">
        <v>498</v>
      </c>
      <c r="E97" s="101"/>
      <c r="F97" s="3" t="s">
        <v>219</v>
      </c>
      <c r="G97" s="4">
        <v>3357608</v>
      </c>
      <c r="H97" s="3" t="s">
        <v>184</v>
      </c>
      <c r="I97" s="53">
        <v>3363004</v>
      </c>
    </row>
    <row r="98" spans="2:9" x14ac:dyDescent="0.3">
      <c r="B98" s="44">
        <v>46060</v>
      </c>
      <c r="C98" s="3" t="s">
        <v>416</v>
      </c>
      <c r="D98" s="3" t="s">
        <v>498</v>
      </c>
      <c r="E98" s="101"/>
      <c r="F98" s="3" t="s">
        <v>245</v>
      </c>
      <c r="G98" s="4">
        <v>3352905</v>
      </c>
      <c r="H98" s="3" t="s">
        <v>222</v>
      </c>
      <c r="I98" s="4">
        <v>3348507</v>
      </c>
    </row>
    <row r="99" spans="2:9" x14ac:dyDescent="0.3">
      <c r="B99" s="44">
        <v>46060</v>
      </c>
      <c r="C99" s="3" t="s">
        <v>416</v>
      </c>
      <c r="D99" s="3" t="s">
        <v>498</v>
      </c>
      <c r="E99" s="101"/>
      <c r="F99" s="3" t="s">
        <v>429</v>
      </c>
      <c r="G99" s="4">
        <v>3346905</v>
      </c>
      <c r="H99" s="3" t="s">
        <v>223</v>
      </c>
      <c r="I99" s="4">
        <v>3348007</v>
      </c>
    </row>
    <row r="100" spans="2:9" x14ac:dyDescent="0.3">
      <c r="B100" s="44">
        <v>46060</v>
      </c>
      <c r="C100" s="3" t="s">
        <v>416</v>
      </c>
      <c r="D100" s="3" t="s">
        <v>498</v>
      </c>
      <c r="E100" s="101"/>
      <c r="F100" s="3" t="s">
        <v>468</v>
      </c>
      <c r="G100" s="4">
        <v>3349902</v>
      </c>
      <c r="H100" s="3" t="s">
        <v>225</v>
      </c>
      <c r="I100" s="4">
        <v>3345802</v>
      </c>
    </row>
    <row r="101" spans="2:9" x14ac:dyDescent="0.3">
      <c r="B101" s="44"/>
      <c r="E101" s="101"/>
      <c r="F101" s="3" t="s">
        <v>418</v>
      </c>
      <c r="G101" s="4" t="s">
        <v>418</v>
      </c>
      <c r="H101" s="3" t="s">
        <v>418</v>
      </c>
      <c r="I101" s="4" t="s">
        <v>418</v>
      </c>
    </row>
    <row r="102" spans="2:9" x14ac:dyDescent="0.3">
      <c r="B102" s="44">
        <v>46081</v>
      </c>
      <c r="C102" s="3" t="s">
        <v>416</v>
      </c>
      <c r="D102" s="3" t="s">
        <v>498</v>
      </c>
      <c r="E102" s="101"/>
      <c r="F102" s="3" t="s">
        <v>223</v>
      </c>
      <c r="G102" s="4">
        <v>3348007</v>
      </c>
      <c r="H102" s="3" t="s">
        <v>244</v>
      </c>
      <c r="I102" s="4">
        <v>3357504</v>
      </c>
    </row>
    <row r="103" spans="2:9" x14ac:dyDescent="0.3">
      <c r="B103" s="44">
        <v>46081</v>
      </c>
      <c r="C103" s="3" t="s">
        <v>416</v>
      </c>
      <c r="D103" s="3" t="s">
        <v>498</v>
      </c>
      <c r="E103" s="101"/>
      <c r="F103" s="3" t="s">
        <v>222</v>
      </c>
      <c r="G103" s="4">
        <v>3348507</v>
      </c>
      <c r="H103" s="3" t="s">
        <v>429</v>
      </c>
      <c r="I103" s="4">
        <v>3346905</v>
      </c>
    </row>
    <row r="104" spans="2:9" x14ac:dyDescent="0.3">
      <c r="B104" s="44">
        <v>46081</v>
      </c>
      <c r="C104" s="3" t="s">
        <v>416</v>
      </c>
      <c r="D104" s="3" t="s">
        <v>498</v>
      </c>
      <c r="E104" s="101"/>
      <c r="F104" s="3" t="s">
        <v>184</v>
      </c>
      <c r="G104" s="53">
        <v>3363004</v>
      </c>
      <c r="H104" s="3" t="s">
        <v>468</v>
      </c>
      <c r="I104" s="4">
        <v>3349902</v>
      </c>
    </row>
    <row r="105" spans="2:9" x14ac:dyDescent="0.3">
      <c r="B105" s="44">
        <v>46081</v>
      </c>
      <c r="C105" s="3" t="s">
        <v>416</v>
      </c>
      <c r="D105" s="3" t="s">
        <v>498</v>
      </c>
      <c r="E105" s="101"/>
      <c r="F105" s="3" t="s">
        <v>146</v>
      </c>
      <c r="G105" s="53">
        <v>3346405</v>
      </c>
      <c r="H105" s="3" t="s">
        <v>219</v>
      </c>
      <c r="I105" s="4">
        <v>3357608</v>
      </c>
    </row>
    <row r="106" spans="2:9" x14ac:dyDescent="0.3">
      <c r="B106" s="44">
        <v>46081</v>
      </c>
      <c r="C106" s="3" t="s">
        <v>416</v>
      </c>
      <c r="D106" s="3" t="s">
        <v>498</v>
      </c>
      <c r="E106" s="101"/>
      <c r="F106" s="3" t="s">
        <v>225</v>
      </c>
      <c r="G106" s="4">
        <v>3345802</v>
      </c>
      <c r="H106" s="3" t="s">
        <v>245</v>
      </c>
      <c r="I106" s="4">
        <v>3352905</v>
      </c>
    </row>
    <row r="107" spans="2:9" x14ac:dyDescent="0.3">
      <c r="B107" s="4"/>
      <c r="E107" s="101"/>
      <c r="F107" s="3" t="s">
        <v>418</v>
      </c>
      <c r="G107" s="4" t="s">
        <v>418</v>
      </c>
      <c r="H107" s="3" t="s">
        <v>418</v>
      </c>
      <c r="I107" s="4" t="s">
        <v>418</v>
      </c>
    </row>
    <row r="108" spans="2:9" x14ac:dyDescent="0.3">
      <c r="B108" s="44">
        <v>46088</v>
      </c>
      <c r="C108" s="3" t="s">
        <v>416</v>
      </c>
      <c r="D108" s="3" t="s">
        <v>498</v>
      </c>
      <c r="E108" s="101"/>
      <c r="F108" s="3" t="s">
        <v>244</v>
      </c>
      <c r="G108" s="4">
        <v>3357504</v>
      </c>
      <c r="H108" s="3" t="s">
        <v>219</v>
      </c>
      <c r="I108" s="4">
        <v>3357608</v>
      </c>
    </row>
    <row r="109" spans="2:9" x14ac:dyDescent="0.3">
      <c r="B109" s="44">
        <v>46088</v>
      </c>
      <c r="C109" s="3" t="s">
        <v>416</v>
      </c>
      <c r="D109" s="3" t="s">
        <v>498</v>
      </c>
      <c r="E109" s="101"/>
      <c r="F109" s="3" t="s">
        <v>245</v>
      </c>
      <c r="G109" s="4">
        <v>3352905</v>
      </c>
      <c r="H109" s="3" t="s">
        <v>184</v>
      </c>
      <c r="I109" s="53">
        <v>3363004</v>
      </c>
    </row>
    <row r="110" spans="2:9" x14ac:dyDescent="0.3">
      <c r="B110" s="44">
        <v>46088</v>
      </c>
      <c r="C110" s="3" t="s">
        <v>416</v>
      </c>
      <c r="D110" s="3" t="s">
        <v>498</v>
      </c>
      <c r="E110" s="101"/>
      <c r="F110" s="3" t="s">
        <v>223</v>
      </c>
      <c r="G110" s="4">
        <v>3348007</v>
      </c>
      <c r="H110" s="3" t="s">
        <v>222</v>
      </c>
      <c r="I110" s="4">
        <v>3348507</v>
      </c>
    </row>
    <row r="111" spans="2:9" x14ac:dyDescent="0.3">
      <c r="B111" s="44">
        <v>46088</v>
      </c>
      <c r="C111" s="3" t="s">
        <v>416</v>
      </c>
      <c r="D111" s="3" t="s">
        <v>498</v>
      </c>
      <c r="E111" s="101"/>
      <c r="F111" s="3" t="s">
        <v>429</v>
      </c>
      <c r="G111" s="4">
        <v>3346905</v>
      </c>
      <c r="H111" s="3" t="s">
        <v>225</v>
      </c>
      <c r="I111" s="4">
        <v>3345802</v>
      </c>
    </row>
    <row r="112" spans="2:9" x14ac:dyDescent="0.3">
      <c r="B112" s="44">
        <v>46088</v>
      </c>
      <c r="C112" s="3" t="s">
        <v>416</v>
      </c>
      <c r="D112" s="3" t="s">
        <v>498</v>
      </c>
      <c r="E112" s="101"/>
      <c r="F112" s="3" t="s">
        <v>468</v>
      </c>
      <c r="G112" s="4">
        <v>3349902</v>
      </c>
      <c r="H112" s="3" t="s">
        <v>146</v>
      </c>
      <c r="I112" s="53">
        <v>3346405</v>
      </c>
    </row>
    <row r="113" spans="2:9" x14ac:dyDescent="0.3">
      <c r="B113" s="44"/>
      <c r="E113" s="101"/>
      <c r="F113" s="3" t="s">
        <v>418</v>
      </c>
      <c r="G113" s="4" t="s">
        <v>418</v>
      </c>
      <c r="H113" s="3" t="s">
        <v>418</v>
      </c>
      <c r="I113" s="4" t="s">
        <v>418</v>
      </c>
    </row>
    <row r="114" spans="2:9" x14ac:dyDescent="0.3">
      <c r="B114" s="44">
        <v>46095</v>
      </c>
      <c r="C114" s="3" t="s">
        <v>416</v>
      </c>
      <c r="D114" s="3" t="s">
        <v>498</v>
      </c>
      <c r="E114" s="101"/>
      <c r="F114" s="3" t="s">
        <v>219</v>
      </c>
      <c r="G114" s="4">
        <v>3357608</v>
      </c>
      <c r="H114" s="3" t="s">
        <v>468</v>
      </c>
      <c r="I114" s="4">
        <v>3349902</v>
      </c>
    </row>
    <row r="115" spans="2:9" x14ac:dyDescent="0.3">
      <c r="B115" s="44">
        <v>46095</v>
      </c>
      <c r="C115" s="3" t="s">
        <v>416</v>
      </c>
      <c r="D115" s="3" t="s">
        <v>498</v>
      </c>
      <c r="E115" s="101"/>
      <c r="F115" s="3" t="s">
        <v>222</v>
      </c>
      <c r="G115" s="4">
        <v>3348507</v>
      </c>
      <c r="H115" s="3" t="s">
        <v>244</v>
      </c>
      <c r="I115" s="4">
        <v>3357504</v>
      </c>
    </row>
    <row r="116" spans="2:9" x14ac:dyDescent="0.3">
      <c r="B116" s="44">
        <v>46095</v>
      </c>
      <c r="C116" s="3" t="s">
        <v>416</v>
      </c>
      <c r="D116" s="3" t="s">
        <v>498</v>
      </c>
      <c r="E116" s="101"/>
      <c r="F116" s="3" t="s">
        <v>429</v>
      </c>
      <c r="G116" s="4">
        <v>3346905</v>
      </c>
      <c r="H116" s="3" t="s">
        <v>184</v>
      </c>
      <c r="I116" s="53">
        <v>3363004</v>
      </c>
    </row>
    <row r="117" spans="2:9" x14ac:dyDescent="0.3">
      <c r="B117" s="44">
        <v>46095</v>
      </c>
      <c r="C117" s="3" t="s">
        <v>416</v>
      </c>
      <c r="D117" s="3" t="s">
        <v>498</v>
      </c>
      <c r="E117" s="101"/>
      <c r="F117" s="3" t="s">
        <v>146</v>
      </c>
      <c r="G117" s="53">
        <v>3346405</v>
      </c>
      <c r="H117" s="3" t="s">
        <v>245</v>
      </c>
      <c r="I117" s="4">
        <v>3352905</v>
      </c>
    </row>
    <row r="118" spans="2:9" x14ac:dyDescent="0.3">
      <c r="B118" s="44">
        <v>46095</v>
      </c>
      <c r="C118" s="3" t="s">
        <v>416</v>
      </c>
      <c r="D118" s="3" t="s">
        <v>498</v>
      </c>
      <c r="E118" s="101"/>
      <c r="F118" s="3" t="s">
        <v>225</v>
      </c>
      <c r="G118" s="4">
        <v>3345802</v>
      </c>
      <c r="H118" s="3" t="s">
        <v>223</v>
      </c>
      <c r="I118" s="4">
        <v>3348007</v>
      </c>
    </row>
    <row r="119" spans="2:9" x14ac:dyDescent="0.3">
      <c r="B119" s="44"/>
      <c r="E119" s="101"/>
      <c r="F119" s="3" t="s">
        <v>418</v>
      </c>
      <c r="G119" s="4" t="s">
        <v>418</v>
      </c>
      <c r="H119" s="3" t="s">
        <v>418</v>
      </c>
      <c r="I119" s="4" t="s">
        <v>418</v>
      </c>
    </row>
    <row r="120" spans="2:9" x14ac:dyDescent="0.3">
      <c r="B120" s="44">
        <v>46102</v>
      </c>
      <c r="C120" s="3" t="s">
        <v>416</v>
      </c>
      <c r="D120" s="3" t="s">
        <v>498</v>
      </c>
      <c r="E120" s="101"/>
      <c r="F120" s="3" t="s">
        <v>244</v>
      </c>
      <c r="G120" s="4">
        <v>3357504</v>
      </c>
      <c r="H120" s="3" t="s">
        <v>468</v>
      </c>
      <c r="I120" s="4">
        <v>3349902</v>
      </c>
    </row>
    <row r="121" spans="2:9" x14ac:dyDescent="0.3">
      <c r="B121" s="44">
        <v>46102</v>
      </c>
      <c r="C121" s="3" t="s">
        <v>416</v>
      </c>
      <c r="D121" s="3" t="s">
        <v>498</v>
      </c>
      <c r="E121" s="101"/>
      <c r="F121" s="3" t="s">
        <v>245</v>
      </c>
      <c r="G121" s="4">
        <v>3352905</v>
      </c>
      <c r="H121" s="3" t="s">
        <v>219</v>
      </c>
      <c r="I121" s="4">
        <v>3357608</v>
      </c>
    </row>
    <row r="122" spans="2:9" x14ac:dyDescent="0.3">
      <c r="B122" s="44">
        <v>46102</v>
      </c>
      <c r="C122" s="3" t="s">
        <v>416</v>
      </c>
      <c r="D122" s="3" t="s">
        <v>498</v>
      </c>
      <c r="E122" s="101"/>
      <c r="F122" s="3" t="s">
        <v>184</v>
      </c>
      <c r="G122" s="53">
        <v>3363004</v>
      </c>
      <c r="H122" s="3" t="s">
        <v>223</v>
      </c>
      <c r="I122" s="4">
        <v>3348007</v>
      </c>
    </row>
    <row r="123" spans="2:9" x14ac:dyDescent="0.3">
      <c r="B123" s="44">
        <v>46102</v>
      </c>
      <c r="C123" s="3" t="s">
        <v>416</v>
      </c>
      <c r="D123" s="3" t="s">
        <v>498</v>
      </c>
      <c r="E123" s="101"/>
      <c r="F123" s="3" t="s">
        <v>225</v>
      </c>
      <c r="G123" s="4">
        <v>3345802</v>
      </c>
      <c r="H123" s="3" t="s">
        <v>222</v>
      </c>
      <c r="I123" s="4">
        <v>3348507</v>
      </c>
    </row>
    <row r="124" spans="2:9" x14ac:dyDescent="0.3">
      <c r="B124" s="44">
        <v>46102</v>
      </c>
      <c r="C124" s="3" t="s">
        <v>416</v>
      </c>
      <c r="D124" s="3" t="s">
        <v>498</v>
      </c>
      <c r="E124" s="101"/>
      <c r="F124" s="3" t="s">
        <v>146</v>
      </c>
      <c r="G124" s="53">
        <v>3346405</v>
      </c>
      <c r="H124" s="3" t="s">
        <v>429</v>
      </c>
      <c r="I124" s="4">
        <v>3346905</v>
      </c>
    </row>
    <row r="125" spans="2:9" x14ac:dyDescent="0.3">
      <c r="B125" s="44"/>
      <c r="E125" s="101"/>
      <c r="F125" s="3" t="s">
        <v>418</v>
      </c>
      <c r="G125" s="4" t="s">
        <v>418</v>
      </c>
      <c r="H125" s="3" t="s">
        <v>418</v>
      </c>
      <c r="I125" s="4" t="s">
        <v>418</v>
      </c>
    </row>
    <row r="126" spans="2:9" x14ac:dyDescent="0.3">
      <c r="B126" s="44">
        <v>46109</v>
      </c>
      <c r="C126" s="3" t="s">
        <v>416</v>
      </c>
      <c r="D126" s="3" t="s">
        <v>498</v>
      </c>
      <c r="E126" s="101"/>
      <c r="F126" s="3" t="s">
        <v>219</v>
      </c>
      <c r="G126" s="4">
        <v>3357608</v>
      </c>
      <c r="H126" s="3" t="s">
        <v>429</v>
      </c>
      <c r="I126" s="4">
        <v>3346905</v>
      </c>
    </row>
    <row r="127" spans="2:9" x14ac:dyDescent="0.3">
      <c r="B127" s="44">
        <v>46109</v>
      </c>
      <c r="C127" s="3" t="s">
        <v>416</v>
      </c>
      <c r="D127" s="3" t="s">
        <v>498</v>
      </c>
      <c r="E127" s="101"/>
      <c r="F127" s="3" t="s">
        <v>222</v>
      </c>
      <c r="G127" s="4">
        <v>3348507</v>
      </c>
      <c r="H127" s="3" t="s">
        <v>184</v>
      </c>
      <c r="I127" s="53">
        <v>3363004</v>
      </c>
    </row>
    <row r="128" spans="2:9" x14ac:dyDescent="0.3">
      <c r="B128" s="44">
        <v>46109</v>
      </c>
      <c r="C128" s="3" t="s">
        <v>416</v>
      </c>
      <c r="D128" s="3" t="s">
        <v>498</v>
      </c>
      <c r="E128" s="101"/>
      <c r="F128" s="3" t="s">
        <v>223</v>
      </c>
      <c r="G128" s="4">
        <v>3348007</v>
      </c>
      <c r="H128" s="3" t="s">
        <v>146</v>
      </c>
      <c r="I128" s="53">
        <v>3346405</v>
      </c>
    </row>
    <row r="129" spans="2:9" x14ac:dyDescent="0.3">
      <c r="B129" s="44">
        <v>46109</v>
      </c>
      <c r="C129" s="3" t="s">
        <v>416</v>
      </c>
      <c r="D129" s="3" t="s">
        <v>498</v>
      </c>
      <c r="E129" s="101"/>
      <c r="F129" s="3" t="s">
        <v>244</v>
      </c>
      <c r="G129" s="4">
        <v>3357504</v>
      </c>
      <c r="H129" s="3" t="s">
        <v>225</v>
      </c>
      <c r="I129" s="4">
        <v>3345802</v>
      </c>
    </row>
    <row r="130" spans="2:9" x14ac:dyDescent="0.3">
      <c r="B130" s="44">
        <v>46109</v>
      </c>
      <c r="C130" s="3" t="s">
        <v>416</v>
      </c>
      <c r="D130" s="3" t="s">
        <v>498</v>
      </c>
      <c r="E130" s="101"/>
      <c r="F130" s="3" t="s">
        <v>468</v>
      </c>
      <c r="G130" s="4">
        <v>3349902</v>
      </c>
      <c r="H130" s="3" t="s">
        <v>245</v>
      </c>
      <c r="I130" s="4">
        <v>3352905</v>
      </c>
    </row>
  </sheetData>
  <sortState xmlns:xlrd2="http://schemas.microsoft.com/office/spreadsheetml/2017/richdata2" ref="A10:AQ19">
    <sortCondition ref="B10:B19"/>
  </sortState>
  <mergeCells count="1">
    <mergeCell ref="K5:K6"/>
  </mergeCells>
  <conditionalFormatting sqref="B9">
    <cfRule type="duplicateValues" dxfId="5316" priority="42"/>
  </conditionalFormatting>
  <conditionalFormatting sqref="B11:B19">
    <cfRule type="duplicateValues" dxfId="5315" priority="3000"/>
  </conditionalFormatting>
  <conditionalFormatting sqref="I9:I19">
    <cfRule type="containsText" dxfId="5314" priority="34" operator="containsText" text="Code">
      <formula>NOT(ISERROR(SEARCH("Code",I9)))</formula>
    </cfRule>
    <cfRule type="containsText" dxfId="5313" priority="35" operator="containsText" text="c'[Fixtures All.xlsx]Women Filtered'!$F$2">
      <formula>NOT(ISERROR(SEARCH("c'[Fixtures All.xlsx]Women Filtered'!$F$2",I9)))</formula>
    </cfRule>
  </conditionalFormatting>
  <conditionalFormatting sqref="I10:L19">
    <cfRule type="cellIs" dxfId="5312" priority="25" operator="lessThan">
      <formula>4</formula>
    </cfRule>
    <cfRule type="cellIs" dxfId="5311" priority="26" operator="greaterThan">
      <formula>5</formula>
    </cfRule>
  </conditionalFormatting>
  <conditionalFormatting sqref="J10:J19 L10:L19">
    <cfRule type="containsText" dxfId="5310" priority="3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309" priority="2999"/>
  </conditionalFormatting>
  <conditionalFormatting sqref="K5">
    <cfRule type="duplicateValues" dxfId="5308" priority="40"/>
  </conditionalFormatting>
  <conditionalFormatting sqref="K9:K19">
    <cfRule type="containsText" dxfId="5307" priority="2" operator="containsText" text="c'[Fixtures All.xlsx]Women Filtered'!$F$2">
      <formula>NOT(ISERROR(SEARCH("c'[Fixtures All.xlsx]Women Filtered'!$F$2",K9)))</formula>
    </cfRule>
  </conditionalFormatting>
  <conditionalFormatting sqref="K10:K19">
    <cfRule type="containsText" dxfId="5306" priority="1" operator="containsText" text="Code">
      <formula>NOT(ISERROR(SEARCH("Code",K10)))</formula>
    </cfRule>
  </conditionalFormatting>
  <hyperlinks>
    <hyperlink ref="K3" location="Contents!A1" display="Back to Contents" xr:uid="{0E54C8B4-069D-44BF-8EFF-5A759CD89BBA}"/>
    <hyperlink ref="K5:K6" location="'All Fixtures'!A1" display="See all NW Fixtures" xr:uid="{C6448310-1481-4932-A96F-96ADD87C7172}"/>
  </hyperlinks>
  <pageMargins left="0.7" right="0.7" top="0.75" bottom="0.75" header="0.3" footer="0.3"/>
  <ignoredErrors>
    <ignoredError sqref="J10:J19 K10:K19" formula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04F65-E6AF-46FF-A0FC-4551D1EB928C}">
  <dimension ref="A2:AQ178"/>
  <sheetViews>
    <sheetView zoomScaleNormal="100" workbookViewId="0"/>
  </sheetViews>
  <sheetFormatPr defaultRowHeight="14.4" x14ac:dyDescent="0.3"/>
  <cols>
    <col min="1" max="1" width="5.109375" style="3" customWidth="1"/>
    <col min="2" max="2" width="29.77734375" style="3" customWidth="1"/>
    <col min="3" max="3" width="26.21875" style="3" customWidth="1"/>
    <col min="4" max="4" width="35.33203125" style="3" customWidth="1"/>
    <col min="5" max="5" width="14.109375" style="3" customWidth="1"/>
    <col min="6" max="6" width="30.33203125" style="3" customWidth="1"/>
    <col min="7" max="7" width="10.88671875" style="3" customWidth="1"/>
    <col min="8" max="8" width="33.21875" style="3" customWidth="1"/>
    <col min="9" max="9" width="9.21875" style="3" customWidth="1"/>
    <col min="10" max="10" width="6.21875" style="3" customWidth="1"/>
    <col min="11" max="11" width="17.218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500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E7" s="59"/>
      <c r="F7" s="59"/>
      <c r="G7" s="59"/>
      <c r="H7" s="59"/>
      <c r="I7" s="59"/>
    </row>
    <row r="8" spans="1:12" ht="15" customHeight="1" x14ac:dyDescent="0.7">
      <c r="B8" s="16"/>
      <c r="D8" s="59"/>
      <c r="E8" s="59"/>
      <c r="F8" s="59"/>
      <c r="G8" s="59"/>
      <c r="H8" s="59"/>
      <c r="I8" s="59"/>
      <c r="J8" s="59"/>
    </row>
    <row r="9" spans="1:12" ht="15" customHeight="1" x14ac:dyDescent="0.4">
      <c r="B9" s="21" t="s">
        <v>85</v>
      </c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COUNTIF(F$26:H$178,"Bowdon 8")</f>
        <v>22</v>
      </c>
      <c r="B10" s="3" t="s">
        <v>232</v>
      </c>
      <c r="C10" s="74">
        <v>3360507</v>
      </c>
      <c r="D10" s="57">
        <f>COUNTIF(F$26:I$178,"3360507")</f>
        <v>22</v>
      </c>
      <c r="E10" s="59"/>
      <c r="F10" s="57">
        <f>COUNTIF(F$26:F$178,"Bowdon 8")</f>
        <v>11</v>
      </c>
      <c r="G10" s="15"/>
      <c r="H10" s="57">
        <f>COUNTIF(H$26:H$178,"Bowdon 8")</f>
        <v>11</v>
      </c>
      <c r="I10" s="57">
        <f>COUNTIF(F$26:F$101,"Bowdon 8")</f>
        <v>5</v>
      </c>
      <c r="J10" s="57">
        <f>COUNTIF(F$102:F$178,"Bowdon 8")</f>
        <v>6</v>
      </c>
      <c r="K10" s="57">
        <f>COUNTIF(H$26:H$101,"Bowdon 8")</f>
        <v>6</v>
      </c>
      <c r="L10" s="57">
        <f>COUNTIF(H$102:H$178,"Bowdon 8")</f>
        <v>5</v>
      </c>
    </row>
    <row r="11" spans="1:12" ht="15" customHeight="1" x14ac:dyDescent="0.3">
      <c r="A11" s="47">
        <f>COUNTIF(F$26:H$178,"Bowdon 9")</f>
        <v>22</v>
      </c>
      <c r="B11" s="3" t="s">
        <v>465</v>
      </c>
      <c r="C11" s="108">
        <v>3962207</v>
      </c>
      <c r="D11" s="57">
        <f>COUNTIF(F$26:I$178,"3962207")</f>
        <v>22</v>
      </c>
      <c r="E11" s="59"/>
      <c r="F11" s="57">
        <f>COUNTIF(F$26:F$178,"Bowdon 9")</f>
        <v>11</v>
      </c>
      <c r="G11" s="15"/>
      <c r="H11" s="57">
        <f>COUNTIF(H$26:H$178,"Bowdon 9")</f>
        <v>11</v>
      </c>
      <c r="I11" s="57">
        <f>COUNTIF(F$26:F$101,"Bowdon 9")</f>
        <v>6</v>
      </c>
      <c r="J11" s="57">
        <f>COUNTIF(F$102:F$178,"Bowdon 9")</f>
        <v>5</v>
      </c>
      <c r="K11" s="57">
        <f>COUNTIF(H$26:H$101,"Bowdon 9")</f>
        <v>5</v>
      </c>
      <c r="L11" s="57">
        <f>COUNTIF(H$102:H$178,"Bowdon 9")</f>
        <v>6</v>
      </c>
    </row>
    <row r="12" spans="1:12" ht="15" customHeight="1" x14ac:dyDescent="0.3">
      <c r="A12" s="47">
        <f>COUNTIF(F$26:H$178,"Buxton Development")</f>
        <v>22</v>
      </c>
      <c r="B12" s="3" t="s">
        <v>574</v>
      </c>
      <c r="C12" s="74">
        <v>3359606</v>
      </c>
      <c r="D12" s="57">
        <f>COUNTIF(F$26:I$178,"3359606")</f>
        <v>22</v>
      </c>
      <c r="E12" s="59"/>
      <c r="F12" s="57">
        <f>COUNTIF(F$26:F$178,"Buxton Development")</f>
        <v>11</v>
      </c>
      <c r="G12" s="15"/>
      <c r="H12" s="57">
        <f>COUNTIF(H$26:H$178,"Buxton Development")</f>
        <v>11</v>
      </c>
      <c r="I12" s="57">
        <f>COUNTIF(F$26:F$101,"Buxton Development")</f>
        <v>5</v>
      </c>
      <c r="J12" s="57">
        <f>COUNTIF(F$102:F$178,"Buxton Development")</f>
        <v>6</v>
      </c>
      <c r="K12" s="57">
        <f>COUNTIF(H$26:H$101,"Buxton Development")</f>
        <v>6</v>
      </c>
      <c r="L12" s="57">
        <f>COUNTIF(H$102:H$178,"Buxton Development")</f>
        <v>5</v>
      </c>
    </row>
    <row r="13" spans="1:12" ht="15" customHeight="1" x14ac:dyDescent="0.3">
      <c r="A13" s="47">
        <f>COUNTIF(F$26:H$178,"City of Manchester Development")</f>
        <v>22</v>
      </c>
      <c r="B13" s="103" t="s">
        <v>577</v>
      </c>
      <c r="C13" s="97" t="s">
        <v>556</v>
      </c>
      <c r="D13" s="57">
        <f>COUNTIF(F$26:I$178,"Code")</f>
        <v>22</v>
      </c>
      <c r="E13" s="59"/>
      <c r="F13" s="57">
        <f>COUNTIF(F$26:F$178,"City of Manchester Development")</f>
        <v>11</v>
      </c>
      <c r="G13" s="15"/>
      <c r="H13" s="57">
        <f>COUNTIF(H$26:H$178,"City of Manchester Development")</f>
        <v>11</v>
      </c>
      <c r="I13" s="57">
        <f>COUNTIF(F$26:F$101,"City of Manchester Development")</f>
        <v>6</v>
      </c>
      <c r="J13" s="57">
        <f>COUNTIF(F$102:F$178,"City of Manchester Development")</f>
        <v>5</v>
      </c>
      <c r="K13" s="57">
        <f>COUNTIF(H$26:H$101,"City of Manchester Development")</f>
        <v>5</v>
      </c>
      <c r="L13" s="57">
        <f>COUNTIF(H$102:H$178,"City of Manchester Development")</f>
        <v>6</v>
      </c>
    </row>
    <row r="14" spans="1:12" ht="15" customHeight="1" x14ac:dyDescent="0.3">
      <c r="A14" s="47">
        <f>COUNTIF(F$26:H$178,"Didsbury Northern 8")</f>
        <v>22</v>
      </c>
      <c r="B14" s="3" t="s">
        <v>575</v>
      </c>
      <c r="C14" s="53">
        <v>3900005</v>
      </c>
      <c r="D14" s="57">
        <f>COUNTIF(F$26:I$178,"3900005")</f>
        <v>22</v>
      </c>
      <c r="E14" s="59"/>
      <c r="F14" s="57">
        <f>COUNTIF(F$26:F$178,"Didsbury Northern 8")</f>
        <v>11</v>
      </c>
      <c r="G14" s="15"/>
      <c r="H14" s="57">
        <f>COUNTIF(H$26:H$178,"Didsbury Northern 8")</f>
        <v>11</v>
      </c>
      <c r="I14" s="57">
        <f>COUNTIF(F$26:F$101,"Didsbury Northern 8")</f>
        <v>5</v>
      </c>
      <c r="J14" s="57">
        <f>COUNTIF(F$102:F$178,"Didsbury Northern 8")</f>
        <v>6</v>
      </c>
      <c r="K14" s="57">
        <f>COUNTIF(H$26:H$101,"Didsbury Northern 8")</f>
        <v>6</v>
      </c>
      <c r="L14" s="57">
        <f>COUNTIF(H$102:H$178,"Didsbury Northern 8")</f>
        <v>5</v>
      </c>
    </row>
    <row r="15" spans="1:12" ht="15" customHeight="1" x14ac:dyDescent="0.3">
      <c r="A15" s="47">
        <f>COUNTIF(F$26:H$178,"Horwich 2")</f>
        <v>22</v>
      </c>
      <c r="B15" s="104" t="s">
        <v>236</v>
      </c>
      <c r="C15" s="53">
        <v>3355704</v>
      </c>
      <c r="D15" s="57">
        <f>COUNTIF(F$26:I$178,"3355704")</f>
        <v>22</v>
      </c>
      <c r="E15" s="59"/>
      <c r="F15" s="57">
        <f>COUNTIF(F$26:F$178,"Horwich 2")</f>
        <v>11</v>
      </c>
      <c r="G15" s="15"/>
      <c r="H15" s="57">
        <f>COUNTIF(H$26:H$178,"Horwich 2")</f>
        <v>11</v>
      </c>
      <c r="I15" s="57">
        <f>COUNTIF(F$26:F$101,"Horwich 2")</f>
        <v>6</v>
      </c>
      <c r="J15" s="57">
        <f>COUNTIF(F$102:F$178,"Horwich 2")</f>
        <v>5</v>
      </c>
      <c r="K15" s="57">
        <f>COUNTIF(H$26:H$101,"Horwich 2")</f>
        <v>5</v>
      </c>
      <c r="L15" s="57">
        <f>COUNTIF(H$102:H$178,"Horwich 2")</f>
        <v>6</v>
      </c>
    </row>
    <row r="16" spans="1:12" ht="15" customHeight="1" x14ac:dyDescent="0.3">
      <c r="A16" s="47">
        <f>COUNTIF(F$26:H$178,"Lymm 2")</f>
        <v>22</v>
      </c>
      <c r="B16" s="3" t="s">
        <v>187</v>
      </c>
      <c r="C16" s="53">
        <v>3354101</v>
      </c>
      <c r="D16" s="57">
        <f>COUNTIF(F$26:I$178,"3354101")</f>
        <v>22</v>
      </c>
      <c r="E16" s="59"/>
      <c r="F16" s="57">
        <f>COUNTIF(F$26:F$178,"Lymm 2")</f>
        <v>11</v>
      </c>
      <c r="G16" s="15"/>
      <c r="H16" s="57">
        <f>COUNTIF(H$26:H$178,"Lymm 2")</f>
        <v>11</v>
      </c>
      <c r="I16" s="57">
        <f>COUNTIF(F$26:F$101,"Lymm 2")</f>
        <v>6</v>
      </c>
      <c r="J16" s="57">
        <f>COUNTIF(F$102:F$178,"Lymm 2")</f>
        <v>5</v>
      </c>
      <c r="K16" s="57">
        <f>COUNTIF(H$26:H$101,"Lymm 2")</f>
        <v>5</v>
      </c>
      <c r="L16" s="57">
        <f>COUNTIF(H$102:H$178,"Lymm 2")</f>
        <v>6</v>
      </c>
    </row>
    <row r="17" spans="1:12" x14ac:dyDescent="0.3">
      <c r="A17" s="47">
        <f>COUNTIF(F$26:H$178,"Sale 3")</f>
        <v>22</v>
      </c>
      <c r="B17" s="3" t="s">
        <v>238</v>
      </c>
      <c r="C17" s="74">
        <v>3350105</v>
      </c>
      <c r="D17" s="57">
        <f>COUNTIF(F$26:I$178,"3350105")</f>
        <v>22</v>
      </c>
      <c r="E17" s="59"/>
      <c r="F17" s="57">
        <f>COUNTIF(F$26:F$178,"Sale 3")</f>
        <v>11</v>
      </c>
      <c r="G17" s="15"/>
      <c r="H17" s="57">
        <f>COUNTIF(H$26:H$178,"Sale 3")</f>
        <v>11</v>
      </c>
      <c r="I17" s="57">
        <f>COUNTIF(F$26:F$101,"Sale 3")</f>
        <v>5</v>
      </c>
      <c r="J17" s="57">
        <f>COUNTIF(F$102:F$178,"Sale 3")</f>
        <v>6</v>
      </c>
      <c r="K17" s="57">
        <f>COUNTIF(H$26:H$101,"Sale 3")</f>
        <v>6</v>
      </c>
      <c r="L17" s="57">
        <f>COUNTIF(H$102:H$178,"Sale 3")</f>
        <v>5</v>
      </c>
    </row>
    <row r="18" spans="1:12" x14ac:dyDescent="0.3">
      <c r="A18" s="47">
        <f>COUNTIF(F$26:H$178,"South Manchester 4")</f>
        <v>22</v>
      </c>
      <c r="B18" s="3" t="s">
        <v>576</v>
      </c>
      <c r="C18" s="74">
        <v>4009003</v>
      </c>
      <c r="D18" s="57">
        <f>COUNTIF(F$26:I$178,"4009003")</f>
        <v>22</v>
      </c>
      <c r="E18" s="59"/>
      <c r="F18" s="57">
        <f>COUNTIF(F$26:F$178,"South Manchester 4")</f>
        <v>11</v>
      </c>
      <c r="G18" s="15"/>
      <c r="H18" s="57">
        <f>COUNTIF(H$26:H$178,"South Manchester 4")</f>
        <v>11</v>
      </c>
      <c r="I18" s="57">
        <f>COUNTIF(F$26:F$101,"South Manchester 4")</f>
        <v>5</v>
      </c>
      <c r="J18" s="57">
        <f>COUNTIF(F$102:F$178,"South Manchester 4")</f>
        <v>6</v>
      </c>
      <c r="K18" s="57">
        <f>COUNTIF(H$26:H$101,"South Manchester 4")</f>
        <v>6</v>
      </c>
      <c r="L18" s="57">
        <f>COUNTIF(H$102:H$178,"South Manchester 4")</f>
        <v>5</v>
      </c>
    </row>
    <row r="19" spans="1:12" x14ac:dyDescent="0.3">
      <c r="A19" s="47">
        <f>COUNTIF(F$26:H$178,"Stockport Bramhall 3")</f>
        <v>22</v>
      </c>
      <c r="B19" s="3" t="s">
        <v>239</v>
      </c>
      <c r="C19" s="74">
        <v>3348809</v>
      </c>
      <c r="D19" s="57">
        <f>COUNTIF(F$26:I$178,"3348809")</f>
        <v>22</v>
      </c>
      <c r="E19" s="59"/>
      <c r="F19" s="57">
        <f>COUNTIF(F$26:F$178,"Stockport Bramhall 3")</f>
        <v>11</v>
      </c>
      <c r="G19" s="15"/>
      <c r="H19" s="57">
        <f>COUNTIF(H$26:H$178,"Stockport Bramhall 3")</f>
        <v>11</v>
      </c>
      <c r="I19" s="57">
        <f>COUNTIF(F$26:F$101,"Stockport Bramhall 3")</f>
        <v>6</v>
      </c>
      <c r="J19" s="57">
        <f>COUNTIF(F$102:F$178,"Stockport Bramhall 3")</f>
        <v>5</v>
      </c>
      <c r="K19" s="57">
        <f>COUNTIF(H$26:H$101,"Stockport Bramhall 3")</f>
        <v>5</v>
      </c>
      <c r="L19" s="57">
        <f>COUNTIF(H$102:H$178,"Stockport Bramhall 3")</f>
        <v>6</v>
      </c>
    </row>
    <row r="20" spans="1:12" x14ac:dyDescent="0.3">
      <c r="A20" s="47">
        <f>COUNTIF(F$26:H$178,"Timperley Development")</f>
        <v>22</v>
      </c>
      <c r="B20" s="3" t="s">
        <v>467</v>
      </c>
      <c r="C20" s="74">
        <v>3819409</v>
      </c>
      <c r="D20" s="57">
        <f>COUNTIF(F$26:I$178,"3819409")</f>
        <v>22</v>
      </c>
      <c r="E20" s="59"/>
      <c r="F20" s="57">
        <f>COUNTIF(F$26:F$178,"Timperley Development")</f>
        <v>11</v>
      </c>
      <c r="G20" s="15"/>
      <c r="H20" s="57">
        <f>COUNTIF(H$26:H$178,"Timperley Development")</f>
        <v>11</v>
      </c>
      <c r="I20" s="57">
        <f>COUNTIF(F$26:F$101,"Timperley Development")</f>
        <v>5</v>
      </c>
      <c r="J20" s="57">
        <f>COUNTIF(F$102:F$178,"Timperley Development")</f>
        <v>6</v>
      </c>
      <c r="K20" s="57">
        <f>COUNTIF(H$26:H$101,"Timperley Development")</f>
        <v>6</v>
      </c>
      <c r="L20" s="57">
        <f>COUNTIF(H$102:H$178,"Timperley Development")</f>
        <v>5</v>
      </c>
    </row>
    <row r="21" spans="1:12" x14ac:dyDescent="0.3">
      <c r="A21" s="47">
        <f>COUNTIF(F$26:H$178,"Wigan 2")</f>
        <v>22</v>
      </c>
      <c r="B21" s="3" t="s">
        <v>466</v>
      </c>
      <c r="C21" s="74">
        <v>3346707</v>
      </c>
      <c r="D21" s="57">
        <f>COUNTIF(F$26:I$178,"3346707")</f>
        <v>22</v>
      </c>
      <c r="E21" s="59"/>
      <c r="F21" s="57">
        <f>COUNTIF(F$26:F$178,"Wigan 2")</f>
        <v>11</v>
      </c>
      <c r="G21" s="15"/>
      <c r="H21" s="57">
        <f>COUNTIF(H$26:H$178,"Wigan 2")</f>
        <v>11</v>
      </c>
      <c r="I21" s="57">
        <f>COUNTIF(F$26:F$101,"Wigan 2")</f>
        <v>6</v>
      </c>
      <c r="J21" s="57">
        <f>COUNTIF(F$102:F$178,"Wigan 2")</f>
        <v>5</v>
      </c>
      <c r="K21" s="57">
        <f>COUNTIF(H$26:H$101,"Wigan 2")</f>
        <v>5</v>
      </c>
      <c r="L21" s="57">
        <f>COUNTIF(H$102:H$178,"Wigan 2")</f>
        <v>6</v>
      </c>
    </row>
    <row r="22" spans="1:12" x14ac:dyDescent="0.3">
      <c r="D22" s="59"/>
      <c r="E22" s="59"/>
      <c r="F22" s="59"/>
      <c r="G22" s="59"/>
      <c r="H22" s="59"/>
      <c r="I22" s="59"/>
      <c r="J22" s="59"/>
    </row>
    <row r="23" spans="1:12" ht="21" x14ac:dyDescent="0.4">
      <c r="B23" s="22" t="s">
        <v>93</v>
      </c>
      <c r="E23" s="59"/>
      <c r="F23" s="59"/>
      <c r="G23" s="59"/>
      <c r="H23" s="59"/>
      <c r="I23" s="59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6" spans="1:12" x14ac:dyDescent="0.3">
      <c r="B26" s="44">
        <v>45913</v>
      </c>
      <c r="C26" s="3" t="s">
        <v>416</v>
      </c>
      <c r="D26" s="3" t="s">
        <v>500</v>
      </c>
      <c r="E26" s="101"/>
      <c r="F26" s="3" t="s">
        <v>232</v>
      </c>
      <c r="G26" s="4">
        <v>3360507</v>
      </c>
      <c r="H26" s="4" t="s">
        <v>574</v>
      </c>
      <c r="I26" s="4">
        <v>3359606</v>
      </c>
      <c r="J26" s="4"/>
      <c r="K26" s="4"/>
    </row>
    <row r="27" spans="1:12" x14ac:dyDescent="0.3">
      <c r="B27" s="44">
        <v>45913</v>
      </c>
      <c r="C27" s="3" t="s">
        <v>416</v>
      </c>
      <c r="D27" s="3" t="s">
        <v>500</v>
      </c>
      <c r="E27" s="101"/>
      <c r="F27" s="3" t="s">
        <v>187</v>
      </c>
      <c r="G27" s="4">
        <v>3354101</v>
      </c>
      <c r="H27" s="4" t="s">
        <v>577</v>
      </c>
      <c r="I27" s="4" t="s">
        <v>556</v>
      </c>
    </row>
    <row r="28" spans="1:12" x14ac:dyDescent="0.3">
      <c r="B28" s="44">
        <v>45913</v>
      </c>
      <c r="C28" s="3" t="s">
        <v>416</v>
      </c>
      <c r="D28" s="3" t="s">
        <v>500</v>
      </c>
      <c r="E28" s="101"/>
      <c r="F28" s="3" t="s">
        <v>239</v>
      </c>
      <c r="G28" s="4">
        <v>3348809</v>
      </c>
      <c r="H28" s="4" t="s">
        <v>238</v>
      </c>
      <c r="I28" s="4">
        <v>3350105</v>
      </c>
    </row>
    <row r="29" spans="1:12" x14ac:dyDescent="0.3">
      <c r="B29" s="44">
        <v>45913</v>
      </c>
      <c r="C29" s="3" t="s">
        <v>416</v>
      </c>
      <c r="D29" s="3" t="s">
        <v>500</v>
      </c>
      <c r="E29" s="101"/>
      <c r="F29" s="3" t="s">
        <v>465</v>
      </c>
      <c r="G29" s="4">
        <v>3962207</v>
      </c>
      <c r="H29" s="4" t="s">
        <v>467</v>
      </c>
      <c r="I29" s="4">
        <v>3819409</v>
      </c>
    </row>
    <row r="30" spans="1:12" x14ac:dyDescent="0.3">
      <c r="B30" s="44">
        <v>45913</v>
      </c>
      <c r="C30" s="3" t="s">
        <v>416</v>
      </c>
      <c r="D30" s="3" t="s">
        <v>500</v>
      </c>
      <c r="E30" s="101"/>
      <c r="F30" s="3" t="s">
        <v>236</v>
      </c>
      <c r="G30" s="4">
        <v>3355704</v>
      </c>
      <c r="H30" s="4" t="s">
        <v>576</v>
      </c>
      <c r="I30" s="4">
        <v>4009003</v>
      </c>
    </row>
    <row r="31" spans="1:12" x14ac:dyDescent="0.3">
      <c r="B31" s="44">
        <v>45913</v>
      </c>
      <c r="C31" s="3" t="s">
        <v>416</v>
      </c>
      <c r="D31" s="3" t="s">
        <v>500</v>
      </c>
      <c r="E31" s="101"/>
      <c r="F31" s="3" t="s">
        <v>466</v>
      </c>
      <c r="G31" s="4">
        <v>3346707</v>
      </c>
      <c r="H31" s="4" t="s">
        <v>575</v>
      </c>
      <c r="I31" s="4">
        <v>3900005</v>
      </c>
    </row>
    <row r="32" spans="1:12" x14ac:dyDescent="0.3"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500</v>
      </c>
      <c r="E33" s="101"/>
      <c r="F33" s="3" t="s">
        <v>238</v>
      </c>
      <c r="G33" s="4">
        <v>3350105</v>
      </c>
      <c r="H33" s="4" t="s">
        <v>466</v>
      </c>
      <c r="I33" s="4">
        <v>3346707</v>
      </c>
    </row>
    <row r="34" spans="2:9" x14ac:dyDescent="0.3">
      <c r="B34" s="44">
        <v>45920</v>
      </c>
      <c r="C34" s="3" t="s">
        <v>416</v>
      </c>
      <c r="D34" s="3" t="s">
        <v>500</v>
      </c>
      <c r="E34" s="101"/>
      <c r="F34" s="3" t="s">
        <v>577</v>
      </c>
      <c r="G34" s="4" t="s">
        <v>556</v>
      </c>
      <c r="H34" s="4" t="s">
        <v>232</v>
      </c>
      <c r="I34" s="4">
        <v>3360507</v>
      </c>
    </row>
    <row r="35" spans="2:9" x14ac:dyDescent="0.3">
      <c r="B35" s="44">
        <v>45920</v>
      </c>
      <c r="C35" s="3" t="s">
        <v>416</v>
      </c>
      <c r="D35" s="3" t="s">
        <v>500</v>
      </c>
      <c r="E35" s="101"/>
      <c r="F35" s="3" t="s">
        <v>576</v>
      </c>
      <c r="G35" s="4">
        <v>4009003</v>
      </c>
      <c r="H35" s="4" t="s">
        <v>187</v>
      </c>
      <c r="I35" s="4">
        <v>3354101</v>
      </c>
    </row>
    <row r="36" spans="2:9" x14ac:dyDescent="0.3">
      <c r="B36" s="44">
        <v>45920</v>
      </c>
      <c r="C36" s="3" t="s">
        <v>416</v>
      </c>
      <c r="D36" s="3" t="s">
        <v>500</v>
      </c>
      <c r="E36" s="101"/>
      <c r="F36" s="3" t="s">
        <v>575</v>
      </c>
      <c r="G36" s="4">
        <v>3900005</v>
      </c>
      <c r="H36" s="4" t="s">
        <v>236</v>
      </c>
      <c r="I36" s="4">
        <v>3355704</v>
      </c>
    </row>
    <row r="37" spans="2:9" x14ac:dyDescent="0.3">
      <c r="B37" s="44">
        <v>45920</v>
      </c>
      <c r="C37" s="3" t="s">
        <v>416</v>
      </c>
      <c r="D37" s="3" t="s">
        <v>500</v>
      </c>
      <c r="E37" s="101"/>
      <c r="F37" s="3" t="s">
        <v>467</v>
      </c>
      <c r="G37" s="4">
        <v>3819409</v>
      </c>
      <c r="H37" s="4" t="s">
        <v>239</v>
      </c>
      <c r="I37" s="4">
        <v>3348809</v>
      </c>
    </row>
    <row r="38" spans="2:9" x14ac:dyDescent="0.3">
      <c r="B38" s="44">
        <v>45920</v>
      </c>
      <c r="C38" s="3" t="s">
        <v>416</v>
      </c>
      <c r="D38" s="3" t="s">
        <v>500</v>
      </c>
      <c r="E38" s="101"/>
      <c r="F38" s="3" t="s">
        <v>574</v>
      </c>
      <c r="G38" s="4">
        <v>3359606</v>
      </c>
      <c r="H38" s="4" t="s">
        <v>465</v>
      </c>
      <c r="I38" s="4">
        <v>3962207</v>
      </c>
    </row>
    <row r="39" spans="2:9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500</v>
      </c>
      <c r="E40" s="101"/>
      <c r="F40" s="3" t="s">
        <v>577</v>
      </c>
      <c r="G40" s="4" t="s">
        <v>556</v>
      </c>
      <c r="H40" s="4" t="s">
        <v>576</v>
      </c>
      <c r="I40" s="4">
        <v>4009003</v>
      </c>
    </row>
    <row r="41" spans="2:9" x14ac:dyDescent="0.3">
      <c r="B41" s="44">
        <v>45927</v>
      </c>
      <c r="C41" s="3" t="s">
        <v>416</v>
      </c>
      <c r="D41" s="3" t="s">
        <v>500</v>
      </c>
      <c r="E41" s="101"/>
      <c r="F41" s="3" t="s">
        <v>187</v>
      </c>
      <c r="G41" s="4">
        <v>3354101</v>
      </c>
      <c r="H41" s="4" t="s">
        <v>575</v>
      </c>
      <c r="I41" s="4">
        <v>3900005</v>
      </c>
    </row>
    <row r="42" spans="2:9" x14ac:dyDescent="0.3">
      <c r="B42" s="44">
        <v>45927</v>
      </c>
      <c r="C42" s="3" t="s">
        <v>416</v>
      </c>
      <c r="D42" s="3" t="s">
        <v>500</v>
      </c>
      <c r="E42" s="101"/>
      <c r="F42" s="3" t="s">
        <v>239</v>
      </c>
      <c r="G42" s="4">
        <v>3348809</v>
      </c>
      <c r="H42" s="4" t="s">
        <v>574</v>
      </c>
      <c r="I42" s="4">
        <v>3359606</v>
      </c>
    </row>
    <row r="43" spans="2:9" x14ac:dyDescent="0.3">
      <c r="B43" s="44">
        <v>45927</v>
      </c>
      <c r="C43" s="3" t="s">
        <v>416</v>
      </c>
      <c r="D43" s="3" t="s">
        <v>500</v>
      </c>
      <c r="E43" s="101"/>
      <c r="F43" s="3" t="s">
        <v>465</v>
      </c>
      <c r="G43" s="4">
        <v>3962207</v>
      </c>
      <c r="H43" s="4" t="s">
        <v>232</v>
      </c>
      <c r="I43" s="4">
        <v>3360507</v>
      </c>
    </row>
    <row r="44" spans="2:9" x14ac:dyDescent="0.3">
      <c r="B44" s="44">
        <v>45927</v>
      </c>
      <c r="C44" s="3" t="s">
        <v>416</v>
      </c>
      <c r="D44" s="3" t="s">
        <v>500</v>
      </c>
      <c r="E44" s="101"/>
      <c r="F44" s="3" t="s">
        <v>236</v>
      </c>
      <c r="G44" s="4">
        <v>3355704</v>
      </c>
      <c r="H44" s="4" t="s">
        <v>238</v>
      </c>
      <c r="I44" s="4">
        <v>3350105</v>
      </c>
    </row>
    <row r="45" spans="2:9" x14ac:dyDescent="0.3">
      <c r="B45" s="44">
        <v>45927</v>
      </c>
      <c r="C45" s="3" t="s">
        <v>416</v>
      </c>
      <c r="D45" s="3" t="s">
        <v>500</v>
      </c>
      <c r="E45" s="101"/>
      <c r="F45" s="3" t="s">
        <v>466</v>
      </c>
      <c r="G45" s="4">
        <v>3346707</v>
      </c>
      <c r="H45" s="4" t="s">
        <v>467</v>
      </c>
      <c r="I45" s="4">
        <v>3819409</v>
      </c>
    </row>
    <row r="46" spans="2:9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500</v>
      </c>
      <c r="E47" s="101"/>
      <c r="F47" s="3" t="s">
        <v>238</v>
      </c>
      <c r="G47" s="4">
        <v>3350105</v>
      </c>
      <c r="H47" s="4" t="s">
        <v>187</v>
      </c>
      <c r="I47" s="4">
        <v>3354101</v>
      </c>
    </row>
    <row r="48" spans="2:9" x14ac:dyDescent="0.3">
      <c r="B48" s="44">
        <v>45934</v>
      </c>
      <c r="C48" s="3" t="s">
        <v>416</v>
      </c>
      <c r="D48" s="3" t="s">
        <v>500</v>
      </c>
      <c r="E48" s="101"/>
      <c r="F48" s="3" t="s">
        <v>232</v>
      </c>
      <c r="G48" s="4">
        <v>3360507</v>
      </c>
      <c r="H48" s="4" t="s">
        <v>239</v>
      </c>
      <c r="I48" s="4">
        <v>3348809</v>
      </c>
    </row>
    <row r="49" spans="2:9" x14ac:dyDescent="0.3">
      <c r="B49" s="44">
        <v>45934</v>
      </c>
      <c r="C49" s="3" t="s">
        <v>416</v>
      </c>
      <c r="D49" s="3" t="s">
        <v>500</v>
      </c>
      <c r="E49" s="101"/>
      <c r="F49" s="3" t="s">
        <v>575</v>
      </c>
      <c r="G49" s="4">
        <v>3900005</v>
      </c>
      <c r="H49" s="4" t="s">
        <v>576</v>
      </c>
      <c r="I49" s="4">
        <v>4009003</v>
      </c>
    </row>
    <row r="50" spans="2:9" x14ac:dyDescent="0.3">
      <c r="B50" s="44">
        <v>45934</v>
      </c>
      <c r="C50" s="3" t="s">
        <v>416</v>
      </c>
      <c r="D50" s="3" t="s">
        <v>500</v>
      </c>
      <c r="E50" s="101"/>
      <c r="F50" s="3" t="s">
        <v>467</v>
      </c>
      <c r="G50" s="4">
        <v>3819409</v>
      </c>
      <c r="H50" s="4" t="s">
        <v>236</v>
      </c>
      <c r="I50" s="4">
        <v>3355704</v>
      </c>
    </row>
    <row r="51" spans="2:9" x14ac:dyDescent="0.3">
      <c r="B51" s="44">
        <v>45934</v>
      </c>
      <c r="C51" s="3" t="s">
        <v>416</v>
      </c>
      <c r="D51" s="3" t="s">
        <v>500</v>
      </c>
      <c r="E51" s="101"/>
      <c r="F51" s="3" t="s">
        <v>465</v>
      </c>
      <c r="G51" s="4">
        <v>3962207</v>
      </c>
      <c r="H51" s="4" t="s">
        <v>577</v>
      </c>
      <c r="I51" s="4" t="s">
        <v>556</v>
      </c>
    </row>
    <row r="52" spans="2:9" x14ac:dyDescent="0.3">
      <c r="B52" s="44">
        <v>45934</v>
      </c>
      <c r="C52" s="3" t="s">
        <v>416</v>
      </c>
      <c r="D52" s="3" t="s">
        <v>500</v>
      </c>
      <c r="E52" s="101"/>
      <c r="F52" s="3" t="s">
        <v>574</v>
      </c>
      <c r="G52" s="4">
        <v>3359606</v>
      </c>
      <c r="H52" s="4" t="s">
        <v>466</v>
      </c>
      <c r="I52" s="4">
        <v>3346707</v>
      </c>
    </row>
    <row r="53" spans="2:9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500</v>
      </c>
      <c r="E54" s="101"/>
      <c r="F54" s="3" t="s">
        <v>577</v>
      </c>
      <c r="G54" s="4" t="s">
        <v>556</v>
      </c>
      <c r="H54" s="4" t="s">
        <v>575</v>
      </c>
      <c r="I54" s="4">
        <v>3900005</v>
      </c>
    </row>
    <row r="55" spans="2:9" x14ac:dyDescent="0.3">
      <c r="B55" s="44">
        <v>45941</v>
      </c>
      <c r="C55" s="3" t="s">
        <v>416</v>
      </c>
      <c r="D55" s="3" t="s">
        <v>500</v>
      </c>
      <c r="E55" s="101"/>
      <c r="F55" s="3" t="s">
        <v>576</v>
      </c>
      <c r="G55" s="4">
        <v>4009003</v>
      </c>
      <c r="H55" s="4" t="s">
        <v>238</v>
      </c>
      <c r="I55" s="4">
        <v>3350105</v>
      </c>
    </row>
    <row r="56" spans="2:9" x14ac:dyDescent="0.3">
      <c r="B56" s="44">
        <v>45941</v>
      </c>
      <c r="C56" s="3" t="s">
        <v>416</v>
      </c>
      <c r="D56" s="3" t="s">
        <v>500</v>
      </c>
      <c r="E56" s="101"/>
      <c r="F56" s="3" t="s">
        <v>187</v>
      </c>
      <c r="G56" s="4">
        <v>3354101</v>
      </c>
      <c r="H56" s="4" t="s">
        <v>467</v>
      </c>
      <c r="I56" s="4">
        <v>3819409</v>
      </c>
    </row>
    <row r="57" spans="2:9" x14ac:dyDescent="0.3">
      <c r="B57" s="44">
        <v>45941</v>
      </c>
      <c r="C57" s="3" t="s">
        <v>416</v>
      </c>
      <c r="D57" s="3" t="s">
        <v>500</v>
      </c>
      <c r="E57" s="101"/>
      <c r="F57" s="3" t="s">
        <v>239</v>
      </c>
      <c r="G57" s="4">
        <v>3348809</v>
      </c>
      <c r="H57" s="4" t="s">
        <v>465</v>
      </c>
      <c r="I57" s="4">
        <v>3962207</v>
      </c>
    </row>
    <row r="58" spans="2:9" x14ac:dyDescent="0.3">
      <c r="B58" s="44">
        <v>45941</v>
      </c>
      <c r="C58" s="3" t="s">
        <v>416</v>
      </c>
      <c r="D58" s="3" t="s">
        <v>500</v>
      </c>
      <c r="E58" s="101"/>
      <c r="F58" s="3" t="s">
        <v>236</v>
      </c>
      <c r="G58" s="4">
        <v>3355704</v>
      </c>
      <c r="H58" s="4" t="s">
        <v>574</v>
      </c>
      <c r="I58" s="4">
        <v>3359606</v>
      </c>
    </row>
    <row r="59" spans="2:9" x14ac:dyDescent="0.3">
      <c r="B59" s="44">
        <v>45941</v>
      </c>
      <c r="C59" s="3" t="s">
        <v>416</v>
      </c>
      <c r="D59" s="3" t="s">
        <v>500</v>
      </c>
      <c r="E59" s="101"/>
      <c r="F59" s="3" t="s">
        <v>466</v>
      </c>
      <c r="G59" s="4">
        <v>3346707</v>
      </c>
      <c r="H59" s="4" t="s">
        <v>232</v>
      </c>
      <c r="I59" s="4">
        <v>3360507</v>
      </c>
    </row>
    <row r="60" spans="2:9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500</v>
      </c>
      <c r="E61" s="101"/>
      <c r="F61" s="3" t="s">
        <v>238</v>
      </c>
      <c r="G61" s="4">
        <v>3350105</v>
      </c>
      <c r="H61" s="4" t="s">
        <v>575</v>
      </c>
      <c r="I61" s="4">
        <v>3900005</v>
      </c>
    </row>
    <row r="62" spans="2:9" x14ac:dyDescent="0.3">
      <c r="B62" s="44">
        <v>45948</v>
      </c>
      <c r="C62" s="3" t="s">
        <v>416</v>
      </c>
      <c r="D62" s="3" t="s">
        <v>500</v>
      </c>
      <c r="E62" s="101"/>
      <c r="F62" s="3" t="s">
        <v>232</v>
      </c>
      <c r="G62" s="4">
        <v>3360507</v>
      </c>
      <c r="H62" s="4" t="s">
        <v>236</v>
      </c>
      <c r="I62" s="4">
        <v>3355704</v>
      </c>
    </row>
    <row r="63" spans="2:9" x14ac:dyDescent="0.3">
      <c r="B63" s="44">
        <v>45948</v>
      </c>
      <c r="C63" s="3" t="s">
        <v>416</v>
      </c>
      <c r="D63" s="3" t="s">
        <v>500</v>
      </c>
      <c r="E63" s="101"/>
      <c r="F63" s="3" t="s">
        <v>239</v>
      </c>
      <c r="G63" s="4">
        <v>3348809</v>
      </c>
      <c r="H63" s="4" t="s">
        <v>577</v>
      </c>
      <c r="I63" s="4" t="s">
        <v>556</v>
      </c>
    </row>
    <row r="64" spans="2:9" x14ac:dyDescent="0.3">
      <c r="B64" s="44">
        <v>45948</v>
      </c>
      <c r="C64" s="3" t="s">
        <v>416</v>
      </c>
      <c r="D64" s="3" t="s">
        <v>500</v>
      </c>
      <c r="E64" s="101"/>
      <c r="F64" s="3" t="s">
        <v>467</v>
      </c>
      <c r="G64" s="4">
        <v>3819409</v>
      </c>
      <c r="H64" s="4" t="s">
        <v>576</v>
      </c>
      <c r="I64" s="4">
        <v>4009003</v>
      </c>
    </row>
    <row r="65" spans="2:9" x14ac:dyDescent="0.3">
      <c r="B65" s="44">
        <v>45948</v>
      </c>
      <c r="C65" s="3" t="s">
        <v>416</v>
      </c>
      <c r="D65" s="3" t="s">
        <v>500</v>
      </c>
      <c r="E65" s="101"/>
      <c r="F65" s="3" t="s">
        <v>465</v>
      </c>
      <c r="G65" s="4">
        <v>3962207</v>
      </c>
      <c r="H65" s="4" t="s">
        <v>466</v>
      </c>
      <c r="I65" s="4">
        <v>3346707</v>
      </c>
    </row>
    <row r="66" spans="2:9" x14ac:dyDescent="0.3">
      <c r="B66" s="44">
        <v>45948</v>
      </c>
      <c r="C66" s="3" t="s">
        <v>416</v>
      </c>
      <c r="D66" s="3" t="s">
        <v>500</v>
      </c>
      <c r="E66" s="101"/>
      <c r="F66" s="3" t="s">
        <v>574</v>
      </c>
      <c r="G66" s="4">
        <v>3359606</v>
      </c>
      <c r="H66" s="4" t="s">
        <v>187</v>
      </c>
      <c r="I66" s="4">
        <v>3354101</v>
      </c>
    </row>
    <row r="67" spans="2:9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500</v>
      </c>
      <c r="E68" s="101"/>
      <c r="F68" s="3" t="s">
        <v>577</v>
      </c>
      <c r="G68" s="4" t="s">
        <v>556</v>
      </c>
      <c r="H68" s="4" t="s">
        <v>238</v>
      </c>
      <c r="I68" s="4">
        <v>3350105</v>
      </c>
    </row>
    <row r="69" spans="2:9" x14ac:dyDescent="0.3">
      <c r="B69" s="44">
        <v>45962</v>
      </c>
      <c r="C69" s="3" t="s">
        <v>416</v>
      </c>
      <c r="D69" s="3" t="s">
        <v>500</v>
      </c>
      <c r="E69" s="101"/>
      <c r="F69" s="3" t="s">
        <v>576</v>
      </c>
      <c r="G69" s="4">
        <v>4009003</v>
      </c>
      <c r="H69" s="4" t="s">
        <v>574</v>
      </c>
      <c r="I69" s="4">
        <v>3359606</v>
      </c>
    </row>
    <row r="70" spans="2:9" x14ac:dyDescent="0.3">
      <c r="B70" s="44">
        <v>45962</v>
      </c>
      <c r="C70" s="3" t="s">
        <v>416</v>
      </c>
      <c r="D70" s="3" t="s">
        <v>500</v>
      </c>
      <c r="E70" s="101"/>
      <c r="F70" s="3" t="s">
        <v>575</v>
      </c>
      <c r="G70" s="4">
        <v>3900005</v>
      </c>
      <c r="H70" s="4" t="s">
        <v>467</v>
      </c>
      <c r="I70" s="4">
        <v>3819409</v>
      </c>
    </row>
    <row r="71" spans="2:9" x14ac:dyDescent="0.3">
      <c r="B71" s="44">
        <v>45962</v>
      </c>
      <c r="C71" s="3" t="s">
        <v>416</v>
      </c>
      <c r="D71" s="3" t="s">
        <v>500</v>
      </c>
      <c r="E71" s="101"/>
      <c r="F71" s="3" t="s">
        <v>187</v>
      </c>
      <c r="G71" s="4">
        <v>3354101</v>
      </c>
      <c r="H71" s="4" t="s">
        <v>232</v>
      </c>
      <c r="I71" s="4">
        <v>3360507</v>
      </c>
    </row>
    <row r="72" spans="2:9" x14ac:dyDescent="0.3">
      <c r="B72" s="44">
        <v>45962</v>
      </c>
      <c r="C72" s="3" t="s">
        <v>416</v>
      </c>
      <c r="D72" s="3" t="s">
        <v>500</v>
      </c>
      <c r="E72" s="101"/>
      <c r="F72" s="3" t="s">
        <v>236</v>
      </c>
      <c r="G72" s="4">
        <v>3355704</v>
      </c>
      <c r="H72" s="4" t="s">
        <v>465</v>
      </c>
      <c r="I72" s="4">
        <v>3962207</v>
      </c>
    </row>
    <row r="73" spans="2:9" x14ac:dyDescent="0.3">
      <c r="B73" s="44">
        <v>45962</v>
      </c>
      <c r="C73" s="3" t="s">
        <v>416</v>
      </c>
      <c r="D73" s="3" t="s">
        <v>500</v>
      </c>
      <c r="E73" s="101"/>
      <c r="F73" s="3" t="s">
        <v>466</v>
      </c>
      <c r="G73" s="4">
        <v>3346707</v>
      </c>
      <c r="H73" s="4" t="s">
        <v>239</v>
      </c>
      <c r="I73" s="4">
        <v>3348809</v>
      </c>
    </row>
    <row r="74" spans="2:9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500</v>
      </c>
      <c r="E75" s="101"/>
      <c r="F75" s="3" t="s">
        <v>232</v>
      </c>
      <c r="G75" s="4">
        <v>3360507</v>
      </c>
      <c r="H75" s="4" t="s">
        <v>576</v>
      </c>
      <c r="I75" s="4">
        <v>4009003</v>
      </c>
    </row>
    <row r="76" spans="2:9" x14ac:dyDescent="0.3">
      <c r="B76" s="44">
        <v>45969</v>
      </c>
      <c r="C76" s="3" t="s">
        <v>416</v>
      </c>
      <c r="D76" s="3" t="s">
        <v>500</v>
      </c>
      <c r="E76" s="101"/>
      <c r="F76" s="3" t="s">
        <v>239</v>
      </c>
      <c r="G76" s="4">
        <v>3348809</v>
      </c>
      <c r="H76" s="4" t="s">
        <v>236</v>
      </c>
      <c r="I76" s="4">
        <v>3355704</v>
      </c>
    </row>
    <row r="77" spans="2:9" x14ac:dyDescent="0.3">
      <c r="B77" s="44">
        <v>45969</v>
      </c>
      <c r="C77" s="3" t="s">
        <v>416</v>
      </c>
      <c r="D77" s="3" t="s">
        <v>500</v>
      </c>
      <c r="E77" s="101"/>
      <c r="F77" s="3" t="s">
        <v>467</v>
      </c>
      <c r="G77" s="4">
        <v>3819409</v>
      </c>
      <c r="H77" s="4" t="s">
        <v>238</v>
      </c>
      <c r="I77" s="4">
        <v>3350105</v>
      </c>
    </row>
    <row r="78" spans="2:9" x14ac:dyDescent="0.3">
      <c r="B78" s="44">
        <v>45969</v>
      </c>
      <c r="C78" s="3" t="s">
        <v>416</v>
      </c>
      <c r="D78" s="3" t="s">
        <v>500</v>
      </c>
      <c r="E78" s="101"/>
      <c r="F78" s="3" t="s">
        <v>465</v>
      </c>
      <c r="G78" s="4">
        <v>3962207</v>
      </c>
      <c r="H78" s="4" t="s">
        <v>187</v>
      </c>
      <c r="I78" s="4">
        <v>3354101</v>
      </c>
    </row>
    <row r="79" spans="2:9" x14ac:dyDescent="0.3">
      <c r="B79" s="44">
        <v>45969</v>
      </c>
      <c r="C79" s="3" t="s">
        <v>416</v>
      </c>
      <c r="D79" s="3" t="s">
        <v>500</v>
      </c>
      <c r="E79" s="101"/>
      <c r="F79" s="3" t="s">
        <v>574</v>
      </c>
      <c r="G79" s="4">
        <v>3359606</v>
      </c>
      <c r="H79" s="4" t="s">
        <v>575</v>
      </c>
      <c r="I79" s="4">
        <v>3900005</v>
      </c>
    </row>
    <row r="80" spans="2:9" x14ac:dyDescent="0.3">
      <c r="B80" s="44">
        <v>45969</v>
      </c>
      <c r="C80" s="3" t="s">
        <v>416</v>
      </c>
      <c r="D80" s="3" t="s">
        <v>500</v>
      </c>
      <c r="E80" s="101"/>
      <c r="F80" s="3" t="s">
        <v>466</v>
      </c>
      <c r="G80" s="4">
        <v>3346707</v>
      </c>
      <c r="H80" s="4" t="s">
        <v>577</v>
      </c>
      <c r="I80" s="4" t="s">
        <v>556</v>
      </c>
    </row>
    <row r="81" spans="2:9" x14ac:dyDescent="0.3">
      <c r="B81" s="4"/>
      <c r="E81" s="101"/>
      <c r="G81" s="4"/>
      <c r="H81" s="4"/>
      <c r="I81" s="4"/>
    </row>
    <row r="82" spans="2:9" x14ac:dyDescent="0.3">
      <c r="B82" s="44">
        <v>45976</v>
      </c>
      <c r="C82" s="3" t="s">
        <v>416</v>
      </c>
      <c r="D82" s="3" t="s">
        <v>500</v>
      </c>
      <c r="E82" s="101"/>
      <c r="F82" s="3" t="s">
        <v>238</v>
      </c>
      <c r="G82" s="4">
        <v>3350105</v>
      </c>
      <c r="H82" s="4" t="s">
        <v>574</v>
      </c>
      <c r="I82" s="4">
        <v>3359606</v>
      </c>
    </row>
    <row r="83" spans="2:9" x14ac:dyDescent="0.3">
      <c r="B83" s="44">
        <v>45976</v>
      </c>
      <c r="C83" s="3" t="s">
        <v>416</v>
      </c>
      <c r="D83" s="3" t="s">
        <v>500</v>
      </c>
      <c r="E83" s="101"/>
      <c r="F83" s="3" t="s">
        <v>577</v>
      </c>
      <c r="G83" s="4" t="s">
        <v>556</v>
      </c>
      <c r="H83" s="4" t="s">
        <v>467</v>
      </c>
      <c r="I83" s="4">
        <v>3819409</v>
      </c>
    </row>
    <row r="84" spans="2:9" x14ac:dyDescent="0.3">
      <c r="B84" s="44">
        <v>45976</v>
      </c>
      <c r="C84" s="3" t="s">
        <v>416</v>
      </c>
      <c r="D84" s="3" t="s">
        <v>500</v>
      </c>
      <c r="E84" s="101"/>
      <c r="F84" s="3" t="s">
        <v>576</v>
      </c>
      <c r="G84" s="4">
        <v>4009003</v>
      </c>
      <c r="H84" s="4" t="s">
        <v>465</v>
      </c>
      <c r="I84" s="4">
        <v>3962207</v>
      </c>
    </row>
    <row r="85" spans="2:9" x14ac:dyDescent="0.3">
      <c r="B85" s="44">
        <v>45976</v>
      </c>
      <c r="C85" s="3" t="s">
        <v>416</v>
      </c>
      <c r="D85" s="3" t="s">
        <v>500</v>
      </c>
      <c r="E85" s="101"/>
      <c r="F85" s="3" t="s">
        <v>575</v>
      </c>
      <c r="G85" s="4">
        <v>3900005</v>
      </c>
      <c r="H85" s="4" t="s">
        <v>232</v>
      </c>
      <c r="I85" s="4">
        <v>3360507</v>
      </c>
    </row>
    <row r="86" spans="2:9" x14ac:dyDescent="0.3">
      <c r="B86" s="44">
        <v>45976</v>
      </c>
      <c r="C86" s="3" t="s">
        <v>416</v>
      </c>
      <c r="D86" s="3" t="s">
        <v>500</v>
      </c>
      <c r="E86" s="101"/>
      <c r="F86" s="3" t="s">
        <v>187</v>
      </c>
      <c r="G86" s="4">
        <v>3354101</v>
      </c>
      <c r="H86" s="4" t="s">
        <v>239</v>
      </c>
      <c r="I86" s="4">
        <v>3348809</v>
      </c>
    </row>
    <row r="87" spans="2:9" x14ac:dyDescent="0.3">
      <c r="B87" s="44">
        <v>45976</v>
      </c>
      <c r="C87" s="3" t="s">
        <v>416</v>
      </c>
      <c r="D87" s="3" t="s">
        <v>500</v>
      </c>
      <c r="E87" s="101"/>
      <c r="F87" s="3" t="s">
        <v>236</v>
      </c>
      <c r="G87" s="4">
        <v>3355704</v>
      </c>
      <c r="H87" s="4" t="s">
        <v>466</v>
      </c>
      <c r="I87" s="4">
        <v>3346707</v>
      </c>
    </row>
    <row r="88" spans="2:9" x14ac:dyDescent="0.3">
      <c r="B88" s="4"/>
      <c r="E88" s="101"/>
      <c r="G88" s="4"/>
      <c r="H88" s="4"/>
      <c r="I88" s="4"/>
    </row>
    <row r="89" spans="2:9" x14ac:dyDescent="0.3">
      <c r="B89" s="44">
        <v>45983</v>
      </c>
      <c r="C89" s="3" t="s">
        <v>416</v>
      </c>
      <c r="D89" s="3" t="s">
        <v>500</v>
      </c>
      <c r="E89" s="101"/>
      <c r="F89" s="3" t="s">
        <v>466</v>
      </c>
      <c r="G89" s="4">
        <v>3346707</v>
      </c>
      <c r="H89" s="4" t="s">
        <v>187</v>
      </c>
      <c r="I89" s="4">
        <v>3354101</v>
      </c>
    </row>
    <row r="90" spans="2:9" x14ac:dyDescent="0.3">
      <c r="B90" s="44">
        <v>45983</v>
      </c>
      <c r="C90" s="3" t="s">
        <v>416</v>
      </c>
      <c r="D90" s="3" t="s">
        <v>500</v>
      </c>
      <c r="E90" s="101"/>
      <c r="F90" s="3" t="s">
        <v>232</v>
      </c>
      <c r="G90" s="4">
        <v>3360507</v>
      </c>
      <c r="H90" s="4" t="s">
        <v>238</v>
      </c>
      <c r="I90" s="4">
        <v>3350105</v>
      </c>
    </row>
    <row r="91" spans="2:9" x14ac:dyDescent="0.3">
      <c r="B91" s="44">
        <v>45983</v>
      </c>
      <c r="C91" s="3" t="s">
        <v>416</v>
      </c>
      <c r="D91" s="3" t="s">
        <v>500</v>
      </c>
      <c r="E91" s="101"/>
      <c r="F91" s="3" t="s">
        <v>239</v>
      </c>
      <c r="G91" s="4">
        <v>3348809</v>
      </c>
      <c r="H91" s="4" t="s">
        <v>576</v>
      </c>
      <c r="I91" s="4">
        <v>4009003</v>
      </c>
    </row>
    <row r="92" spans="2:9" x14ac:dyDescent="0.3">
      <c r="B92" s="44">
        <v>45983</v>
      </c>
      <c r="C92" s="3" t="s">
        <v>416</v>
      </c>
      <c r="D92" s="3" t="s">
        <v>500</v>
      </c>
      <c r="E92" s="101"/>
      <c r="F92" s="3" t="s">
        <v>465</v>
      </c>
      <c r="G92" s="4">
        <v>3962207</v>
      </c>
      <c r="H92" s="4" t="s">
        <v>575</v>
      </c>
      <c r="I92" s="4">
        <v>3900005</v>
      </c>
    </row>
    <row r="93" spans="2:9" x14ac:dyDescent="0.3">
      <c r="B93" s="44">
        <v>45983</v>
      </c>
      <c r="C93" s="3" t="s">
        <v>416</v>
      </c>
      <c r="D93" s="3" t="s">
        <v>500</v>
      </c>
      <c r="E93" s="101"/>
      <c r="F93" s="3" t="s">
        <v>574</v>
      </c>
      <c r="G93" s="4">
        <v>3359606</v>
      </c>
      <c r="H93" s="4" t="s">
        <v>467</v>
      </c>
      <c r="I93" s="4">
        <v>3819409</v>
      </c>
    </row>
    <row r="94" spans="2:9" x14ac:dyDescent="0.3">
      <c r="B94" s="44">
        <v>45983</v>
      </c>
      <c r="C94" s="3" t="s">
        <v>416</v>
      </c>
      <c r="D94" s="3" t="s">
        <v>500</v>
      </c>
      <c r="E94" s="101"/>
      <c r="F94" s="3" t="s">
        <v>236</v>
      </c>
      <c r="G94" s="4">
        <v>3355704</v>
      </c>
      <c r="H94" s="4" t="s">
        <v>577</v>
      </c>
      <c r="I94" s="4" t="s">
        <v>556</v>
      </c>
    </row>
    <row r="95" spans="2:9" x14ac:dyDescent="0.3">
      <c r="B95" s="4"/>
      <c r="E95" s="101"/>
      <c r="G95" s="4"/>
      <c r="H95" s="4"/>
      <c r="I95" s="4"/>
    </row>
    <row r="96" spans="2:9" x14ac:dyDescent="0.3">
      <c r="B96" s="44">
        <v>45990</v>
      </c>
      <c r="C96" s="3" t="s">
        <v>416</v>
      </c>
      <c r="D96" s="3" t="s">
        <v>500</v>
      </c>
      <c r="E96" s="101"/>
      <c r="F96" s="3" t="s">
        <v>467</v>
      </c>
      <c r="G96" s="4">
        <v>3819409</v>
      </c>
      <c r="H96" s="4" t="s">
        <v>232</v>
      </c>
      <c r="I96" s="4">
        <v>3360507</v>
      </c>
    </row>
    <row r="97" spans="2:9" x14ac:dyDescent="0.3">
      <c r="B97" s="44">
        <v>45990</v>
      </c>
      <c r="C97" s="3" t="s">
        <v>416</v>
      </c>
      <c r="D97" s="3" t="s">
        <v>500</v>
      </c>
      <c r="E97" s="101"/>
      <c r="F97" s="3" t="s">
        <v>238</v>
      </c>
      <c r="G97" s="4">
        <v>3350105</v>
      </c>
      <c r="H97" s="4" t="s">
        <v>465</v>
      </c>
      <c r="I97" s="4">
        <v>3962207</v>
      </c>
    </row>
    <row r="98" spans="2:9" x14ac:dyDescent="0.3">
      <c r="B98" s="44">
        <v>45990</v>
      </c>
      <c r="C98" s="3" t="s">
        <v>416</v>
      </c>
      <c r="D98" s="3" t="s">
        <v>500</v>
      </c>
      <c r="E98" s="101"/>
      <c r="F98" s="3" t="s">
        <v>577</v>
      </c>
      <c r="G98" s="4" t="s">
        <v>556</v>
      </c>
      <c r="H98" s="4" t="s">
        <v>574</v>
      </c>
      <c r="I98" s="4">
        <v>3359606</v>
      </c>
    </row>
    <row r="99" spans="2:9" x14ac:dyDescent="0.3">
      <c r="B99" s="44">
        <v>45990</v>
      </c>
      <c r="C99" s="3" t="s">
        <v>416</v>
      </c>
      <c r="D99" s="3" t="s">
        <v>500</v>
      </c>
      <c r="E99" s="101"/>
      <c r="F99" s="3" t="s">
        <v>576</v>
      </c>
      <c r="G99" s="4">
        <v>4009003</v>
      </c>
      <c r="H99" s="4" t="s">
        <v>466</v>
      </c>
      <c r="I99" s="4">
        <v>3346707</v>
      </c>
    </row>
    <row r="100" spans="2:9" x14ac:dyDescent="0.3">
      <c r="B100" s="44">
        <v>45990</v>
      </c>
      <c r="C100" s="3" t="s">
        <v>416</v>
      </c>
      <c r="D100" s="3" t="s">
        <v>500</v>
      </c>
      <c r="E100" s="101"/>
      <c r="F100" s="3" t="s">
        <v>575</v>
      </c>
      <c r="G100" s="4">
        <v>3900005</v>
      </c>
      <c r="H100" s="4" t="s">
        <v>239</v>
      </c>
      <c r="I100" s="4">
        <v>3348809</v>
      </c>
    </row>
    <row r="101" spans="2:9" x14ac:dyDescent="0.3">
      <c r="B101" s="44">
        <v>45990</v>
      </c>
      <c r="C101" s="3" t="s">
        <v>416</v>
      </c>
      <c r="D101" s="3" t="s">
        <v>500</v>
      </c>
      <c r="E101" s="101"/>
      <c r="F101" s="3" t="s">
        <v>187</v>
      </c>
      <c r="G101" s="4">
        <v>3354101</v>
      </c>
      <c r="H101" s="4" t="s">
        <v>236</v>
      </c>
      <c r="I101" s="4">
        <v>3355704</v>
      </c>
    </row>
    <row r="102" spans="2:9" x14ac:dyDescent="0.3">
      <c r="B102" s="4"/>
      <c r="E102" s="101"/>
      <c r="G102" s="4"/>
      <c r="H102" s="4"/>
      <c r="I102" s="4"/>
    </row>
    <row r="103" spans="2:9" x14ac:dyDescent="0.3">
      <c r="B103" s="44">
        <v>46032</v>
      </c>
      <c r="C103" s="3" t="s">
        <v>416</v>
      </c>
      <c r="D103" s="3" t="s">
        <v>500</v>
      </c>
      <c r="E103" s="101"/>
      <c r="F103" s="3" t="s">
        <v>574</v>
      </c>
      <c r="G103" s="4">
        <v>3359606</v>
      </c>
      <c r="H103" s="4" t="s">
        <v>232</v>
      </c>
      <c r="I103" s="4">
        <v>3360507</v>
      </c>
    </row>
    <row r="104" spans="2:9" x14ac:dyDescent="0.3">
      <c r="B104" s="44">
        <v>46032</v>
      </c>
      <c r="C104" s="3" t="s">
        <v>416</v>
      </c>
      <c r="D104" s="3" t="s">
        <v>500</v>
      </c>
      <c r="E104" s="101"/>
      <c r="F104" s="3" t="s">
        <v>238</v>
      </c>
      <c r="G104" s="4">
        <v>3350105</v>
      </c>
      <c r="H104" s="4" t="s">
        <v>239</v>
      </c>
      <c r="I104" s="4">
        <v>3348809</v>
      </c>
    </row>
    <row r="105" spans="2:9" x14ac:dyDescent="0.3">
      <c r="B105" s="44">
        <v>46032</v>
      </c>
      <c r="C105" s="3" t="s">
        <v>416</v>
      </c>
      <c r="D105" s="3" t="s">
        <v>500</v>
      </c>
      <c r="E105" s="101"/>
      <c r="F105" s="3" t="s">
        <v>577</v>
      </c>
      <c r="G105" s="4" t="s">
        <v>556</v>
      </c>
      <c r="H105" s="4" t="s">
        <v>187</v>
      </c>
      <c r="I105" s="4">
        <v>3354101</v>
      </c>
    </row>
    <row r="106" spans="2:9" x14ac:dyDescent="0.3">
      <c r="B106" s="44">
        <v>46032</v>
      </c>
      <c r="C106" s="3" t="s">
        <v>416</v>
      </c>
      <c r="D106" s="3" t="s">
        <v>500</v>
      </c>
      <c r="E106" s="101"/>
      <c r="F106" s="3" t="s">
        <v>576</v>
      </c>
      <c r="G106" s="4">
        <v>4009003</v>
      </c>
      <c r="H106" s="4" t="s">
        <v>236</v>
      </c>
      <c r="I106" s="4">
        <v>3355704</v>
      </c>
    </row>
    <row r="107" spans="2:9" x14ac:dyDescent="0.3">
      <c r="B107" s="44">
        <v>46032</v>
      </c>
      <c r="C107" s="3" t="s">
        <v>416</v>
      </c>
      <c r="D107" s="3" t="s">
        <v>500</v>
      </c>
      <c r="E107" s="101"/>
      <c r="F107" s="3" t="s">
        <v>575</v>
      </c>
      <c r="G107" s="4">
        <v>3900005</v>
      </c>
      <c r="H107" s="4" t="s">
        <v>466</v>
      </c>
      <c r="I107" s="4">
        <v>3346707</v>
      </c>
    </row>
    <row r="108" spans="2:9" x14ac:dyDescent="0.3">
      <c r="B108" s="44">
        <v>46032</v>
      </c>
      <c r="C108" s="3" t="s">
        <v>416</v>
      </c>
      <c r="D108" s="3" t="s">
        <v>500</v>
      </c>
      <c r="E108" s="101"/>
      <c r="F108" s="3" t="s">
        <v>467</v>
      </c>
      <c r="G108" s="4">
        <v>3819409</v>
      </c>
      <c r="H108" s="4" t="s">
        <v>465</v>
      </c>
      <c r="I108" s="4">
        <v>3962207</v>
      </c>
    </row>
    <row r="109" spans="2:9" x14ac:dyDescent="0.3">
      <c r="B109" s="4"/>
      <c r="E109" s="101"/>
      <c r="G109" s="4"/>
      <c r="H109" s="4"/>
      <c r="I109" s="4"/>
    </row>
    <row r="110" spans="2:9" x14ac:dyDescent="0.3">
      <c r="B110" s="44">
        <v>46039</v>
      </c>
      <c r="C110" s="3" t="s">
        <v>416</v>
      </c>
      <c r="D110" s="3" t="s">
        <v>500</v>
      </c>
      <c r="E110" s="101"/>
      <c r="F110" s="3" t="s">
        <v>466</v>
      </c>
      <c r="G110" s="4">
        <v>3346707</v>
      </c>
      <c r="H110" s="4" t="s">
        <v>238</v>
      </c>
      <c r="I110" s="4">
        <v>3350105</v>
      </c>
    </row>
    <row r="111" spans="2:9" x14ac:dyDescent="0.3">
      <c r="B111" s="44">
        <v>46039</v>
      </c>
      <c r="C111" s="3" t="s">
        <v>416</v>
      </c>
      <c r="D111" s="3" t="s">
        <v>500</v>
      </c>
      <c r="E111" s="101"/>
      <c r="F111" s="3" t="s">
        <v>232</v>
      </c>
      <c r="G111" s="4">
        <v>3360507</v>
      </c>
      <c r="H111" s="4" t="s">
        <v>577</v>
      </c>
      <c r="I111" s="4" t="s">
        <v>556</v>
      </c>
    </row>
    <row r="112" spans="2:9" x14ac:dyDescent="0.3">
      <c r="B112" s="44">
        <v>46039</v>
      </c>
      <c r="C112" s="3" t="s">
        <v>416</v>
      </c>
      <c r="D112" s="3" t="s">
        <v>500</v>
      </c>
      <c r="E112" s="101"/>
      <c r="F112" s="3" t="s">
        <v>187</v>
      </c>
      <c r="G112" s="4">
        <v>3354101</v>
      </c>
      <c r="H112" s="4" t="s">
        <v>576</v>
      </c>
      <c r="I112" s="4">
        <v>4009003</v>
      </c>
    </row>
    <row r="113" spans="2:9" x14ac:dyDescent="0.3">
      <c r="B113" s="44">
        <v>46039</v>
      </c>
      <c r="C113" s="3" t="s">
        <v>416</v>
      </c>
      <c r="D113" s="3" t="s">
        <v>500</v>
      </c>
      <c r="E113" s="101"/>
      <c r="F113" s="3" t="s">
        <v>239</v>
      </c>
      <c r="G113" s="4">
        <v>3348809</v>
      </c>
      <c r="H113" s="4" t="s">
        <v>467</v>
      </c>
      <c r="I113" s="4">
        <v>3819409</v>
      </c>
    </row>
    <row r="114" spans="2:9" x14ac:dyDescent="0.3">
      <c r="B114" s="44">
        <v>46039</v>
      </c>
      <c r="C114" s="3" t="s">
        <v>416</v>
      </c>
      <c r="D114" s="3" t="s">
        <v>500</v>
      </c>
      <c r="E114" s="101"/>
      <c r="F114" s="3" t="s">
        <v>465</v>
      </c>
      <c r="G114" s="4">
        <v>3962207</v>
      </c>
      <c r="H114" s="4" t="s">
        <v>574</v>
      </c>
      <c r="I114" s="4">
        <v>3359606</v>
      </c>
    </row>
    <row r="115" spans="2:9" x14ac:dyDescent="0.3">
      <c r="B115" s="44">
        <v>46039</v>
      </c>
      <c r="C115" s="3" t="s">
        <v>416</v>
      </c>
      <c r="D115" s="3" t="s">
        <v>500</v>
      </c>
      <c r="E115" s="101"/>
      <c r="F115" s="3" t="s">
        <v>236</v>
      </c>
      <c r="G115" s="4">
        <v>3355704</v>
      </c>
      <c r="H115" s="4" t="s">
        <v>575</v>
      </c>
      <c r="I115" s="4">
        <v>3900005</v>
      </c>
    </row>
    <row r="116" spans="2:9" x14ac:dyDescent="0.3">
      <c r="B116" s="4"/>
      <c r="E116" s="101"/>
      <c r="G116" s="4"/>
      <c r="H116" s="4"/>
      <c r="I116" s="4"/>
    </row>
    <row r="117" spans="2:9" x14ac:dyDescent="0.3">
      <c r="B117" s="44">
        <v>46046</v>
      </c>
      <c r="C117" s="3" t="s">
        <v>416</v>
      </c>
      <c r="D117" s="3" t="s">
        <v>500</v>
      </c>
      <c r="E117" s="101"/>
      <c r="F117" s="3" t="s">
        <v>574</v>
      </c>
      <c r="G117" s="4">
        <v>3359606</v>
      </c>
      <c r="H117" s="4" t="s">
        <v>239</v>
      </c>
      <c r="I117" s="4">
        <v>3348809</v>
      </c>
    </row>
    <row r="118" spans="2:9" x14ac:dyDescent="0.3">
      <c r="B118" s="44">
        <v>46046</v>
      </c>
      <c r="C118" s="3" t="s">
        <v>416</v>
      </c>
      <c r="D118" s="3" t="s">
        <v>500</v>
      </c>
      <c r="E118" s="101"/>
      <c r="F118" s="3" t="s">
        <v>238</v>
      </c>
      <c r="G118" s="4">
        <v>3350105</v>
      </c>
      <c r="H118" s="4" t="s">
        <v>236</v>
      </c>
      <c r="I118" s="4">
        <v>3355704</v>
      </c>
    </row>
    <row r="119" spans="2:9" x14ac:dyDescent="0.3">
      <c r="B119" s="44">
        <v>46046</v>
      </c>
      <c r="C119" s="3" t="s">
        <v>416</v>
      </c>
      <c r="D119" s="3" t="s">
        <v>500</v>
      </c>
      <c r="E119" s="101"/>
      <c r="F119" s="3" t="s">
        <v>232</v>
      </c>
      <c r="G119" s="4">
        <v>3360507</v>
      </c>
      <c r="H119" s="4" t="s">
        <v>465</v>
      </c>
      <c r="I119" s="4">
        <v>3962207</v>
      </c>
    </row>
    <row r="120" spans="2:9" x14ac:dyDescent="0.3">
      <c r="B120" s="44">
        <v>46046</v>
      </c>
      <c r="C120" s="3" t="s">
        <v>416</v>
      </c>
      <c r="D120" s="3" t="s">
        <v>500</v>
      </c>
      <c r="E120" s="101"/>
      <c r="F120" s="3" t="s">
        <v>576</v>
      </c>
      <c r="G120" s="4">
        <v>4009003</v>
      </c>
      <c r="H120" s="4" t="s">
        <v>577</v>
      </c>
      <c r="I120" s="4" t="s">
        <v>556</v>
      </c>
    </row>
    <row r="121" spans="2:9" x14ac:dyDescent="0.3">
      <c r="B121" s="44">
        <v>46046</v>
      </c>
      <c r="C121" s="3" t="s">
        <v>416</v>
      </c>
      <c r="D121" s="3" t="s">
        <v>500</v>
      </c>
      <c r="E121" s="101"/>
      <c r="F121" s="3" t="s">
        <v>575</v>
      </c>
      <c r="G121" s="4">
        <v>3900005</v>
      </c>
      <c r="H121" s="4" t="s">
        <v>187</v>
      </c>
      <c r="I121" s="4">
        <v>3354101</v>
      </c>
    </row>
    <row r="122" spans="2:9" x14ac:dyDescent="0.3">
      <c r="B122" s="44">
        <v>46046</v>
      </c>
      <c r="C122" s="3" t="s">
        <v>416</v>
      </c>
      <c r="D122" s="3" t="s">
        <v>500</v>
      </c>
      <c r="E122" s="101"/>
      <c r="F122" s="3" t="s">
        <v>467</v>
      </c>
      <c r="G122" s="4">
        <v>3819409</v>
      </c>
      <c r="H122" s="4" t="s">
        <v>466</v>
      </c>
      <c r="I122" s="4">
        <v>3346707</v>
      </c>
    </row>
    <row r="123" spans="2:9" x14ac:dyDescent="0.3">
      <c r="B123" s="4"/>
      <c r="E123" s="101"/>
      <c r="G123" s="4"/>
      <c r="H123" s="4"/>
      <c r="I123" s="4"/>
    </row>
    <row r="124" spans="2:9" x14ac:dyDescent="0.3">
      <c r="B124" s="44">
        <v>46053</v>
      </c>
      <c r="C124" s="3" t="s">
        <v>416</v>
      </c>
      <c r="D124" s="3" t="s">
        <v>500</v>
      </c>
      <c r="E124" s="101"/>
      <c r="F124" s="3" t="s">
        <v>466</v>
      </c>
      <c r="G124" s="4">
        <v>3346707</v>
      </c>
      <c r="H124" s="4" t="s">
        <v>574</v>
      </c>
      <c r="I124" s="4">
        <v>3359606</v>
      </c>
    </row>
    <row r="125" spans="2:9" x14ac:dyDescent="0.3">
      <c r="B125" s="44">
        <v>46053</v>
      </c>
      <c r="C125" s="3" t="s">
        <v>416</v>
      </c>
      <c r="D125" s="3" t="s">
        <v>500</v>
      </c>
      <c r="E125" s="101"/>
      <c r="F125" s="3" t="s">
        <v>577</v>
      </c>
      <c r="G125" s="4" t="s">
        <v>556</v>
      </c>
      <c r="H125" s="4" t="s">
        <v>465</v>
      </c>
      <c r="I125" s="4">
        <v>3962207</v>
      </c>
    </row>
    <row r="126" spans="2:9" x14ac:dyDescent="0.3">
      <c r="B126" s="44">
        <v>46053</v>
      </c>
      <c r="C126" s="3" t="s">
        <v>416</v>
      </c>
      <c r="D126" s="3" t="s">
        <v>500</v>
      </c>
      <c r="E126" s="101"/>
      <c r="F126" s="3" t="s">
        <v>576</v>
      </c>
      <c r="G126" s="4">
        <v>4009003</v>
      </c>
      <c r="H126" s="4" t="s">
        <v>575</v>
      </c>
      <c r="I126" s="4">
        <v>3900005</v>
      </c>
    </row>
    <row r="127" spans="2:9" x14ac:dyDescent="0.3">
      <c r="B127" s="44">
        <v>46053</v>
      </c>
      <c r="C127" s="3" t="s">
        <v>416</v>
      </c>
      <c r="D127" s="3" t="s">
        <v>500</v>
      </c>
      <c r="E127" s="101"/>
      <c r="F127" s="3" t="s">
        <v>187</v>
      </c>
      <c r="G127" s="4">
        <v>3354101</v>
      </c>
      <c r="H127" s="4" t="s">
        <v>238</v>
      </c>
      <c r="I127" s="4">
        <v>3350105</v>
      </c>
    </row>
    <row r="128" spans="2:9" x14ac:dyDescent="0.3">
      <c r="B128" s="44">
        <v>46053</v>
      </c>
      <c r="C128" s="3" t="s">
        <v>416</v>
      </c>
      <c r="D128" s="3" t="s">
        <v>500</v>
      </c>
      <c r="E128" s="101"/>
      <c r="F128" s="3" t="s">
        <v>239</v>
      </c>
      <c r="G128" s="4">
        <v>3348809</v>
      </c>
      <c r="H128" s="4" t="s">
        <v>232</v>
      </c>
      <c r="I128" s="4">
        <v>3360507</v>
      </c>
    </row>
    <row r="129" spans="2:9" x14ac:dyDescent="0.3">
      <c r="B129" s="44">
        <v>46053</v>
      </c>
      <c r="C129" s="3" t="s">
        <v>416</v>
      </c>
      <c r="D129" s="3" t="s">
        <v>500</v>
      </c>
      <c r="E129" s="101"/>
      <c r="F129" s="3" t="s">
        <v>236</v>
      </c>
      <c r="G129" s="4">
        <v>3355704</v>
      </c>
      <c r="H129" s="4" t="s">
        <v>467</v>
      </c>
      <c r="I129" s="4">
        <v>3819409</v>
      </c>
    </row>
    <row r="130" spans="2:9" x14ac:dyDescent="0.3">
      <c r="B130" s="4"/>
      <c r="E130" s="101"/>
      <c r="G130" s="4"/>
      <c r="H130" s="4"/>
      <c r="I130" s="4"/>
    </row>
    <row r="131" spans="2:9" x14ac:dyDescent="0.3">
      <c r="B131" s="44">
        <v>46060</v>
      </c>
      <c r="C131" s="3" t="s">
        <v>416</v>
      </c>
      <c r="D131" s="3" t="s">
        <v>500</v>
      </c>
      <c r="E131" s="101"/>
      <c r="F131" s="3" t="s">
        <v>574</v>
      </c>
      <c r="G131" s="4">
        <v>3359606</v>
      </c>
      <c r="H131" s="4" t="s">
        <v>236</v>
      </c>
      <c r="I131" s="4">
        <v>3355704</v>
      </c>
    </row>
    <row r="132" spans="2:9" x14ac:dyDescent="0.3">
      <c r="B132" s="44">
        <v>46060</v>
      </c>
      <c r="C132" s="3" t="s">
        <v>416</v>
      </c>
      <c r="D132" s="3" t="s">
        <v>500</v>
      </c>
      <c r="E132" s="101"/>
      <c r="F132" s="3" t="s">
        <v>238</v>
      </c>
      <c r="G132" s="4">
        <v>3350105</v>
      </c>
      <c r="H132" s="4" t="s">
        <v>576</v>
      </c>
      <c r="I132" s="4">
        <v>4009003</v>
      </c>
    </row>
    <row r="133" spans="2:9" x14ac:dyDescent="0.3">
      <c r="B133" s="44">
        <v>46060</v>
      </c>
      <c r="C133" s="3" t="s">
        <v>416</v>
      </c>
      <c r="D133" s="3" t="s">
        <v>500</v>
      </c>
      <c r="E133" s="101"/>
      <c r="F133" s="3" t="s">
        <v>232</v>
      </c>
      <c r="G133" s="4">
        <v>3360507</v>
      </c>
      <c r="H133" s="4" t="s">
        <v>466</v>
      </c>
      <c r="I133" s="4">
        <v>3346707</v>
      </c>
    </row>
    <row r="134" spans="2:9" x14ac:dyDescent="0.3">
      <c r="B134" s="44">
        <v>46060</v>
      </c>
      <c r="C134" s="3" t="s">
        <v>416</v>
      </c>
      <c r="D134" s="3" t="s">
        <v>500</v>
      </c>
      <c r="E134" s="101"/>
      <c r="F134" s="3" t="s">
        <v>575</v>
      </c>
      <c r="G134" s="4">
        <v>3900005</v>
      </c>
      <c r="H134" s="4" t="s">
        <v>577</v>
      </c>
      <c r="I134" s="4" t="s">
        <v>556</v>
      </c>
    </row>
    <row r="135" spans="2:9" x14ac:dyDescent="0.3">
      <c r="B135" s="44">
        <v>46060</v>
      </c>
      <c r="C135" s="3" t="s">
        <v>416</v>
      </c>
      <c r="D135" s="3" t="s">
        <v>500</v>
      </c>
      <c r="E135" s="101"/>
      <c r="F135" s="3" t="s">
        <v>467</v>
      </c>
      <c r="G135" s="4">
        <v>3819409</v>
      </c>
      <c r="H135" s="4" t="s">
        <v>187</v>
      </c>
      <c r="I135" s="4">
        <v>3354101</v>
      </c>
    </row>
    <row r="136" spans="2:9" x14ac:dyDescent="0.3">
      <c r="B136" s="44">
        <v>46060</v>
      </c>
      <c r="C136" s="3" t="s">
        <v>416</v>
      </c>
      <c r="D136" s="3" t="s">
        <v>500</v>
      </c>
      <c r="E136" s="101"/>
      <c r="F136" s="3" t="s">
        <v>465</v>
      </c>
      <c r="G136" s="4">
        <v>3962207</v>
      </c>
      <c r="H136" s="4" t="s">
        <v>239</v>
      </c>
      <c r="I136" s="4">
        <v>3348809</v>
      </c>
    </row>
    <row r="137" spans="2:9" x14ac:dyDescent="0.3">
      <c r="B137" s="4"/>
      <c r="E137" s="101"/>
      <c r="G137" s="4"/>
      <c r="H137" s="4"/>
      <c r="I137" s="4"/>
    </row>
    <row r="138" spans="2:9" x14ac:dyDescent="0.3">
      <c r="B138" s="44">
        <v>46074</v>
      </c>
      <c r="C138" s="3" t="s">
        <v>416</v>
      </c>
      <c r="D138" s="3" t="s">
        <v>500</v>
      </c>
      <c r="E138" s="101"/>
      <c r="F138" s="3" t="s">
        <v>466</v>
      </c>
      <c r="G138" s="4">
        <v>3346707</v>
      </c>
      <c r="H138" s="4" t="s">
        <v>465</v>
      </c>
      <c r="I138" s="4">
        <v>3962207</v>
      </c>
    </row>
    <row r="139" spans="2:9" x14ac:dyDescent="0.3">
      <c r="B139" s="44">
        <v>46074</v>
      </c>
      <c r="C139" s="3" t="s">
        <v>416</v>
      </c>
      <c r="D139" s="3" t="s">
        <v>500</v>
      </c>
      <c r="E139" s="101"/>
      <c r="F139" s="3" t="s">
        <v>577</v>
      </c>
      <c r="G139" s="4" t="s">
        <v>556</v>
      </c>
      <c r="H139" s="4" t="s">
        <v>239</v>
      </c>
      <c r="I139" s="4">
        <v>3348809</v>
      </c>
    </row>
    <row r="140" spans="2:9" x14ac:dyDescent="0.3">
      <c r="B140" s="44">
        <v>46074</v>
      </c>
      <c r="C140" s="3" t="s">
        <v>416</v>
      </c>
      <c r="D140" s="3" t="s">
        <v>500</v>
      </c>
      <c r="E140" s="101"/>
      <c r="F140" s="3" t="s">
        <v>576</v>
      </c>
      <c r="G140" s="4">
        <v>4009003</v>
      </c>
      <c r="H140" s="4" t="s">
        <v>467</v>
      </c>
      <c r="I140" s="4">
        <v>3819409</v>
      </c>
    </row>
    <row r="141" spans="2:9" x14ac:dyDescent="0.3">
      <c r="B141" s="44">
        <v>46074</v>
      </c>
      <c r="C141" s="3" t="s">
        <v>416</v>
      </c>
      <c r="D141" s="3" t="s">
        <v>500</v>
      </c>
      <c r="E141" s="101"/>
      <c r="F141" s="3" t="s">
        <v>575</v>
      </c>
      <c r="G141" s="4">
        <v>3900005</v>
      </c>
      <c r="H141" s="4" t="s">
        <v>238</v>
      </c>
      <c r="I141" s="4">
        <v>3350105</v>
      </c>
    </row>
    <row r="142" spans="2:9" x14ac:dyDescent="0.3">
      <c r="B142" s="44">
        <v>46074</v>
      </c>
      <c r="C142" s="3" t="s">
        <v>416</v>
      </c>
      <c r="D142" s="3" t="s">
        <v>500</v>
      </c>
      <c r="E142" s="101"/>
      <c r="F142" s="3" t="s">
        <v>187</v>
      </c>
      <c r="G142" s="4">
        <v>3354101</v>
      </c>
      <c r="H142" s="4" t="s">
        <v>574</v>
      </c>
      <c r="I142" s="4">
        <v>3359606</v>
      </c>
    </row>
    <row r="143" spans="2:9" x14ac:dyDescent="0.3">
      <c r="B143" s="44">
        <v>46074</v>
      </c>
      <c r="C143" s="3" t="s">
        <v>416</v>
      </c>
      <c r="D143" s="3" t="s">
        <v>500</v>
      </c>
      <c r="E143" s="101"/>
      <c r="F143" s="3" t="s">
        <v>236</v>
      </c>
      <c r="G143" s="4">
        <v>3355704</v>
      </c>
      <c r="H143" s="4" t="s">
        <v>232</v>
      </c>
      <c r="I143" s="4">
        <v>3360507</v>
      </c>
    </row>
    <row r="144" spans="2:9" x14ac:dyDescent="0.3">
      <c r="B144" s="4"/>
      <c r="E144" s="101"/>
      <c r="G144" s="4"/>
      <c r="H144" s="4"/>
      <c r="I144" s="4"/>
    </row>
    <row r="145" spans="2:9" x14ac:dyDescent="0.3">
      <c r="B145" s="44">
        <v>46081</v>
      </c>
      <c r="C145" s="3" t="s">
        <v>416</v>
      </c>
      <c r="D145" s="3" t="s">
        <v>500</v>
      </c>
      <c r="E145" s="101"/>
      <c r="F145" s="3" t="s">
        <v>574</v>
      </c>
      <c r="G145" s="4">
        <v>3359606</v>
      </c>
      <c r="H145" s="4" t="s">
        <v>576</v>
      </c>
      <c r="I145" s="4">
        <v>4009003</v>
      </c>
    </row>
    <row r="146" spans="2:9" x14ac:dyDescent="0.3">
      <c r="B146" s="44">
        <v>46081</v>
      </c>
      <c r="C146" s="3" t="s">
        <v>416</v>
      </c>
      <c r="D146" s="3" t="s">
        <v>500</v>
      </c>
      <c r="E146" s="101"/>
      <c r="F146" s="3" t="s">
        <v>238</v>
      </c>
      <c r="G146" s="4">
        <v>3350105</v>
      </c>
      <c r="H146" s="4" t="s">
        <v>577</v>
      </c>
      <c r="I146" s="4" t="s">
        <v>556</v>
      </c>
    </row>
    <row r="147" spans="2:9" x14ac:dyDescent="0.3">
      <c r="B147" s="44">
        <v>46081</v>
      </c>
      <c r="C147" s="3" t="s">
        <v>416</v>
      </c>
      <c r="D147" s="3" t="s">
        <v>500</v>
      </c>
      <c r="E147" s="101"/>
      <c r="F147" s="3" t="s">
        <v>232</v>
      </c>
      <c r="G147" s="4">
        <v>3360507</v>
      </c>
      <c r="H147" s="4" t="s">
        <v>187</v>
      </c>
      <c r="I147" s="4">
        <v>3354101</v>
      </c>
    </row>
    <row r="148" spans="2:9" x14ac:dyDescent="0.3">
      <c r="B148" s="44">
        <v>46081</v>
      </c>
      <c r="C148" s="3" t="s">
        <v>416</v>
      </c>
      <c r="D148" s="3" t="s">
        <v>500</v>
      </c>
      <c r="E148" s="101"/>
      <c r="F148" s="3" t="s">
        <v>239</v>
      </c>
      <c r="G148" s="4">
        <v>3348809</v>
      </c>
      <c r="H148" s="4" t="s">
        <v>466</v>
      </c>
      <c r="I148" s="4">
        <v>3346707</v>
      </c>
    </row>
    <row r="149" spans="2:9" x14ac:dyDescent="0.3">
      <c r="B149" s="44">
        <v>46081</v>
      </c>
      <c r="C149" s="3" t="s">
        <v>416</v>
      </c>
      <c r="D149" s="3" t="s">
        <v>500</v>
      </c>
      <c r="E149" s="101"/>
      <c r="F149" s="3" t="s">
        <v>467</v>
      </c>
      <c r="G149" s="4">
        <v>3819409</v>
      </c>
      <c r="H149" s="4" t="s">
        <v>575</v>
      </c>
      <c r="I149" s="4">
        <v>3900005</v>
      </c>
    </row>
    <row r="150" spans="2:9" x14ac:dyDescent="0.3">
      <c r="B150" s="44">
        <v>46081</v>
      </c>
      <c r="C150" s="3" t="s">
        <v>416</v>
      </c>
      <c r="D150" s="3" t="s">
        <v>500</v>
      </c>
      <c r="E150" s="101"/>
      <c r="F150" s="3" t="s">
        <v>465</v>
      </c>
      <c r="G150" s="4">
        <v>3962207</v>
      </c>
      <c r="H150" s="4" t="s">
        <v>236</v>
      </c>
      <c r="I150" s="4">
        <v>3355704</v>
      </c>
    </row>
    <row r="151" spans="2:9" x14ac:dyDescent="0.3">
      <c r="B151" s="4"/>
      <c r="E151" s="116"/>
      <c r="G151" s="4"/>
      <c r="H151" s="4"/>
      <c r="I151" s="4"/>
    </row>
    <row r="152" spans="2:9" x14ac:dyDescent="0.3">
      <c r="B152" s="44">
        <v>46088</v>
      </c>
      <c r="C152" s="3" t="s">
        <v>416</v>
      </c>
      <c r="D152" s="3" t="s">
        <v>500</v>
      </c>
      <c r="E152" s="101"/>
      <c r="F152" s="3" t="s">
        <v>577</v>
      </c>
      <c r="G152" s="4" t="s">
        <v>556</v>
      </c>
      <c r="H152" s="4" t="s">
        <v>466</v>
      </c>
      <c r="I152" s="4">
        <v>3346707</v>
      </c>
    </row>
    <row r="153" spans="2:9" x14ac:dyDescent="0.3">
      <c r="B153" s="44">
        <v>46088</v>
      </c>
      <c r="C153" s="3" t="s">
        <v>416</v>
      </c>
      <c r="D153" s="3" t="s">
        <v>500</v>
      </c>
      <c r="E153" s="101"/>
      <c r="F153" s="3" t="s">
        <v>238</v>
      </c>
      <c r="G153" s="4">
        <v>3350105</v>
      </c>
      <c r="H153" s="4" t="s">
        <v>467</v>
      </c>
      <c r="I153" s="4">
        <v>3819409</v>
      </c>
    </row>
    <row r="154" spans="2:9" x14ac:dyDescent="0.3">
      <c r="B154" s="44">
        <v>46088</v>
      </c>
      <c r="C154" s="3" t="s">
        <v>416</v>
      </c>
      <c r="D154" s="3" t="s">
        <v>500</v>
      </c>
      <c r="E154" s="101"/>
      <c r="F154" s="3" t="s">
        <v>576</v>
      </c>
      <c r="G154" s="4">
        <v>4009003</v>
      </c>
      <c r="H154" s="4" t="s">
        <v>232</v>
      </c>
      <c r="I154" s="4">
        <v>3360507</v>
      </c>
    </row>
    <row r="155" spans="2:9" x14ac:dyDescent="0.3">
      <c r="B155" s="44">
        <v>46088</v>
      </c>
      <c r="C155" s="3" t="s">
        <v>416</v>
      </c>
      <c r="D155" s="3" t="s">
        <v>500</v>
      </c>
      <c r="E155" s="101"/>
      <c r="F155" s="3" t="s">
        <v>575</v>
      </c>
      <c r="G155" s="4">
        <v>3900005</v>
      </c>
      <c r="H155" s="4" t="s">
        <v>574</v>
      </c>
      <c r="I155" s="4">
        <v>3359606</v>
      </c>
    </row>
    <row r="156" spans="2:9" x14ac:dyDescent="0.3">
      <c r="B156" s="44">
        <v>46088</v>
      </c>
      <c r="C156" s="3" t="s">
        <v>416</v>
      </c>
      <c r="D156" s="3" t="s">
        <v>500</v>
      </c>
      <c r="E156" s="101"/>
      <c r="F156" s="3" t="s">
        <v>187</v>
      </c>
      <c r="G156" s="4">
        <v>3354101</v>
      </c>
      <c r="H156" s="4" t="s">
        <v>465</v>
      </c>
      <c r="I156" s="4">
        <v>3962207</v>
      </c>
    </row>
    <row r="157" spans="2:9" x14ac:dyDescent="0.3">
      <c r="B157" s="44">
        <v>46088</v>
      </c>
      <c r="C157" s="3" t="s">
        <v>416</v>
      </c>
      <c r="D157" s="3" t="s">
        <v>500</v>
      </c>
      <c r="E157" s="101"/>
      <c r="F157" s="3" t="s">
        <v>236</v>
      </c>
      <c r="G157" s="4">
        <v>3355704</v>
      </c>
      <c r="H157" s="4" t="s">
        <v>239</v>
      </c>
      <c r="I157" s="4">
        <v>3348809</v>
      </c>
    </row>
    <row r="158" spans="2:9" x14ac:dyDescent="0.3">
      <c r="B158" s="4"/>
      <c r="E158" s="116"/>
      <c r="G158" s="4"/>
      <c r="H158" s="4"/>
      <c r="I158" s="4"/>
    </row>
    <row r="159" spans="2:9" x14ac:dyDescent="0.3">
      <c r="B159" s="44">
        <v>46095</v>
      </c>
      <c r="C159" s="3" t="s">
        <v>416</v>
      </c>
      <c r="D159" s="3" t="s">
        <v>500</v>
      </c>
      <c r="E159" s="101"/>
      <c r="F159" s="3" t="s">
        <v>574</v>
      </c>
      <c r="G159" s="4">
        <v>3359606</v>
      </c>
      <c r="H159" s="4" t="s">
        <v>238</v>
      </c>
      <c r="I159" s="4">
        <v>3350105</v>
      </c>
    </row>
    <row r="160" spans="2:9" x14ac:dyDescent="0.3">
      <c r="B160" s="44">
        <v>46095</v>
      </c>
      <c r="C160" s="3" t="s">
        <v>416</v>
      </c>
      <c r="D160" s="3" t="s">
        <v>500</v>
      </c>
      <c r="E160" s="101"/>
      <c r="F160" s="3" t="s">
        <v>466</v>
      </c>
      <c r="G160" s="4">
        <v>3346707</v>
      </c>
      <c r="H160" s="4" t="s">
        <v>236</v>
      </c>
      <c r="I160" s="4">
        <v>3355704</v>
      </c>
    </row>
    <row r="161" spans="2:9" x14ac:dyDescent="0.3">
      <c r="B161" s="44">
        <v>46095</v>
      </c>
      <c r="C161" s="3" t="s">
        <v>416</v>
      </c>
      <c r="D161" s="3" t="s">
        <v>500</v>
      </c>
      <c r="E161" s="101"/>
      <c r="F161" s="3" t="s">
        <v>232</v>
      </c>
      <c r="G161" s="4">
        <v>3360507</v>
      </c>
      <c r="H161" s="4" t="s">
        <v>575</v>
      </c>
      <c r="I161" s="4">
        <v>3900005</v>
      </c>
    </row>
    <row r="162" spans="2:9" x14ac:dyDescent="0.3">
      <c r="B162" s="44">
        <v>46095</v>
      </c>
      <c r="C162" s="3" t="s">
        <v>416</v>
      </c>
      <c r="D162" s="3" t="s">
        <v>500</v>
      </c>
      <c r="E162" s="101"/>
      <c r="F162" s="3" t="s">
        <v>239</v>
      </c>
      <c r="G162" s="4">
        <v>3348809</v>
      </c>
      <c r="H162" s="4" t="s">
        <v>187</v>
      </c>
      <c r="I162" s="4">
        <v>3354101</v>
      </c>
    </row>
    <row r="163" spans="2:9" x14ac:dyDescent="0.3">
      <c r="B163" s="44">
        <v>46095</v>
      </c>
      <c r="C163" s="3" t="s">
        <v>416</v>
      </c>
      <c r="D163" s="3" t="s">
        <v>500</v>
      </c>
      <c r="E163" s="101"/>
      <c r="F163" s="3" t="s">
        <v>467</v>
      </c>
      <c r="G163" s="4">
        <v>3819409</v>
      </c>
      <c r="H163" s="4" t="s">
        <v>577</v>
      </c>
      <c r="I163" s="4" t="s">
        <v>556</v>
      </c>
    </row>
    <row r="164" spans="2:9" x14ac:dyDescent="0.3">
      <c r="B164" s="44">
        <v>46095</v>
      </c>
      <c r="C164" s="3" t="s">
        <v>416</v>
      </c>
      <c r="D164" s="3" t="s">
        <v>500</v>
      </c>
      <c r="E164" s="101"/>
      <c r="F164" s="3" t="s">
        <v>465</v>
      </c>
      <c r="G164" s="4">
        <v>3962207</v>
      </c>
      <c r="H164" s="4" t="s">
        <v>576</v>
      </c>
      <c r="I164" s="4">
        <v>4009003</v>
      </c>
    </row>
    <row r="165" spans="2:9" x14ac:dyDescent="0.3">
      <c r="B165" s="4"/>
      <c r="E165" s="116"/>
      <c r="G165" s="4"/>
      <c r="H165" s="4"/>
      <c r="I165" s="4"/>
    </row>
    <row r="166" spans="2:9" x14ac:dyDescent="0.3">
      <c r="B166" s="44">
        <v>46102</v>
      </c>
      <c r="C166" s="3" t="s">
        <v>416</v>
      </c>
      <c r="D166" s="3" t="s">
        <v>500</v>
      </c>
      <c r="E166" s="101"/>
      <c r="F166" s="3" t="s">
        <v>187</v>
      </c>
      <c r="G166" s="4">
        <v>3354101</v>
      </c>
      <c r="H166" s="4" t="s">
        <v>466</v>
      </c>
      <c r="I166" s="4">
        <v>3346707</v>
      </c>
    </row>
    <row r="167" spans="2:9" x14ac:dyDescent="0.3">
      <c r="B167" s="44">
        <v>46102</v>
      </c>
      <c r="C167" s="3" t="s">
        <v>416</v>
      </c>
      <c r="D167" s="3" t="s">
        <v>500</v>
      </c>
      <c r="E167" s="101"/>
      <c r="F167" s="3" t="s">
        <v>467</v>
      </c>
      <c r="G167" s="4">
        <v>3819409</v>
      </c>
      <c r="H167" s="4" t="s">
        <v>574</v>
      </c>
      <c r="I167" s="4">
        <v>3359606</v>
      </c>
    </row>
    <row r="168" spans="2:9" x14ac:dyDescent="0.3">
      <c r="B168" s="44">
        <v>46102</v>
      </c>
      <c r="C168" s="3" t="s">
        <v>416</v>
      </c>
      <c r="D168" s="3" t="s">
        <v>500</v>
      </c>
      <c r="E168" s="101"/>
      <c r="F168" s="3" t="s">
        <v>238</v>
      </c>
      <c r="G168" s="4">
        <v>3350105</v>
      </c>
      <c r="H168" s="4" t="s">
        <v>232</v>
      </c>
      <c r="I168" s="4">
        <v>3360507</v>
      </c>
    </row>
    <row r="169" spans="2:9" x14ac:dyDescent="0.3">
      <c r="B169" s="44">
        <v>46102</v>
      </c>
      <c r="C169" s="3" t="s">
        <v>416</v>
      </c>
      <c r="D169" s="3" t="s">
        <v>500</v>
      </c>
      <c r="E169" s="101"/>
      <c r="F169" s="3" t="s">
        <v>577</v>
      </c>
      <c r="G169" s="4" t="s">
        <v>556</v>
      </c>
      <c r="H169" s="4" t="s">
        <v>236</v>
      </c>
      <c r="I169" s="4">
        <v>3355704</v>
      </c>
    </row>
    <row r="170" spans="2:9" x14ac:dyDescent="0.3">
      <c r="B170" s="44">
        <v>46102</v>
      </c>
      <c r="C170" s="3" t="s">
        <v>416</v>
      </c>
      <c r="D170" s="3" t="s">
        <v>500</v>
      </c>
      <c r="E170" s="101"/>
      <c r="F170" s="3" t="s">
        <v>576</v>
      </c>
      <c r="G170" s="4">
        <v>4009003</v>
      </c>
      <c r="H170" s="4" t="s">
        <v>239</v>
      </c>
      <c r="I170" s="4">
        <v>3348809</v>
      </c>
    </row>
    <row r="171" spans="2:9" x14ac:dyDescent="0.3">
      <c r="B171" s="44">
        <v>46102</v>
      </c>
      <c r="C171" s="3" t="s">
        <v>416</v>
      </c>
      <c r="D171" s="3" t="s">
        <v>500</v>
      </c>
      <c r="E171" s="101"/>
      <c r="F171" s="3" t="s">
        <v>575</v>
      </c>
      <c r="G171" s="4">
        <v>3900005</v>
      </c>
      <c r="H171" s="4" t="s">
        <v>465</v>
      </c>
      <c r="I171" s="4">
        <v>3962207</v>
      </c>
    </row>
    <row r="172" spans="2:9" x14ac:dyDescent="0.3">
      <c r="B172" s="4"/>
      <c r="E172" s="116"/>
      <c r="G172" s="4"/>
      <c r="H172" s="4"/>
      <c r="I172" s="4"/>
    </row>
    <row r="173" spans="2:9" x14ac:dyDescent="0.3">
      <c r="B173" s="44">
        <v>46109</v>
      </c>
      <c r="C173" s="3" t="s">
        <v>416</v>
      </c>
      <c r="D173" s="3" t="s">
        <v>500</v>
      </c>
      <c r="E173" s="101"/>
      <c r="F173" s="3" t="s">
        <v>236</v>
      </c>
      <c r="G173" s="4">
        <v>3355704</v>
      </c>
      <c r="H173" s="4" t="s">
        <v>187</v>
      </c>
      <c r="I173" s="4">
        <v>3354101</v>
      </c>
    </row>
    <row r="174" spans="2:9" x14ac:dyDescent="0.3">
      <c r="B174" s="44">
        <v>46109</v>
      </c>
      <c r="C174" s="3" t="s">
        <v>416</v>
      </c>
      <c r="D174" s="3" t="s">
        <v>500</v>
      </c>
      <c r="E174" s="101"/>
      <c r="F174" s="3" t="s">
        <v>466</v>
      </c>
      <c r="G174" s="4">
        <v>3346707</v>
      </c>
      <c r="H174" s="4" t="s">
        <v>576</v>
      </c>
      <c r="I174" s="4">
        <v>4009003</v>
      </c>
    </row>
    <row r="175" spans="2:9" x14ac:dyDescent="0.3">
      <c r="B175" s="44">
        <v>46109</v>
      </c>
      <c r="C175" s="3" t="s">
        <v>416</v>
      </c>
      <c r="D175" s="3" t="s">
        <v>500</v>
      </c>
      <c r="E175" s="101"/>
      <c r="F175" s="3" t="s">
        <v>232</v>
      </c>
      <c r="G175" s="4">
        <v>3360507</v>
      </c>
      <c r="H175" s="4" t="s">
        <v>467</v>
      </c>
      <c r="I175" s="4">
        <v>3819409</v>
      </c>
    </row>
    <row r="176" spans="2:9" x14ac:dyDescent="0.3">
      <c r="B176" s="44">
        <v>46109</v>
      </c>
      <c r="C176" s="3" t="s">
        <v>416</v>
      </c>
      <c r="D176" s="3" t="s">
        <v>500</v>
      </c>
      <c r="E176" s="101"/>
      <c r="F176" s="3" t="s">
        <v>239</v>
      </c>
      <c r="G176" s="4">
        <v>3348809</v>
      </c>
      <c r="H176" s="4" t="s">
        <v>575</v>
      </c>
      <c r="I176" s="4">
        <v>3900005</v>
      </c>
    </row>
    <row r="177" spans="2:9" x14ac:dyDescent="0.3">
      <c r="B177" s="44">
        <v>46109</v>
      </c>
      <c r="C177" s="3" t="s">
        <v>416</v>
      </c>
      <c r="D177" s="3" t="s">
        <v>500</v>
      </c>
      <c r="E177" s="101"/>
      <c r="F177" s="3" t="s">
        <v>465</v>
      </c>
      <c r="G177" s="4">
        <v>3962207</v>
      </c>
      <c r="H177" s="4" t="s">
        <v>238</v>
      </c>
      <c r="I177" s="4">
        <v>3350105</v>
      </c>
    </row>
    <row r="178" spans="2:9" x14ac:dyDescent="0.3">
      <c r="B178" s="44">
        <v>46109</v>
      </c>
      <c r="C178" s="3" t="s">
        <v>416</v>
      </c>
      <c r="D178" s="3" t="s">
        <v>500</v>
      </c>
      <c r="E178" s="101"/>
      <c r="F178" s="3" t="s">
        <v>574</v>
      </c>
      <c r="G178" s="4">
        <v>3359606</v>
      </c>
      <c r="H178" s="4" t="s">
        <v>577</v>
      </c>
      <c r="I178" s="4" t="s">
        <v>556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3011" priority="310"/>
  </conditionalFormatting>
  <conditionalFormatting sqref="B20">
    <cfRule type="duplicateValues" dxfId="3010" priority="307"/>
  </conditionalFormatting>
  <conditionalFormatting sqref="B22 B11 B13 B15:B18">
    <cfRule type="duplicateValues" dxfId="3009" priority="309"/>
  </conditionalFormatting>
  <conditionalFormatting sqref="F26:F31">
    <cfRule type="duplicateValues" dxfId="3008" priority="62"/>
  </conditionalFormatting>
  <conditionalFormatting sqref="F33:G33">
    <cfRule type="duplicateValues" dxfId="3007" priority="285"/>
  </conditionalFormatting>
  <conditionalFormatting sqref="F34:G34">
    <cfRule type="duplicateValues" dxfId="3006" priority="167"/>
  </conditionalFormatting>
  <conditionalFormatting sqref="F35:G35">
    <cfRule type="duplicateValues" dxfId="3005" priority="146"/>
  </conditionalFormatting>
  <conditionalFormatting sqref="F36:G36">
    <cfRule type="duplicateValues" dxfId="3004" priority="125"/>
  </conditionalFormatting>
  <conditionalFormatting sqref="F37:G37">
    <cfRule type="duplicateValues" dxfId="3003" priority="87"/>
  </conditionalFormatting>
  <conditionalFormatting sqref="F38:G38">
    <cfRule type="duplicateValues" dxfId="3002" priority="106"/>
  </conditionalFormatting>
  <conditionalFormatting sqref="F40:G40">
    <cfRule type="duplicateValues" dxfId="3001" priority="284"/>
  </conditionalFormatting>
  <conditionalFormatting sqref="F41:G41">
    <cfRule type="duplicateValues" dxfId="3000" priority="268"/>
  </conditionalFormatting>
  <conditionalFormatting sqref="F42:G42">
    <cfRule type="duplicateValues" dxfId="2999" priority="247"/>
  </conditionalFormatting>
  <conditionalFormatting sqref="F43:G43">
    <cfRule type="duplicateValues" dxfId="2998" priority="227"/>
  </conditionalFormatting>
  <conditionalFormatting sqref="F44:G44">
    <cfRule type="duplicateValues" dxfId="2997" priority="206"/>
  </conditionalFormatting>
  <conditionalFormatting sqref="F45:G45">
    <cfRule type="duplicateValues" dxfId="2996" priority="186"/>
  </conditionalFormatting>
  <conditionalFormatting sqref="F47:G47">
    <cfRule type="duplicateValues" dxfId="2995" priority="302"/>
  </conditionalFormatting>
  <conditionalFormatting sqref="F48:G48">
    <cfRule type="duplicateValues" dxfId="2994" priority="267"/>
  </conditionalFormatting>
  <conditionalFormatting sqref="F49:G49">
    <cfRule type="duplicateValues" dxfId="2993" priority="144"/>
  </conditionalFormatting>
  <conditionalFormatting sqref="F50:G50">
    <cfRule type="duplicateValues" dxfId="2992" priority="123"/>
  </conditionalFormatting>
  <conditionalFormatting sqref="F51:G51">
    <cfRule type="duplicateValues" dxfId="2991" priority="85"/>
  </conditionalFormatting>
  <conditionalFormatting sqref="F52:G52">
    <cfRule type="duplicateValues" dxfId="2990" priority="104"/>
  </conditionalFormatting>
  <conditionalFormatting sqref="F54:G54">
    <cfRule type="duplicateValues" dxfId="2989" priority="283"/>
  </conditionalFormatting>
  <conditionalFormatting sqref="F55:G55">
    <cfRule type="duplicateValues" dxfId="2988" priority="163"/>
  </conditionalFormatting>
  <conditionalFormatting sqref="F56:G56">
    <cfRule type="duplicateValues" dxfId="2987" priority="245"/>
  </conditionalFormatting>
  <conditionalFormatting sqref="F57:G57">
    <cfRule type="duplicateValues" dxfId="2986" priority="225"/>
  </conditionalFormatting>
  <conditionalFormatting sqref="F58:G58">
    <cfRule type="duplicateValues" dxfId="2985" priority="204"/>
  </conditionalFormatting>
  <conditionalFormatting sqref="F59:G59">
    <cfRule type="duplicateValues" dxfId="2984" priority="184"/>
  </conditionalFormatting>
  <conditionalFormatting sqref="F61:G61">
    <cfRule type="duplicateValues" dxfId="2983" priority="300"/>
  </conditionalFormatting>
  <conditionalFormatting sqref="F62:G62">
    <cfRule type="duplicateValues" dxfId="2982" priority="265"/>
  </conditionalFormatting>
  <conditionalFormatting sqref="F63:G63">
    <cfRule type="duplicateValues" dxfId="2981" priority="244"/>
  </conditionalFormatting>
  <conditionalFormatting sqref="F64:G64">
    <cfRule type="duplicateValues" dxfId="2980" priority="121"/>
  </conditionalFormatting>
  <conditionalFormatting sqref="F65:G65">
    <cfRule type="duplicateValues" dxfId="2979" priority="83"/>
  </conditionalFormatting>
  <conditionalFormatting sqref="F66:G66">
    <cfRule type="duplicateValues" dxfId="2978" priority="102"/>
  </conditionalFormatting>
  <conditionalFormatting sqref="F68:G68">
    <cfRule type="duplicateValues" dxfId="2977" priority="281"/>
  </conditionalFormatting>
  <conditionalFormatting sqref="F69:G69">
    <cfRule type="duplicateValues" dxfId="2976" priority="161"/>
  </conditionalFormatting>
  <conditionalFormatting sqref="F70:G70">
    <cfRule type="duplicateValues" dxfId="2975" priority="141"/>
  </conditionalFormatting>
  <conditionalFormatting sqref="F71:G71">
    <cfRule type="duplicateValues" dxfId="2974" priority="223"/>
  </conditionalFormatting>
  <conditionalFormatting sqref="F72:G72">
    <cfRule type="duplicateValues" dxfId="2973" priority="202"/>
  </conditionalFormatting>
  <conditionalFormatting sqref="F73:G73">
    <cfRule type="duplicateValues" dxfId="2972" priority="182"/>
  </conditionalFormatting>
  <conditionalFormatting sqref="F75:G75">
    <cfRule type="duplicateValues" dxfId="2971" priority="298"/>
  </conditionalFormatting>
  <conditionalFormatting sqref="F76:G76">
    <cfRule type="duplicateValues" dxfId="2970" priority="263"/>
  </conditionalFormatting>
  <conditionalFormatting sqref="F77:G77">
    <cfRule type="duplicateValues" dxfId="2969" priority="242"/>
  </conditionalFormatting>
  <conditionalFormatting sqref="F78:G78">
    <cfRule type="duplicateValues" dxfId="2968" priority="222"/>
  </conditionalFormatting>
  <conditionalFormatting sqref="F79:G79">
    <cfRule type="duplicateValues" dxfId="2967" priority="119"/>
  </conditionalFormatting>
  <conditionalFormatting sqref="F80:G80">
    <cfRule type="duplicateValues" dxfId="2966" priority="58"/>
  </conditionalFormatting>
  <conditionalFormatting sqref="F81:G81">
    <cfRule type="duplicateValues" dxfId="2965" priority="100"/>
  </conditionalFormatting>
  <conditionalFormatting sqref="F82:G82">
    <cfRule type="duplicateValues" dxfId="2964" priority="55"/>
  </conditionalFormatting>
  <conditionalFormatting sqref="F83:G83">
    <cfRule type="duplicateValues" dxfId="2963" priority="49"/>
    <cfRule type="duplicateValues" dxfId="2962" priority="279"/>
  </conditionalFormatting>
  <conditionalFormatting sqref="F84:G84">
    <cfRule type="duplicateValues" dxfId="2961" priority="48"/>
    <cfRule type="duplicateValues" dxfId="2960" priority="159"/>
  </conditionalFormatting>
  <conditionalFormatting sqref="F85:G85">
    <cfRule type="duplicateValues" dxfId="2959" priority="51"/>
    <cfRule type="duplicateValues" dxfId="2958" priority="139"/>
  </conditionalFormatting>
  <conditionalFormatting sqref="F86:G86">
    <cfRule type="duplicateValues" dxfId="2957" priority="50"/>
    <cfRule type="duplicateValues" dxfId="2956" priority="200"/>
  </conditionalFormatting>
  <conditionalFormatting sqref="F87:G87">
    <cfRule type="duplicateValues" dxfId="2955" priority="45"/>
    <cfRule type="duplicateValues" dxfId="2954" priority="180"/>
  </conditionalFormatting>
  <conditionalFormatting sqref="F88:G88">
    <cfRule type="duplicateValues" dxfId="2953" priority="80"/>
  </conditionalFormatting>
  <conditionalFormatting sqref="F89:G89">
    <cfRule type="duplicateValues" dxfId="2952" priority="44"/>
  </conditionalFormatting>
  <conditionalFormatting sqref="F90:G90">
    <cfRule type="duplicateValues" dxfId="2951" priority="296"/>
  </conditionalFormatting>
  <conditionalFormatting sqref="F91:G91">
    <cfRule type="duplicateValues" dxfId="2950" priority="261"/>
  </conditionalFormatting>
  <conditionalFormatting sqref="F92:G92">
    <cfRule type="duplicateValues" dxfId="2949" priority="66"/>
  </conditionalFormatting>
  <conditionalFormatting sqref="F93:G93">
    <cfRule type="duplicateValues" dxfId="2948" priority="220"/>
  </conditionalFormatting>
  <conditionalFormatting sqref="F94:G94">
    <cfRule type="duplicateValues" dxfId="2947" priority="199"/>
  </conditionalFormatting>
  <conditionalFormatting sqref="F95:G95">
    <cfRule type="duplicateValues" dxfId="2946" priority="117"/>
  </conditionalFormatting>
  <conditionalFormatting sqref="F96:G96">
    <cfRule type="duplicateValues" dxfId="2945" priority="42"/>
  </conditionalFormatting>
  <conditionalFormatting sqref="F97:G97">
    <cfRule type="duplicateValues" dxfId="2944" priority="277"/>
  </conditionalFormatting>
  <conditionalFormatting sqref="F98:G98">
    <cfRule type="duplicateValues" dxfId="2943" priority="157"/>
  </conditionalFormatting>
  <conditionalFormatting sqref="F99:G99">
    <cfRule type="duplicateValues" dxfId="2942" priority="137"/>
  </conditionalFormatting>
  <conditionalFormatting sqref="F100:G100">
    <cfRule type="duplicateValues" dxfId="2941" priority="178"/>
  </conditionalFormatting>
  <conditionalFormatting sqref="F101:G101">
    <cfRule type="duplicateValues" dxfId="2940" priority="78"/>
  </conditionalFormatting>
  <conditionalFormatting sqref="F102:G102">
    <cfRule type="duplicateValues" dxfId="2939" priority="97"/>
  </conditionalFormatting>
  <conditionalFormatting sqref="F103:G103">
    <cfRule type="duplicateValues" dxfId="2938" priority="39"/>
  </conditionalFormatting>
  <conditionalFormatting sqref="F104:G104">
    <cfRule type="duplicateValues" dxfId="2937" priority="276"/>
  </conditionalFormatting>
  <conditionalFormatting sqref="F105:G105">
    <cfRule type="duplicateValues" dxfId="2936" priority="156"/>
  </conditionalFormatting>
  <conditionalFormatting sqref="F106:G106">
    <cfRule type="duplicateValues" dxfId="2935" priority="136"/>
  </conditionalFormatting>
  <conditionalFormatting sqref="F107:G107">
    <cfRule type="duplicateValues" dxfId="2934" priority="115"/>
  </conditionalFormatting>
  <conditionalFormatting sqref="F108:G108">
    <cfRule type="duplicateValues" dxfId="2933" priority="77"/>
  </conditionalFormatting>
  <conditionalFormatting sqref="F109:G109">
    <cfRule type="duplicateValues" dxfId="2932" priority="96"/>
  </conditionalFormatting>
  <conditionalFormatting sqref="F110:G110">
    <cfRule type="duplicateValues" dxfId="2931" priority="38"/>
  </conditionalFormatting>
  <conditionalFormatting sqref="F111:G111">
    <cfRule type="duplicateValues" dxfId="2930" priority="295"/>
  </conditionalFormatting>
  <conditionalFormatting sqref="F112:G112">
    <cfRule type="duplicateValues" dxfId="2929" priority="257"/>
  </conditionalFormatting>
  <conditionalFormatting sqref="F113:G113">
    <cfRule type="duplicateValues" dxfId="2928" priority="238"/>
  </conditionalFormatting>
  <conditionalFormatting sqref="F114:G114">
    <cfRule type="duplicateValues" dxfId="2927" priority="217"/>
  </conditionalFormatting>
  <conditionalFormatting sqref="F115:G115">
    <cfRule type="duplicateValues" dxfId="2926" priority="196"/>
  </conditionalFormatting>
  <conditionalFormatting sqref="F116:G116">
    <cfRule type="duplicateValues" dxfId="2925" priority="176"/>
  </conditionalFormatting>
  <conditionalFormatting sqref="F117:G117">
    <cfRule type="duplicateValues" dxfId="2924" priority="35"/>
  </conditionalFormatting>
  <conditionalFormatting sqref="F118:G118">
    <cfRule type="duplicateValues" dxfId="2923" priority="293"/>
  </conditionalFormatting>
  <conditionalFormatting sqref="F119:G119">
    <cfRule type="duplicateValues" dxfId="2922" priority="154"/>
  </conditionalFormatting>
  <conditionalFormatting sqref="F120:G120">
    <cfRule type="duplicateValues" dxfId="2921" priority="134"/>
  </conditionalFormatting>
  <conditionalFormatting sqref="F121:G121">
    <cfRule type="duplicateValues" dxfId="2920" priority="113"/>
  </conditionalFormatting>
  <conditionalFormatting sqref="F122:G122">
    <cfRule type="duplicateValues" dxfId="2919" priority="75"/>
  </conditionalFormatting>
  <conditionalFormatting sqref="F123:G123">
    <cfRule type="duplicateValues" dxfId="2918" priority="94"/>
  </conditionalFormatting>
  <conditionalFormatting sqref="F124:G124">
    <cfRule type="duplicateValues" dxfId="2917" priority="34"/>
  </conditionalFormatting>
  <conditionalFormatting sqref="F125:G125">
    <cfRule type="duplicateValues" dxfId="2916" priority="274"/>
  </conditionalFormatting>
  <conditionalFormatting sqref="F126:G126">
    <cfRule type="duplicateValues" dxfId="2915" priority="153"/>
  </conditionalFormatting>
  <conditionalFormatting sqref="F127:G127">
    <cfRule type="duplicateValues" dxfId="2914" priority="236"/>
  </conditionalFormatting>
  <conditionalFormatting sqref="F128:G128">
    <cfRule type="duplicateValues" dxfId="2913" priority="215"/>
  </conditionalFormatting>
  <conditionalFormatting sqref="F129:G129">
    <cfRule type="duplicateValues" dxfId="2912" priority="194"/>
  </conditionalFormatting>
  <conditionalFormatting sqref="F130:G130">
    <cfRule type="duplicateValues" dxfId="2911" priority="173"/>
  </conditionalFormatting>
  <conditionalFormatting sqref="F131:G131">
    <cfRule type="duplicateValues" dxfId="2910" priority="31"/>
  </conditionalFormatting>
  <conditionalFormatting sqref="F132:G132">
    <cfRule type="duplicateValues" dxfId="2909" priority="291"/>
  </conditionalFormatting>
  <conditionalFormatting sqref="F133:G133">
    <cfRule type="duplicateValues" dxfId="2908" priority="255"/>
  </conditionalFormatting>
  <conditionalFormatting sqref="F134:G134">
    <cfRule type="duplicateValues" dxfId="2907" priority="132"/>
  </conditionalFormatting>
  <conditionalFormatting sqref="F135:G135">
    <cfRule type="duplicateValues" dxfId="2906" priority="111"/>
  </conditionalFormatting>
  <conditionalFormatting sqref="F136:G136">
    <cfRule type="duplicateValues" dxfId="2905" priority="73"/>
  </conditionalFormatting>
  <conditionalFormatting sqref="F137:G137">
    <cfRule type="duplicateValues" dxfId="2904" priority="92"/>
  </conditionalFormatting>
  <conditionalFormatting sqref="F138:G138">
    <cfRule type="duplicateValues" dxfId="2903" priority="30"/>
  </conditionalFormatting>
  <conditionalFormatting sqref="F139:G139">
    <cfRule type="duplicateValues" dxfId="2902" priority="273"/>
  </conditionalFormatting>
  <conditionalFormatting sqref="F140:G140">
    <cfRule type="duplicateValues" dxfId="2901" priority="151"/>
  </conditionalFormatting>
  <conditionalFormatting sqref="F141:G141">
    <cfRule type="duplicateValues" dxfId="2900" priority="131"/>
  </conditionalFormatting>
  <conditionalFormatting sqref="F142:G142">
    <cfRule type="duplicateValues" dxfId="2899" priority="213"/>
  </conditionalFormatting>
  <conditionalFormatting sqref="F143:G143">
    <cfRule type="duplicateValues" dxfId="2898" priority="192"/>
  </conditionalFormatting>
  <conditionalFormatting sqref="F144:G144">
    <cfRule type="duplicateValues" dxfId="2897" priority="172"/>
  </conditionalFormatting>
  <conditionalFormatting sqref="F145:G145">
    <cfRule type="duplicateValues" dxfId="2896" priority="27"/>
  </conditionalFormatting>
  <conditionalFormatting sqref="F146:G146">
    <cfRule type="duplicateValues" dxfId="2895" priority="289"/>
  </conditionalFormatting>
  <conditionalFormatting sqref="F147:G147">
    <cfRule type="duplicateValues" dxfId="2894" priority="253"/>
  </conditionalFormatting>
  <conditionalFormatting sqref="F148:G148">
    <cfRule type="duplicateValues" dxfId="2893" priority="233"/>
  </conditionalFormatting>
  <conditionalFormatting sqref="F149:G149">
    <cfRule type="duplicateValues" dxfId="2892" priority="109"/>
  </conditionalFormatting>
  <conditionalFormatting sqref="F150:G150">
    <cfRule type="duplicateValues" dxfId="2891" priority="71"/>
  </conditionalFormatting>
  <conditionalFormatting sqref="F151:G151">
    <cfRule type="duplicateValues" dxfId="2890" priority="90"/>
  </conditionalFormatting>
  <conditionalFormatting sqref="F152:G152">
    <cfRule type="duplicateValues" dxfId="2889" priority="25"/>
  </conditionalFormatting>
  <conditionalFormatting sqref="F153:G153">
    <cfRule type="duplicateValues" dxfId="2888" priority="272"/>
  </conditionalFormatting>
  <conditionalFormatting sqref="F154:G154">
    <cfRule type="duplicateValues" dxfId="2887" priority="129"/>
  </conditionalFormatting>
  <conditionalFormatting sqref="F155:G155">
    <cfRule type="duplicateValues" dxfId="2886" priority="190"/>
  </conditionalFormatting>
  <conditionalFormatting sqref="F156:G156">
    <cfRule type="duplicateValues" dxfId="2885" priority="170"/>
  </conditionalFormatting>
  <conditionalFormatting sqref="F157:G158">
    <cfRule type="duplicateValues" dxfId="2884" priority="70"/>
  </conditionalFormatting>
  <conditionalFormatting sqref="F159:G159">
    <cfRule type="duplicateValues" dxfId="2883" priority="23"/>
  </conditionalFormatting>
  <conditionalFormatting sqref="F160:G160">
    <cfRule type="duplicateValues" dxfId="2882" priority="22"/>
  </conditionalFormatting>
  <conditionalFormatting sqref="F161:G161">
    <cfRule type="duplicateValues" dxfId="2881" priority="288"/>
  </conditionalFormatting>
  <conditionalFormatting sqref="F162:G162">
    <cfRule type="duplicateValues" dxfId="2880" priority="251"/>
  </conditionalFormatting>
  <conditionalFormatting sqref="F163:G163">
    <cfRule type="duplicateValues" dxfId="2879" priority="231"/>
  </conditionalFormatting>
  <conditionalFormatting sqref="F164:G164">
    <cfRule type="duplicateValues" dxfId="2878" priority="210"/>
  </conditionalFormatting>
  <conditionalFormatting sqref="F165:G165">
    <cfRule type="duplicateValues" dxfId="2877" priority="107"/>
  </conditionalFormatting>
  <conditionalFormatting sqref="F166:G166">
    <cfRule type="duplicateValues" dxfId="2876" priority="17"/>
  </conditionalFormatting>
  <conditionalFormatting sqref="F167:G167">
    <cfRule type="duplicateValues" dxfId="2875" priority="18"/>
  </conditionalFormatting>
  <conditionalFormatting sqref="F168:G168">
    <cfRule type="duplicateValues" dxfId="2874" priority="270"/>
  </conditionalFormatting>
  <conditionalFormatting sqref="F169:G169">
    <cfRule type="duplicateValues" dxfId="2873" priority="148"/>
  </conditionalFormatting>
  <conditionalFormatting sqref="F170:G170">
    <cfRule type="duplicateValues" dxfId="2872" priority="127"/>
  </conditionalFormatting>
  <conditionalFormatting sqref="F171:G171">
    <cfRule type="duplicateValues" dxfId="2871" priority="168"/>
  </conditionalFormatting>
  <conditionalFormatting sqref="F172:G172">
    <cfRule type="duplicateValues" dxfId="2870" priority="68"/>
  </conditionalFormatting>
  <conditionalFormatting sqref="F173:G173">
    <cfRule type="duplicateValues" dxfId="2869" priority="15"/>
  </conditionalFormatting>
  <conditionalFormatting sqref="F174:G174">
    <cfRule type="duplicateValues" dxfId="2868" priority="13"/>
  </conditionalFormatting>
  <conditionalFormatting sqref="F175:G175">
    <cfRule type="duplicateValues" dxfId="2867" priority="286"/>
  </conditionalFormatting>
  <conditionalFormatting sqref="F176:G176">
    <cfRule type="duplicateValues" dxfId="2866" priority="249"/>
  </conditionalFormatting>
  <conditionalFormatting sqref="F177:G177">
    <cfRule type="duplicateValues" dxfId="2865" priority="229"/>
  </conditionalFormatting>
  <conditionalFormatting sqref="F178:G178">
    <cfRule type="duplicateValues" dxfId="2864" priority="208"/>
  </conditionalFormatting>
  <conditionalFormatting sqref="G26:G31">
    <cfRule type="duplicateValues" dxfId="2863" priority="60"/>
  </conditionalFormatting>
  <conditionalFormatting sqref="H26:H31">
    <cfRule type="duplicateValues" dxfId="2862" priority="61"/>
  </conditionalFormatting>
  <conditionalFormatting sqref="H33:I33">
    <cfRule type="duplicateValues" dxfId="2861" priority="304"/>
  </conditionalFormatting>
  <conditionalFormatting sqref="H34:I34">
    <cfRule type="duplicateValues" dxfId="2860" priority="187"/>
  </conditionalFormatting>
  <conditionalFormatting sqref="H35:I35">
    <cfRule type="duplicateValues" dxfId="2859" priority="207"/>
  </conditionalFormatting>
  <conditionalFormatting sqref="H36:I36">
    <cfRule type="duplicateValues" dxfId="2858" priority="269"/>
  </conditionalFormatting>
  <conditionalFormatting sqref="H37:I37">
    <cfRule type="duplicateValues" dxfId="2857" priority="228"/>
  </conditionalFormatting>
  <conditionalFormatting sqref="H38:I38">
    <cfRule type="duplicateValues" dxfId="2856" priority="248"/>
  </conditionalFormatting>
  <conditionalFormatting sqref="H40:I40">
    <cfRule type="duplicateValues" dxfId="2855" priority="166"/>
  </conditionalFormatting>
  <conditionalFormatting sqref="H41:I41">
    <cfRule type="duplicateValues" dxfId="2854" priority="303"/>
  </conditionalFormatting>
  <conditionalFormatting sqref="H42:I42">
    <cfRule type="duplicateValues" dxfId="2853" priority="124"/>
  </conditionalFormatting>
  <conditionalFormatting sqref="H43:I43">
    <cfRule type="duplicateValues" dxfId="2852" priority="105"/>
  </conditionalFormatting>
  <conditionalFormatting sqref="H44:I44">
    <cfRule type="duplicateValues" dxfId="2851" priority="86"/>
  </conditionalFormatting>
  <conditionalFormatting sqref="H45:I45">
    <cfRule type="duplicateValues" dxfId="2850" priority="145"/>
  </conditionalFormatting>
  <conditionalFormatting sqref="H47:I47">
    <cfRule type="duplicateValues" dxfId="2849" priority="246"/>
  </conditionalFormatting>
  <conditionalFormatting sqref="H48:I48">
    <cfRule type="duplicateValues" dxfId="2848" priority="164"/>
  </conditionalFormatting>
  <conditionalFormatting sqref="H49:I49">
    <cfRule type="duplicateValues" dxfId="2847" priority="165"/>
  </conditionalFormatting>
  <conditionalFormatting sqref="H50:I50">
    <cfRule type="duplicateValues" dxfId="2846" priority="226"/>
  </conditionalFormatting>
  <conditionalFormatting sqref="H51:I51">
    <cfRule type="duplicateValues" dxfId="2845" priority="185"/>
  </conditionalFormatting>
  <conditionalFormatting sqref="H52:I52">
    <cfRule type="duplicateValues" dxfId="2844" priority="205"/>
  </conditionalFormatting>
  <conditionalFormatting sqref="H54:I54">
    <cfRule type="duplicateValues" dxfId="2843" priority="143"/>
  </conditionalFormatting>
  <conditionalFormatting sqref="H55:I55">
    <cfRule type="duplicateValues" dxfId="2842" priority="84"/>
  </conditionalFormatting>
  <conditionalFormatting sqref="H56:I56">
    <cfRule type="duplicateValues" dxfId="2841" priority="266"/>
  </conditionalFormatting>
  <conditionalFormatting sqref="H57:I57">
    <cfRule type="duplicateValues" dxfId="2840" priority="301"/>
  </conditionalFormatting>
  <conditionalFormatting sqref="H58:I58">
    <cfRule type="duplicateValues" dxfId="2839" priority="122"/>
  </conditionalFormatting>
  <conditionalFormatting sqref="H59:I59">
    <cfRule type="duplicateValues" dxfId="2838" priority="103"/>
  </conditionalFormatting>
  <conditionalFormatting sqref="H61:I61">
    <cfRule type="duplicateValues" dxfId="2837" priority="203"/>
  </conditionalFormatting>
  <conditionalFormatting sqref="H62:I62">
    <cfRule type="duplicateValues" dxfId="2836" priority="224"/>
  </conditionalFormatting>
  <conditionalFormatting sqref="H63:I63">
    <cfRule type="duplicateValues" dxfId="2835" priority="282"/>
  </conditionalFormatting>
  <conditionalFormatting sqref="H64:I64">
    <cfRule type="duplicateValues" dxfId="2834" priority="183"/>
  </conditionalFormatting>
  <conditionalFormatting sqref="H65:I65">
    <cfRule type="duplicateValues" dxfId="2833" priority="142"/>
  </conditionalFormatting>
  <conditionalFormatting sqref="H66:I66">
    <cfRule type="duplicateValues" dxfId="2832" priority="162"/>
  </conditionalFormatting>
  <conditionalFormatting sqref="H68:I68">
    <cfRule type="duplicateValues" dxfId="2831" priority="82"/>
  </conditionalFormatting>
  <conditionalFormatting sqref="H69:I69">
    <cfRule type="duplicateValues" dxfId="2830" priority="120"/>
  </conditionalFormatting>
  <conditionalFormatting sqref="H70:I70">
    <cfRule type="duplicateValues" dxfId="2829" priority="101"/>
  </conditionalFormatting>
  <conditionalFormatting sqref="H71:I71">
    <cfRule type="duplicateValues" dxfId="2828" priority="243"/>
  </conditionalFormatting>
  <conditionalFormatting sqref="H72:I72">
    <cfRule type="duplicateValues" dxfId="2827" priority="264"/>
  </conditionalFormatting>
  <conditionalFormatting sqref="H73:I73">
    <cfRule type="duplicateValues" dxfId="2826" priority="299"/>
  </conditionalFormatting>
  <conditionalFormatting sqref="H75:I75">
    <cfRule type="duplicateValues" dxfId="2825" priority="160"/>
  </conditionalFormatting>
  <conditionalFormatting sqref="H76:I76">
    <cfRule type="duplicateValues" dxfId="2824" priority="181"/>
  </conditionalFormatting>
  <conditionalFormatting sqref="H77:I77">
    <cfRule type="duplicateValues" dxfId="2823" priority="201"/>
  </conditionalFormatting>
  <conditionalFormatting sqref="H78:I78">
    <cfRule type="duplicateValues" dxfId="2822" priority="280"/>
  </conditionalFormatting>
  <conditionalFormatting sqref="H79:I79">
    <cfRule type="duplicateValues" dxfId="2821" priority="140"/>
  </conditionalFormatting>
  <conditionalFormatting sqref="H80:I80">
    <cfRule type="duplicateValues" dxfId="2820" priority="57"/>
  </conditionalFormatting>
  <conditionalFormatting sqref="H81:I81">
    <cfRule type="duplicateValues" dxfId="2819" priority="81"/>
  </conditionalFormatting>
  <conditionalFormatting sqref="H82:I82">
    <cfRule type="duplicateValues" dxfId="2818" priority="46"/>
  </conditionalFormatting>
  <conditionalFormatting sqref="H83:I83">
    <cfRule type="duplicateValues" dxfId="2817" priority="54"/>
    <cfRule type="duplicateValues" dxfId="2816" priority="99"/>
  </conditionalFormatting>
  <conditionalFormatting sqref="H84:I84">
    <cfRule type="duplicateValues" dxfId="2815" priority="56"/>
    <cfRule type="duplicateValues" dxfId="2814" priority="262"/>
  </conditionalFormatting>
  <conditionalFormatting sqref="H85:I85">
    <cfRule type="duplicateValues" dxfId="2813" priority="52"/>
    <cfRule type="duplicateValues" dxfId="2812" priority="297"/>
  </conditionalFormatting>
  <conditionalFormatting sqref="H86:I86">
    <cfRule type="duplicateValues" dxfId="2811" priority="53"/>
    <cfRule type="duplicateValues" dxfId="2810" priority="221"/>
  </conditionalFormatting>
  <conditionalFormatting sqref="H87:I87">
    <cfRule type="duplicateValues" dxfId="2809" priority="47"/>
    <cfRule type="duplicateValues" dxfId="2808" priority="241"/>
  </conditionalFormatting>
  <conditionalFormatting sqref="H88:I88">
    <cfRule type="duplicateValues" dxfId="2807" priority="118"/>
  </conditionalFormatting>
  <conditionalFormatting sqref="H89:I89">
    <cfRule type="duplicateValues" dxfId="2806" priority="43"/>
  </conditionalFormatting>
  <conditionalFormatting sqref="H90:I90">
    <cfRule type="duplicateValues" dxfId="2805" priority="79"/>
  </conditionalFormatting>
  <conditionalFormatting sqref="H91:I91">
    <cfRule type="duplicateValues" dxfId="2804" priority="138"/>
  </conditionalFormatting>
  <conditionalFormatting sqref="H92:I92">
    <cfRule type="duplicateValues" dxfId="2803" priority="158"/>
  </conditionalFormatting>
  <conditionalFormatting sqref="H93:I93">
    <cfRule type="duplicateValues" dxfId="2802" priority="179"/>
  </conditionalFormatting>
  <conditionalFormatting sqref="H94:I94">
    <cfRule type="duplicateValues" dxfId="2801" priority="278"/>
  </conditionalFormatting>
  <conditionalFormatting sqref="H95:I95">
    <cfRule type="duplicateValues" dxfId="2800" priority="98"/>
  </conditionalFormatting>
  <conditionalFormatting sqref="H96:I96">
    <cfRule type="duplicateValues" dxfId="2799" priority="41"/>
  </conditionalFormatting>
  <conditionalFormatting sqref="H97:I97">
    <cfRule type="duplicateValues" dxfId="2798" priority="116"/>
  </conditionalFormatting>
  <conditionalFormatting sqref="H98:I98">
    <cfRule type="duplicateValues" dxfId="2797" priority="219"/>
  </conditionalFormatting>
  <conditionalFormatting sqref="H99:I99">
    <cfRule type="duplicateValues" dxfId="2796" priority="240"/>
  </conditionalFormatting>
  <conditionalFormatting sqref="H100:I100">
    <cfRule type="duplicateValues" dxfId="2795" priority="198"/>
  </conditionalFormatting>
  <conditionalFormatting sqref="H101:I101">
    <cfRule type="duplicateValues" dxfId="2794" priority="260"/>
  </conditionalFormatting>
  <conditionalFormatting sqref="H102:I102">
    <cfRule type="duplicateValues" dxfId="2793" priority="65"/>
  </conditionalFormatting>
  <conditionalFormatting sqref="H103:I103">
    <cfRule type="duplicateValues" dxfId="2792" priority="40"/>
  </conditionalFormatting>
  <conditionalFormatting sqref="H104:I104">
    <cfRule type="duplicateValues" dxfId="2791" priority="177"/>
  </conditionalFormatting>
  <conditionalFormatting sqref="H105:I105">
    <cfRule type="duplicateValues" dxfId="2790" priority="197"/>
  </conditionalFormatting>
  <conditionalFormatting sqref="H106:I106">
    <cfRule type="duplicateValues" dxfId="2789" priority="218"/>
  </conditionalFormatting>
  <conditionalFormatting sqref="H107:I107">
    <cfRule type="duplicateValues" dxfId="2788" priority="294"/>
  </conditionalFormatting>
  <conditionalFormatting sqref="H108:I108">
    <cfRule type="duplicateValues" dxfId="2787" priority="239"/>
  </conditionalFormatting>
  <conditionalFormatting sqref="H109:I109">
    <cfRule type="duplicateValues" dxfId="2786" priority="259"/>
  </conditionalFormatting>
  <conditionalFormatting sqref="H110:I110">
    <cfRule type="duplicateValues" dxfId="2785" priority="37"/>
  </conditionalFormatting>
  <conditionalFormatting sqref="H111:I111">
    <cfRule type="duplicateValues" dxfId="2784" priority="275"/>
  </conditionalFormatting>
  <conditionalFormatting sqref="H112:I112">
    <cfRule type="duplicateValues" dxfId="2783" priority="114"/>
  </conditionalFormatting>
  <conditionalFormatting sqref="H113:I113">
    <cfRule type="duplicateValues" dxfId="2782" priority="95"/>
  </conditionalFormatting>
  <conditionalFormatting sqref="H114:I114">
    <cfRule type="duplicateValues" dxfId="2781" priority="76"/>
  </conditionalFormatting>
  <conditionalFormatting sqref="H115:I115">
    <cfRule type="duplicateValues" dxfId="2780" priority="135"/>
  </conditionalFormatting>
  <conditionalFormatting sqref="H116:I116">
    <cfRule type="duplicateValues" dxfId="2779" priority="155"/>
  </conditionalFormatting>
  <conditionalFormatting sqref="H117:I117">
    <cfRule type="duplicateValues" dxfId="2778" priority="36"/>
  </conditionalFormatting>
  <conditionalFormatting sqref="H118:I118">
    <cfRule type="duplicateValues" dxfId="2777" priority="258"/>
  </conditionalFormatting>
  <conditionalFormatting sqref="H119:I119">
    <cfRule type="duplicateValues" dxfId="2776" priority="64"/>
  </conditionalFormatting>
  <conditionalFormatting sqref="H120:I120">
    <cfRule type="duplicateValues" dxfId="2775" priority="175"/>
  </conditionalFormatting>
  <conditionalFormatting sqref="H121:I121">
    <cfRule type="duplicateValues" dxfId="2774" priority="237"/>
  </conditionalFormatting>
  <conditionalFormatting sqref="H122:I122">
    <cfRule type="duplicateValues" dxfId="2773" priority="195"/>
  </conditionalFormatting>
  <conditionalFormatting sqref="H123:I123">
    <cfRule type="duplicateValues" dxfId="2772" priority="216"/>
  </conditionalFormatting>
  <conditionalFormatting sqref="H124:I124">
    <cfRule type="duplicateValues" dxfId="2771" priority="33"/>
  </conditionalFormatting>
  <conditionalFormatting sqref="H125:I125">
    <cfRule type="duplicateValues" dxfId="2770" priority="256"/>
  </conditionalFormatting>
  <conditionalFormatting sqref="H126:I126">
    <cfRule type="duplicateValues" dxfId="2769" priority="133"/>
  </conditionalFormatting>
  <conditionalFormatting sqref="H127:I127">
    <cfRule type="duplicateValues" dxfId="2768" priority="292"/>
  </conditionalFormatting>
  <conditionalFormatting sqref="H128:I128">
    <cfRule type="duplicateValues" dxfId="2767" priority="112"/>
  </conditionalFormatting>
  <conditionalFormatting sqref="H129:I129">
    <cfRule type="duplicateValues" dxfId="2766" priority="93"/>
  </conditionalFormatting>
  <conditionalFormatting sqref="H130:I130">
    <cfRule type="duplicateValues" dxfId="2765" priority="74"/>
  </conditionalFormatting>
  <conditionalFormatting sqref="H131:I131">
    <cfRule type="duplicateValues" dxfId="2764" priority="32"/>
  </conditionalFormatting>
  <conditionalFormatting sqref="H132:I132">
    <cfRule type="duplicateValues" dxfId="2763" priority="214"/>
  </conditionalFormatting>
  <conditionalFormatting sqref="H133:I133">
    <cfRule type="duplicateValues" dxfId="2762" priority="235"/>
  </conditionalFormatting>
  <conditionalFormatting sqref="H134:I134">
    <cfRule type="duplicateValues" dxfId="2761" priority="63"/>
  </conditionalFormatting>
  <conditionalFormatting sqref="H135:I135">
    <cfRule type="duplicateValues" dxfId="2760" priority="193"/>
  </conditionalFormatting>
  <conditionalFormatting sqref="H136:I136">
    <cfRule type="duplicateValues" dxfId="2759" priority="152"/>
  </conditionalFormatting>
  <conditionalFormatting sqref="H137:I137">
    <cfRule type="duplicateValues" dxfId="2758" priority="174"/>
  </conditionalFormatting>
  <conditionalFormatting sqref="H138:I138">
    <cfRule type="duplicateValues" dxfId="2757" priority="29"/>
  </conditionalFormatting>
  <conditionalFormatting sqref="H139:I139">
    <cfRule type="duplicateValues" dxfId="2756" priority="234"/>
  </conditionalFormatting>
  <conditionalFormatting sqref="H140:I140">
    <cfRule type="duplicateValues" dxfId="2755" priority="91"/>
  </conditionalFormatting>
  <conditionalFormatting sqref="H141:I141">
    <cfRule type="duplicateValues" dxfId="2754" priority="72"/>
  </conditionalFormatting>
  <conditionalFormatting sqref="H142:I142">
    <cfRule type="duplicateValues" dxfId="2753" priority="254"/>
  </conditionalFormatting>
  <conditionalFormatting sqref="H143:I143">
    <cfRule type="duplicateValues" dxfId="2752" priority="290"/>
  </conditionalFormatting>
  <conditionalFormatting sqref="H144:I144">
    <cfRule type="duplicateValues" dxfId="2751" priority="110"/>
  </conditionalFormatting>
  <conditionalFormatting sqref="H145:I145">
    <cfRule type="duplicateValues" dxfId="2750" priority="28"/>
  </conditionalFormatting>
  <conditionalFormatting sqref="H146:I146">
    <cfRule type="duplicateValues" dxfId="2749" priority="171"/>
  </conditionalFormatting>
  <conditionalFormatting sqref="H147:I147">
    <cfRule type="duplicateValues" dxfId="2748" priority="191"/>
  </conditionalFormatting>
  <conditionalFormatting sqref="H148:I148">
    <cfRule type="duplicateValues" dxfId="2747" priority="212"/>
  </conditionalFormatting>
  <conditionalFormatting sqref="H149:I149">
    <cfRule type="duplicateValues" dxfId="2746" priority="150"/>
  </conditionalFormatting>
  <conditionalFormatting sqref="H150:I150">
    <cfRule type="duplicateValues" dxfId="2745" priority="271"/>
  </conditionalFormatting>
  <conditionalFormatting sqref="H151:I151">
    <cfRule type="duplicateValues" dxfId="2744" priority="130"/>
  </conditionalFormatting>
  <conditionalFormatting sqref="H152:I152">
    <cfRule type="duplicateValues" dxfId="2743" priority="26"/>
  </conditionalFormatting>
  <conditionalFormatting sqref="H153:I153">
    <cfRule type="duplicateValues" dxfId="2742" priority="211"/>
  </conditionalFormatting>
  <conditionalFormatting sqref="H154:I154">
    <cfRule type="duplicateValues" dxfId="2741" priority="108"/>
  </conditionalFormatting>
  <conditionalFormatting sqref="H155:I155">
    <cfRule type="duplicateValues" dxfId="2740" priority="232"/>
  </conditionalFormatting>
  <conditionalFormatting sqref="H156:I156">
    <cfRule type="duplicateValues" dxfId="2739" priority="252"/>
  </conditionalFormatting>
  <conditionalFormatting sqref="H157:I158">
    <cfRule type="duplicateValues" dxfId="2738" priority="89"/>
  </conditionalFormatting>
  <conditionalFormatting sqref="H159:I159">
    <cfRule type="duplicateValues" dxfId="2737" priority="21"/>
  </conditionalFormatting>
  <conditionalFormatting sqref="H160:I160">
    <cfRule type="duplicateValues" dxfId="2736" priority="24"/>
  </conditionalFormatting>
  <conditionalFormatting sqref="H161:I161">
    <cfRule type="duplicateValues" dxfId="2735" priority="128"/>
  </conditionalFormatting>
  <conditionalFormatting sqref="H162:I162">
    <cfRule type="duplicateValues" dxfId="2734" priority="149"/>
  </conditionalFormatting>
  <conditionalFormatting sqref="H163:I163">
    <cfRule type="duplicateValues" dxfId="2733" priority="169"/>
  </conditionalFormatting>
  <conditionalFormatting sqref="H164:I164">
    <cfRule type="duplicateValues" dxfId="2732" priority="189"/>
  </conditionalFormatting>
  <conditionalFormatting sqref="H165:I165">
    <cfRule type="duplicateValues" dxfId="2731" priority="69"/>
  </conditionalFormatting>
  <conditionalFormatting sqref="H166:I166">
    <cfRule type="duplicateValues" dxfId="2730" priority="20"/>
  </conditionalFormatting>
  <conditionalFormatting sqref="H167:I167">
    <cfRule type="duplicateValues" dxfId="2729" priority="19"/>
  </conditionalFormatting>
  <conditionalFormatting sqref="H168:I168">
    <cfRule type="duplicateValues" dxfId="2728" priority="188"/>
  </conditionalFormatting>
  <conditionalFormatting sqref="H169:I169">
    <cfRule type="duplicateValues" dxfId="2727" priority="230"/>
  </conditionalFormatting>
  <conditionalFormatting sqref="H170:I170">
    <cfRule type="duplicateValues" dxfId="2726" priority="250"/>
  </conditionalFormatting>
  <conditionalFormatting sqref="H171:I171">
    <cfRule type="duplicateValues" dxfId="2725" priority="209"/>
  </conditionalFormatting>
  <conditionalFormatting sqref="H172:I172">
    <cfRule type="duplicateValues" dxfId="2724" priority="287"/>
  </conditionalFormatting>
  <conditionalFormatting sqref="H173:I173">
    <cfRule type="duplicateValues" dxfId="2723" priority="14"/>
  </conditionalFormatting>
  <conditionalFormatting sqref="H174:I174">
    <cfRule type="duplicateValues" dxfId="2722" priority="16"/>
  </conditionalFormatting>
  <conditionalFormatting sqref="H175:I175">
    <cfRule type="duplicateValues" dxfId="2721" priority="88"/>
  </conditionalFormatting>
  <conditionalFormatting sqref="H176:I176">
    <cfRule type="duplicateValues" dxfId="2720" priority="67"/>
  </conditionalFormatting>
  <conditionalFormatting sqref="H177:I177">
    <cfRule type="duplicateValues" dxfId="2719" priority="126"/>
  </conditionalFormatting>
  <conditionalFormatting sqref="H178:I178">
    <cfRule type="duplicateValues" dxfId="2718" priority="147"/>
  </conditionalFormatting>
  <conditionalFormatting sqref="I26:I31">
    <cfRule type="duplicateValues" dxfId="2717" priority="59"/>
  </conditionalFormatting>
  <conditionalFormatting sqref="I10:L21">
    <cfRule type="cellIs" dxfId="2716" priority="3" operator="lessThan">
      <formula>5</formula>
    </cfRule>
    <cfRule type="cellIs" dxfId="2715" priority="4" operator="greaterThan">
      <formula>6</formula>
    </cfRule>
  </conditionalFormatting>
  <conditionalFormatting sqref="J10:J21">
    <cfRule type="containsText" dxfId="2714" priority="2" operator="containsText" text="c'[Fixtures All.xlsx]Women Filtered'!$F$2">
      <formula>NOT(ISERROR(SEARCH("c'[Fixtures All.xlsx]Women Filtered'!$F$2",J10)))</formula>
    </cfRule>
  </conditionalFormatting>
  <conditionalFormatting sqref="J26:K26">
    <cfRule type="containsText" dxfId="2713" priority="305" operator="containsText" text="did">
      <formula>NOT(ISERROR(SEARCH("did",J26)))</formula>
    </cfRule>
  </conditionalFormatting>
  <conditionalFormatting sqref="K3:K4 K7:K8">
    <cfRule type="duplicateValues" dxfId="2712" priority="3309"/>
  </conditionalFormatting>
  <conditionalFormatting sqref="K5">
    <cfRule type="duplicateValues" dxfId="2711" priority="308"/>
  </conditionalFormatting>
  <conditionalFormatting sqref="K9:K21">
    <cfRule type="containsText" dxfId="2710" priority="10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2709" priority="9" operator="containsText" text="c'[Fixtures All.xlsx]Women Filtered'!$F$2">
      <formula>NOT(ISERROR(SEARCH("c'[Fixtures All.xlsx]Women Filtered'!$F$2",L10)))</formula>
    </cfRule>
  </conditionalFormatting>
  <conditionalFormatting sqref="F1:I1048576">
    <cfRule type="containsText" dxfId="2708" priority="1" operator="containsText" text="Code">
      <formula>NOT(ISERROR(SEARCH("Code",F1)))</formula>
    </cfRule>
  </conditionalFormatting>
  <hyperlinks>
    <hyperlink ref="K3" location="Contents!A1" display="Back to Contents" xr:uid="{3D64A480-B8C6-491E-B185-00C333EEEF46}"/>
    <hyperlink ref="K5:K6" location="'All Fixtures'!A1" display="See all NW Fixtures" xr:uid="{DCDAFEEF-B18F-4546-BE7B-0B36144FE95E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9F2BA-2189-4966-99E6-31F53EE9E03B}">
  <sheetPr>
    <tabColor rgb="FFC00000"/>
  </sheetPr>
  <dimension ref="A2:AQ186"/>
  <sheetViews>
    <sheetView workbookViewId="0">
      <pane ySplit="24" topLeftCell="A25" activePane="bottomLeft" state="frozen"/>
      <selection pane="bottomLeft" activeCell="B10" sqref="B10:B18"/>
    </sheetView>
  </sheetViews>
  <sheetFormatPr defaultRowHeight="14.4" x14ac:dyDescent="0.3"/>
  <cols>
    <col min="1" max="1" width="8.88671875" style="3"/>
    <col min="2" max="2" width="14.6640625" style="3" customWidth="1"/>
    <col min="3" max="3" width="27.6640625" style="3" customWidth="1"/>
    <col min="4" max="4" width="30.6640625" style="3" customWidth="1"/>
    <col min="5" max="5" width="15.33203125" style="3" customWidth="1"/>
    <col min="6" max="6" width="31" style="3" customWidth="1"/>
    <col min="7" max="7" width="10.88671875" style="4" customWidth="1"/>
    <col min="8" max="8" width="33.21875" style="3" customWidth="1"/>
    <col min="9" max="9" width="9.21875" style="4" customWidth="1"/>
    <col min="10" max="10" width="8.88671875" style="3"/>
    <col min="11" max="11" width="17.21875" style="31" customWidth="1"/>
    <col min="12" max="43" width="8.88671875" style="3"/>
  </cols>
  <sheetData>
    <row r="2" spans="1:11" ht="15" thickBot="1" x14ac:dyDescent="0.35"/>
    <row r="3" spans="1:11" ht="37.200000000000003" thickBot="1" x14ac:dyDescent="0.75">
      <c r="E3" s="16" t="s">
        <v>55</v>
      </c>
      <c r="I3" s="16"/>
      <c r="K3" s="45" t="s">
        <v>86</v>
      </c>
    </row>
    <row r="4" spans="1:11" ht="15" customHeight="1" thickBot="1" x14ac:dyDescent="0.35"/>
    <row r="5" spans="1:11" ht="15" customHeight="1" x14ac:dyDescent="0.3">
      <c r="K5" s="185" t="s">
        <v>417</v>
      </c>
    </row>
    <row r="6" spans="1:11" ht="15" customHeight="1" thickBot="1" x14ac:dyDescent="0.4">
      <c r="E6" s="54" t="s">
        <v>430</v>
      </c>
      <c r="K6" s="186"/>
    </row>
    <row r="7" spans="1:11" ht="15" customHeight="1" x14ac:dyDescent="0.3"/>
    <row r="8" spans="1:11" ht="15" customHeight="1" x14ac:dyDescent="0.7">
      <c r="B8" s="16"/>
    </row>
    <row r="9" spans="1:11" ht="15" customHeight="1" x14ac:dyDescent="0.4">
      <c r="B9" s="21" t="s">
        <v>85</v>
      </c>
    </row>
    <row r="10" spans="1:11" ht="15" customHeight="1" x14ac:dyDescent="0.3">
      <c r="A10" s="47">
        <f>COUNTIF(F26:H187,"Bowdon 8")</f>
        <v>27</v>
      </c>
      <c r="B10" s="3" t="s">
        <v>232</v>
      </c>
    </row>
    <row r="11" spans="1:11" ht="15" customHeight="1" x14ac:dyDescent="0.3">
      <c r="A11" s="47">
        <f>COUNTIF(F26:H187,"Buxton 4")</f>
        <v>27</v>
      </c>
      <c r="B11" s="3" t="s">
        <v>233</v>
      </c>
    </row>
    <row r="12" spans="1:11" ht="15" customHeight="1" x14ac:dyDescent="0.3">
      <c r="A12" s="47">
        <f>COUNTIF(F26:H187,"Didsbury Northern 7")</f>
        <v>27</v>
      </c>
      <c r="B12" s="3" t="s">
        <v>234</v>
      </c>
    </row>
    <row r="13" spans="1:11" ht="15" customHeight="1" x14ac:dyDescent="0.3">
      <c r="A13" s="47">
        <f>COUNTIF(F26:H187,"Didsbury Northern Development")</f>
        <v>27</v>
      </c>
      <c r="B13" s="3" t="s">
        <v>235</v>
      </c>
    </row>
    <row r="14" spans="1:11" ht="15" customHeight="1" x14ac:dyDescent="0.3">
      <c r="A14" s="47">
        <f>COUNTIF(F26:H187,"Horwich 2")</f>
        <v>27</v>
      </c>
      <c r="B14" s="3" t="s">
        <v>236</v>
      </c>
    </row>
    <row r="15" spans="1:11" ht="15" customHeight="1" x14ac:dyDescent="0.3">
      <c r="A15" s="47">
        <f>COUNTIF(F26:H187,"Leigh 1")</f>
        <v>27</v>
      </c>
      <c r="B15" s="3" t="s">
        <v>237</v>
      </c>
    </row>
    <row r="16" spans="1:11" x14ac:dyDescent="0.3">
      <c r="A16" s="47">
        <f>COUNTIF(F26:H187,"Sale 3")</f>
        <v>27</v>
      </c>
      <c r="B16" s="3" t="s">
        <v>238</v>
      </c>
    </row>
    <row r="17" spans="1:9" x14ac:dyDescent="0.3">
      <c r="A17" s="47">
        <f>COUNTIF(F26:H187,"Stockport Bramhall 3")</f>
        <v>27</v>
      </c>
      <c r="B17" s="3" t="s">
        <v>239</v>
      </c>
    </row>
    <row r="18" spans="1:9" x14ac:dyDescent="0.3">
      <c r="A18" s="47">
        <f>COUNTIF(F26:H187,"Timperley 7")</f>
        <v>27</v>
      </c>
      <c r="B18" s="3" t="s">
        <v>240</v>
      </c>
    </row>
    <row r="19" spans="1:9" x14ac:dyDescent="0.3">
      <c r="A19" s="47">
        <f>COUNTIF(F26:H187,"Bye - Friendly")</f>
        <v>27</v>
      </c>
      <c r="B19" s="3" t="s">
        <v>424</v>
      </c>
    </row>
    <row r="23" spans="1:9" ht="21" x14ac:dyDescent="0.4">
      <c r="B23" s="22" t="s">
        <v>93</v>
      </c>
    </row>
    <row r="24" spans="1:9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6" spans="1:9" x14ac:dyDescent="0.3">
      <c r="B26" s="44">
        <v>45185</v>
      </c>
      <c r="C26" s="3" t="s">
        <v>416</v>
      </c>
      <c r="D26" s="3" t="s">
        <v>55</v>
      </c>
      <c r="E26" s="42">
        <v>4369902</v>
      </c>
      <c r="F26" s="4" t="s">
        <v>232</v>
      </c>
      <c r="G26" s="4">
        <v>3360507</v>
      </c>
      <c r="H26" s="4" t="s">
        <v>233</v>
      </c>
      <c r="I26" s="4">
        <v>3359606</v>
      </c>
    </row>
    <row r="27" spans="1:9" x14ac:dyDescent="0.3">
      <c r="B27" s="44">
        <v>45185</v>
      </c>
      <c r="C27" s="3" t="s">
        <v>416</v>
      </c>
      <c r="D27" s="3" t="s">
        <v>55</v>
      </c>
      <c r="E27" s="42">
        <v>4369902</v>
      </c>
      <c r="F27" s="4" t="s">
        <v>234</v>
      </c>
      <c r="G27" s="4">
        <v>3356807</v>
      </c>
      <c r="H27" s="53" t="s">
        <v>240</v>
      </c>
      <c r="I27" s="53">
        <v>3348403</v>
      </c>
    </row>
    <row r="28" spans="1:9" x14ac:dyDescent="0.3">
      <c r="B28" s="44">
        <v>45185</v>
      </c>
      <c r="C28" s="3" t="s">
        <v>416</v>
      </c>
      <c r="D28" s="3" t="s">
        <v>55</v>
      </c>
      <c r="E28" s="42">
        <v>4369902</v>
      </c>
      <c r="F28" s="4" t="s">
        <v>235</v>
      </c>
      <c r="G28" s="4">
        <v>3900005</v>
      </c>
      <c r="H28" s="4" t="s">
        <v>239</v>
      </c>
      <c r="I28" s="4">
        <v>3348809</v>
      </c>
    </row>
    <row r="29" spans="1:9" x14ac:dyDescent="0.3">
      <c r="B29" s="44">
        <v>45185</v>
      </c>
      <c r="C29" s="3" t="s">
        <v>416</v>
      </c>
      <c r="D29" s="3" t="s">
        <v>55</v>
      </c>
      <c r="E29" s="42">
        <v>4369902</v>
      </c>
      <c r="F29" s="4" t="s">
        <v>236</v>
      </c>
      <c r="G29" s="4">
        <v>3355704</v>
      </c>
      <c r="H29" s="4" t="s">
        <v>238</v>
      </c>
      <c r="I29" s="4">
        <v>3350105</v>
      </c>
    </row>
    <row r="30" spans="1:9" x14ac:dyDescent="0.3">
      <c r="B30" s="44">
        <v>45185</v>
      </c>
      <c r="C30" s="3" t="s">
        <v>416</v>
      </c>
      <c r="D30" s="3" t="s">
        <v>55</v>
      </c>
      <c r="E30" s="42">
        <v>4369902</v>
      </c>
      <c r="F30" s="4" t="s">
        <v>237</v>
      </c>
      <c r="G30" s="4">
        <v>3354705</v>
      </c>
      <c r="H30" s="52" t="s">
        <v>424</v>
      </c>
      <c r="I30" s="52"/>
    </row>
    <row r="31" spans="1:9" x14ac:dyDescent="0.3">
      <c r="B31" s="4"/>
      <c r="E31" s="42"/>
      <c r="F31" s="4"/>
    </row>
    <row r="32" spans="1:9" x14ac:dyDescent="0.3">
      <c r="B32" s="44">
        <v>45192</v>
      </c>
      <c r="C32" s="3" t="s">
        <v>416</v>
      </c>
      <c r="D32" s="3" t="s">
        <v>55</v>
      </c>
      <c r="E32" s="42">
        <v>4369902</v>
      </c>
      <c r="F32" s="3" t="s">
        <v>234</v>
      </c>
      <c r="G32" s="4">
        <v>3356807</v>
      </c>
      <c r="H32" s="4" t="s">
        <v>232</v>
      </c>
      <c r="I32" s="4">
        <v>3360507</v>
      </c>
    </row>
    <row r="33" spans="2:9" x14ac:dyDescent="0.3">
      <c r="B33" s="44">
        <v>45192</v>
      </c>
      <c r="C33" s="3" t="s">
        <v>416</v>
      </c>
      <c r="D33" s="3" t="s">
        <v>55</v>
      </c>
      <c r="E33" s="42">
        <v>4369902</v>
      </c>
      <c r="F33" s="52" t="s">
        <v>424</v>
      </c>
      <c r="G33" s="52"/>
      <c r="H33" s="4" t="s">
        <v>233</v>
      </c>
      <c r="I33" s="4">
        <v>3359606</v>
      </c>
    </row>
    <row r="34" spans="2:9" x14ac:dyDescent="0.3">
      <c r="B34" s="44">
        <v>45192</v>
      </c>
      <c r="C34" s="3" t="s">
        <v>416</v>
      </c>
      <c r="D34" s="3" t="s">
        <v>55</v>
      </c>
      <c r="E34" s="42">
        <v>4369902</v>
      </c>
      <c r="F34" s="3" t="s">
        <v>240</v>
      </c>
      <c r="G34" s="4">
        <v>3348403</v>
      </c>
      <c r="H34" s="4" t="s">
        <v>235</v>
      </c>
      <c r="I34" s="4">
        <v>3900005</v>
      </c>
    </row>
    <row r="35" spans="2:9" x14ac:dyDescent="0.3">
      <c r="B35" s="44">
        <v>45192</v>
      </c>
      <c r="C35" s="3" t="s">
        <v>416</v>
      </c>
      <c r="D35" s="3" t="s">
        <v>55</v>
      </c>
      <c r="E35" s="42">
        <v>4369902</v>
      </c>
      <c r="F35" s="3" t="s">
        <v>239</v>
      </c>
      <c r="G35" s="4">
        <v>3348809</v>
      </c>
      <c r="H35" s="4" t="s">
        <v>236</v>
      </c>
      <c r="I35" s="4">
        <v>3355704</v>
      </c>
    </row>
    <row r="36" spans="2:9" x14ac:dyDescent="0.3">
      <c r="B36" s="44">
        <v>45192</v>
      </c>
      <c r="C36" s="3" t="s">
        <v>416</v>
      </c>
      <c r="D36" s="3" t="s">
        <v>55</v>
      </c>
      <c r="E36" s="42">
        <v>4369902</v>
      </c>
      <c r="F36" s="3" t="s">
        <v>238</v>
      </c>
      <c r="G36" s="4">
        <v>3350105</v>
      </c>
      <c r="H36" s="4" t="s">
        <v>237</v>
      </c>
      <c r="I36" s="4">
        <v>3354705</v>
      </c>
    </row>
    <row r="37" spans="2:9" x14ac:dyDescent="0.3">
      <c r="B37" s="4"/>
      <c r="E37" s="42"/>
      <c r="F37" s="4"/>
    </row>
    <row r="38" spans="2:9" x14ac:dyDescent="0.3">
      <c r="B38" s="44">
        <v>45199</v>
      </c>
      <c r="C38" s="3" t="s">
        <v>416</v>
      </c>
      <c r="D38" s="3" t="s">
        <v>55</v>
      </c>
      <c r="E38" s="42">
        <v>4369902</v>
      </c>
      <c r="F38" s="4" t="s">
        <v>232</v>
      </c>
      <c r="G38" s="4">
        <v>3360507</v>
      </c>
      <c r="H38" s="4" t="s">
        <v>235</v>
      </c>
      <c r="I38" s="4">
        <v>3900005</v>
      </c>
    </row>
    <row r="39" spans="2:9" x14ac:dyDescent="0.3">
      <c r="B39" s="44">
        <v>45199</v>
      </c>
      <c r="C39" s="3" t="s">
        <v>416</v>
      </c>
      <c r="D39" s="3" t="s">
        <v>55</v>
      </c>
      <c r="E39" s="42">
        <v>4369902</v>
      </c>
      <c r="F39" s="4" t="s">
        <v>233</v>
      </c>
      <c r="G39" s="4">
        <v>3359606</v>
      </c>
      <c r="H39" s="4" t="s">
        <v>234</v>
      </c>
      <c r="I39" s="4">
        <v>3356807</v>
      </c>
    </row>
    <row r="40" spans="2:9" x14ac:dyDescent="0.3">
      <c r="B40" s="44">
        <v>45199</v>
      </c>
      <c r="C40" s="3" t="s">
        <v>416</v>
      </c>
      <c r="D40" s="3" t="s">
        <v>55</v>
      </c>
      <c r="E40" s="42">
        <v>4369902</v>
      </c>
      <c r="F40" s="4" t="s">
        <v>236</v>
      </c>
      <c r="G40" s="4">
        <v>3355704</v>
      </c>
      <c r="H40" s="4" t="s">
        <v>240</v>
      </c>
      <c r="I40" s="4">
        <v>3348403</v>
      </c>
    </row>
    <row r="41" spans="2:9" x14ac:dyDescent="0.3">
      <c r="B41" s="44">
        <v>45199</v>
      </c>
      <c r="C41" s="3" t="s">
        <v>416</v>
      </c>
      <c r="D41" s="3" t="s">
        <v>55</v>
      </c>
      <c r="E41" s="42">
        <v>4369902</v>
      </c>
      <c r="F41" s="3" t="s">
        <v>237</v>
      </c>
      <c r="G41" s="4">
        <v>3354705</v>
      </c>
      <c r="H41" s="4" t="s">
        <v>239</v>
      </c>
      <c r="I41" s="4">
        <v>3348809</v>
      </c>
    </row>
    <row r="42" spans="2:9" x14ac:dyDescent="0.3">
      <c r="B42" s="44">
        <v>45199</v>
      </c>
      <c r="C42" s="3" t="s">
        <v>416</v>
      </c>
      <c r="D42" s="3" t="s">
        <v>55</v>
      </c>
      <c r="E42" s="42">
        <v>4369902</v>
      </c>
      <c r="F42" s="4" t="s">
        <v>238</v>
      </c>
      <c r="G42" s="4">
        <v>3350105</v>
      </c>
      <c r="H42" s="52" t="s">
        <v>424</v>
      </c>
      <c r="I42" s="52"/>
    </row>
    <row r="43" spans="2:9" x14ac:dyDescent="0.3">
      <c r="B43" s="4"/>
      <c r="E43" s="42"/>
      <c r="F43" s="4"/>
    </row>
    <row r="44" spans="2:9" x14ac:dyDescent="0.3">
      <c r="B44" s="44">
        <v>45206</v>
      </c>
      <c r="C44" s="3" t="s">
        <v>416</v>
      </c>
      <c r="D44" s="3" t="s">
        <v>55</v>
      </c>
      <c r="E44" s="42">
        <v>4369902</v>
      </c>
      <c r="F44" s="4" t="s">
        <v>236</v>
      </c>
      <c r="G44" s="4">
        <v>3355704</v>
      </c>
      <c r="H44" s="53" t="s">
        <v>232</v>
      </c>
      <c r="I44" s="53">
        <v>3360507</v>
      </c>
    </row>
    <row r="45" spans="2:9" x14ac:dyDescent="0.3">
      <c r="B45" s="44">
        <v>45206</v>
      </c>
      <c r="C45" s="3" t="s">
        <v>416</v>
      </c>
      <c r="D45" s="3" t="s">
        <v>55</v>
      </c>
      <c r="E45" s="42">
        <v>4369902</v>
      </c>
      <c r="F45" s="3" t="s">
        <v>235</v>
      </c>
      <c r="G45" s="4">
        <v>3900005</v>
      </c>
      <c r="H45" s="4" t="s">
        <v>233</v>
      </c>
      <c r="I45" s="4">
        <v>3359606</v>
      </c>
    </row>
    <row r="46" spans="2:9" x14ac:dyDescent="0.3">
      <c r="B46" s="44">
        <v>45206</v>
      </c>
      <c r="C46" s="3" t="s">
        <v>416</v>
      </c>
      <c r="D46" s="3" t="s">
        <v>55</v>
      </c>
      <c r="E46" s="42">
        <v>4369902</v>
      </c>
      <c r="F46" s="52" t="s">
        <v>424</v>
      </c>
      <c r="G46" s="52"/>
      <c r="H46" s="4" t="s">
        <v>234</v>
      </c>
      <c r="I46" s="4">
        <v>3356807</v>
      </c>
    </row>
    <row r="47" spans="2:9" x14ac:dyDescent="0.3">
      <c r="B47" s="44">
        <v>45206</v>
      </c>
      <c r="C47" s="3" t="s">
        <v>416</v>
      </c>
      <c r="D47" s="3" t="s">
        <v>55</v>
      </c>
      <c r="E47" s="42">
        <v>4369902</v>
      </c>
      <c r="F47" s="3" t="s">
        <v>240</v>
      </c>
      <c r="G47" s="4">
        <v>3348403</v>
      </c>
      <c r="H47" s="4" t="s">
        <v>237</v>
      </c>
      <c r="I47" s="4">
        <v>3354705</v>
      </c>
    </row>
    <row r="48" spans="2:9" x14ac:dyDescent="0.3">
      <c r="B48" s="44">
        <v>45206</v>
      </c>
      <c r="C48" s="3" t="s">
        <v>416</v>
      </c>
      <c r="D48" s="3" t="s">
        <v>55</v>
      </c>
      <c r="E48" s="42">
        <v>4369902</v>
      </c>
      <c r="F48" s="4" t="s">
        <v>239</v>
      </c>
      <c r="G48" s="4">
        <v>3348809</v>
      </c>
      <c r="H48" s="4" t="s">
        <v>238</v>
      </c>
      <c r="I48" s="4">
        <v>3350105</v>
      </c>
    </row>
    <row r="49" spans="2:9" x14ac:dyDescent="0.3">
      <c r="B49" s="4"/>
      <c r="E49" s="42"/>
      <c r="F49" s="4"/>
    </row>
    <row r="50" spans="2:9" x14ac:dyDescent="0.3">
      <c r="B50" s="44">
        <v>45213</v>
      </c>
      <c r="C50" s="3" t="s">
        <v>416</v>
      </c>
      <c r="D50" s="3" t="s">
        <v>55</v>
      </c>
      <c r="E50" s="42">
        <v>4369902</v>
      </c>
      <c r="F50" s="4" t="s">
        <v>232</v>
      </c>
      <c r="G50" s="4">
        <v>3360507</v>
      </c>
      <c r="H50" s="4" t="s">
        <v>237</v>
      </c>
      <c r="I50" s="4">
        <v>3354705</v>
      </c>
    </row>
    <row r="51" spans="2:9" x14ac:dyDescent="0.3">
      <c r="B51" s="44">
        <v>45213</v>
      </c>
      <c r="C51" s="3" t="s">
        <v>416</v>
      </c>
      <c r="D51" s="3" t="s">
        <v>55</v>
      </c>
      <c r="E51" s="42">
        <v>4369902</v>
      </c>
      <c r="F51" s="3" t="s">
        <v>233</v>
      </c>
      <c r="G51" s="4">
        <v>3359606</v>
      </c>
      <c r="H51" s="4" t="s">
        <v>236</v>
      </c>
      <c r="I51" s="4">
        <v>3355704</v>
      </c>
    </row>
    <row r="52" spans="2:9" x14ac:dyDescent="0.3">
      <c r="B52" s="44">
        <v>45213</v>
      </c>
      <c r="C52" s="3" t="s">
        <v>416</v>
      </c>
      <c r="D52" s="3" t="s">
        <v>55</v>
      </c>
      <c r="E52" s="42">
        <v>4369902</v>
      </c>
      <c r="F52" s="4" t="s">
        <v>234</v>
      </c>
      <c r="G52" s="4">
        <v>3356807</v>
      </c>
      <c r="H52" s="4" t="s">
        <v>235</v>
      </c>
      <c r="I52" s="4">
        <v>3900005</v>
      </c>
    </row>
    <row r="53" spans="2:9" x14ac:dyDescent="0.3">
      <c r="B53" s="44">
        <v>45213</v>
      </c>
      <c r="C53" s="3" t="s">
        <v>416</v>
      </c>
      <c r="D53" s="3" t="s">
        <v>55</v>
      </c>
      <c r="E53" s="42">
        <v>4369902</v>
      </c>
      <c r="F53" s="3" t="s">
        <v>238</v>
      </c>
      <c r="G53" s="4">
        <v>3350105</v>
      </c>
      <c r="H53" s="4" t="s">
        <v>240</v>
      </c>
      <c r="I53" s="4">
        <v>3348403</v>
      </c>
    </row>
    <row r="54" spans="2:9" x14ac:dyDescent="0.3">
      <c r="B54" s="44">
        <v>45213</v>
      </c>
      <c r="C54" s="3" t="s">
        <v>416</v>
      </c>
      <c r="D54" s="3" t="s">
        <v>55</v>
      </c>
      <c r="E54" s="42">
        <v>4369902</v>
      </c>
      <c r="F54" s="4" t="s">
        <v>239</v>
      </c>
      <c r="G54" s="4">
        <v>3348809</v>
      </c>
      <c r="H54" s="52" t="s">
        <v>424</v>
      </c>
      <c r="I54" s="52"/>
    </row>
    <row r="55" spans="2:9" x14ac:dyDescent="0.3">
      <c r="B55" s="4"/>
      <c r="E55" s="42"/>
      <c r="F55" s="4"/>
    </row>
    <row r="56" spans="2:9" x14ac:dyDescent="0.3">
      <c r="B56" s="44">
        <v>45220</v>
      </c>
      <c r="C56" s="3" t="s">
        <v>416</v>
      </c>
      <c r="D56" s="3" t="s">
        <v>55</v>
      </c>
      <c r="E56" s="42">
        <v>4369902</v>
      </c>
      <c r="F56" s="4" t="s">
        <v>238</v>
      </c>
      <c r="G56" s="4">
        <v>3350105</v>
      </c>
      <c r="H56" s="4" t="s">
        <v>232</v>
      </c>
      <c r="I56" s="4">
        <v>3360507</v>
      </c>
    </row>
    <row r="57" spans="2:9" x14ac:dyDescent="0.3">
      <c r="B57" s="44">
        <v>45220</v>
      </c>
      <c r="C57" s="3" t="s">
        <v>416</v>
      </c>
      <c r="D57" s="3" t="s">
        <v>55</v>
      </c>
      <c r="E57" s="42">
        <v>4369902</v>
      </c>
      <c r="F57" s="4" t="s">
        <v>237</v>
      </c>
      <c r="G57" s="4">
        <v>3354705</v>
      </c>
      <c r="H57" s="53" t="s">
        <v>233</v>
      </c>
      <c r="I57" s="53">
        <v>3359606</v>
      </c>
    </row>
    <row r="58" spans="2:9" x14ac:dyDescent="0.3">
      <c r="B58" s="44">
        <v>45220</v>
      </c>
      <c r="C58" s="3" t="s">
        <v>416</v>
      </c>
      <c r="D58" s="3" t="s">
        <v>55</v>
      </c>
      <c r="E58" s="42">
        <v>4369902</v>
      </c>
      <c r="F58" s="3" t="s">
        <v>236</v>
      </c>
      <c r="G58" s="4">
        <v>3355704</v>
      </c>
      <c r="H58" s="4" t="s">
        <v>234</v>
      </c>
      <c r="I58" s="4">
        <v>3356807</v>
      </c>
    </row>
    <row r="59" spans="2:9" x14ac:dyDescent="0.3">
      <c r="B59" s="44">
        <v>45220</v>
      </c>
      <c r="C59" s="3" t="s">
        <v>416</v>
      </c>
      <c r="D59" s="3" t="s">
        <v>55</v>
      </c>
      <c r="E59" s="42">
        <v>4369902</v>
      </c>
      <c r="F59" s="52" t="s">
        <v>424</v>
      </c>
      <c r="G59" s="52"/>
      <c r="H59" s="4" t="s">
        <v>235</v>
      </c>
      <c r="I59" s="4">
        <v>3900005</v>
      </c>
    </row>
    <row r="60" spans="2:9" x14ac:dyDescent="0.3">
      <c r="B60" s="44">
        <v>45220</v>
      </c>
      <c r="C60" s="3" t="s">
        <v>416</v>
      </c>
      <c r="D60" s="3" t="s">
        <v>55</v>
      </c>
      <c r="E60" s="42">
        <v>4369902</v>
      </c>
      <c r="F60" s="4" t="s">
        <v>240</v>
      </c>
      <c r="G60" s="4">
        <v>3348403</v>
      </c>
      <c r="H60" s="4" t="s">
        <v>239</v>
      </c>
      <c r="I60" s="4">
        <v>3348809</v>
      </c>
    </row>
    <row r="61" spans="2:9" x14ac:dyDescent="0.3">
      <c r="B61" s="4"/>
      <c r="E61" s="42"/>
      <c r="F61" s="4"/>
    </row>
    <row r="62" spans="2:9" x14ac:dyDescent="0.3">
      <c r="B62" s="44">
        <v>45227</v>
      </c>
      <c r="C62" s="3" t="s">
        <v>416</v>
      </c>
      <c r="D62" s="3" t="s">
        <v>55</v>
      </c>
      <c r="E62" s="42">
        <v>4369902</v>
      </c>
      <c r="F62" s="4" t="s">
        <v>232</v>
      </c>
      <c r="G62" s="4">
        <v>3360507</v>
      </c>
      <c r="H62" s="4" t="s">
        <v>239</v>
      </c>
      <c r="I62" s="4">
        <v>3348809</v>
      </c>
    </row>
    <row r="63" spans="2:9" x14ac:dyDescent="0.3">
      <c r="B63" s="44">
        <v>45227</v>
      </c>
      <c r="C63" s="3" t="s">
        <v>416</v>
      </c>
      <c r="D63" s="3" t="s">
        <v>55</v>
      </c>
      <c r="E63" s="42">
        <v>4369902</v>
      </c>
      <c r="F63" s="3" t="s">
        <v>233</v>
      </c>
      <c r="G63" s="4">
        <v>3359606</v>
      </c>
      <c r="H63" s="4" t="s">
        <v>238</v>
      </c>
      <c r="I63" s="4">
        <v>3350105</v>
      </c>
    </row>
    <row r="64" spans="2:9" x14ac:dyDescent="0.3">
      <c r="B64" s="44">
        <v>45227</v>
      </c>
      <c r="C64" s="3" t="s">
        <v>416</v>
      </c>
      <c r="D64" s="3" t="s">
        <v>55</v>
      </c>
      <c r="E64" s="42">
        <v>4369902</v>
      </c>
      <c r="F64" s="3" t="s">
        <v>234</v>
      </c>
      <c r="G64" s="4">
        <v>3356807</v>
      </c>
      <c r="H64" s="4" t="s">
        <v>237</v>
      </c>
      <c r="I64" s="4">
        <v>3354705</v>
      </c>
    </row>
    <row r="65" spans="2:9" x14ac:dyDescent="0.3">
      <c r="B65" s="44">
        <v>45227</v>
      </c>
      <c r="C65" s="3" t="s">
        <v>416</v>
      </c>
      <c r="D65" s="3" t="s">
        <v>55</v>
      </c>
      <c r="E65" s="42">
        <v>4369902</v>
      </c>
      <c r="F65" s="3" t="s">
        <v>235</v>
      </c>
      <c r="G65" s="4">
        <v>3900005</v>
      </c>
      <c r="H65" s="4" t="s">
        <v>236</v>
      </c>
      <c r="I65" s="4">
        <v>3355704</v>
      </c>
    </row>
    <row r="66" spans="2:9" x14ac:dyDescent="0.3">
      <c r="B66" s="44">
        <v>45227</v>
      </c>
      <c r="C66" s="3" t="s">
        <v>416</v>
      </c>
      <c r="D66" s="3" t="s">
        <v>55</v>
      </c>
      <c r="E66" s="42">
        <v>4369902</v>
      </c>
      <c r="F66" s="4" t="s">
        <v>240</v>
      </c>
      <c r="G66" s="4">
        <v>3348403</v>
      </c>
      <c r="H66" s="52" t="s">
        <v>424</v>
      </c>
      <c r="I66" s="52"/>
    </row>
    <row r="67" spans="2:9" x14ac:dyDescent="0.3">
      <c r="B67" s="4"/>
      <c r="E67" s="42"/>
      <c r="F67" s="4"/>
    </row>
    <row r="68" spans="2:9" x14ac:dyDescent="0.3">
      <c r="B68" s="44">
        <v>45234</v>
      </c>
      <c r="C68" s="3" t="s">
        <v>416</v>
      </c>
      <c r="D68" s="3" t="s">
        <v>55</v>
      </c>
      <c r="E68" s="42">
        <v>4369902</v>
      </c>
      <c r="F68" s="4" t="s">
        <v>240</v>
      </c>
      <c r="G68" s="4">
        <v>3348403</v>
      </c>
      <c r="H68" s="4" t="s">
        <v>232</v>
      </c>
      <c r="I68" s="4">
        <v>3360507</v>
      </c>
    </row>
    <row r="69" spans="2:9" x14ac:dyDescent="0.3">
      <c r="B69" s="44">
        <v>45234</v>
      </c>
      <c r="C69" s="3" t="s">
        <v>416</v>
      </c>
      <c r="D69" s="3" t="s">
        <v>55</v>
      </c>
      <c r="E69" s="42">
        <v>4369902</v>
      </c>
      <c r="F69" s="4" t="s">
        <v>239</v>
      </c>
      <c r="G69" s="4">
        <v>3348809</v>
      </c>
      <c r="H69" s="4" t="s">
        <v>233</v>
      </c>
      <c r="I69" s="4">
        <v>3359606</v>
      </c>
    </row>
    <row r="70" spans="2:9" x14ac:dyDescent="0.3">
      <c r="B70" s="44">
        <v>45234</v>
      </c>
      <c r="C70" s="3" t="s">
        <v>416</v>
      </c>
      <c r="D70" s="3" t="s">
        <v>55</v>
      </c>
      <c r="E70" s="42">
        <v>4369902</v>
      </c>
      <c r="F70" s="3" t="s">
        <v>238</v>
      </c>
      <c r="G70" s="4">
        <v>3350105</v>
      </c>
      <c r="H70" s="4" t="s">
        <v>234</v>
      </c>
      <c r="I70" s="4">
        <v>3356807</v>
      </c>
    </row>
    <row r="71" spans="2:9" x14ac:dyDescent="0.3">
      <c r="B71" s="44">
        <v>45234</v>
      </c>
      <c r="C71" s="3" t="s">
        <v>416</v>
      </c>
      <c r="D71" s="3" t="s">
        <v>55</v>
      </c>
      <c r="E71" s="42">
        <v>4369902</v>
      </c>
      <c r="F71" s="4" t="s">
        <v>237</v>
      </c>
      <c r="G71" s="4">
        <v>3354705</v>
      </c>
      <c r="H71" s="4" t="s">
        <v>235</v>
      </c>
      <c r="I71" s="4">
        <v>3900005</v>
      </c>
    </row>
    <row r="72" spans="2:9" x14ac:dyDescent="0.3">
      <c r="B72" s="44">
        <v>45234</v>
      </c>
      <c r="C72" s="3" t="s">
        <v>416</v>
      </c>
      <c r="D72" s="3" t="s">
        <v>55</v>
      </c>
      <c r="E72" s="42">
        <v>4369902</v>
      </c>
      <c r="F72" s="52" t="s">
        <v>424</v>
      </c>
      <c r="G72" s="52"/>
      <c r="H72" s="53" t="s">
        <v>236</v>
      </c>
      <c r="I72" s="53">
        <v>3355704</v>
      </c>
    </row>
    <row r="73" spans="2:9" x14ac:dyDescent="0.3">
      <c r="B73" s="4"/>
      <c r="E73" s="42"/>
      <c r="F73" s="4"/>
    </row>
    <row r="74" spans="2:9" x14ac:dyDescent="0.3">
      <c r="B74" s="44">
        <v>45241</v>
      </c>
      <c r="C74" s="3" t="s">
        <v>416</v>
      </c>
      <c r="D74" s="3" t="s">
        <v>55</v>
      </c>
      <c r="E74" s="42">
        <v>4369902</v>
      </c>
      <c r="F74" s="4" t="s">
        <v>232</v>
      </c>
      <c r="G74" s="4">
        <v>3360507</v>
      </c>
      <c r="H74" s="52" t="s">
        <v>424</v>
      </c>
      <c r="I74" s="52"/>
    </row>
    <row r="75" spans="2:9" x14ac:dyDescent="0.3">
      <c r="B75" s="44">
        <v>45241</v>
      </c>
      <c r="C75" s="3" t="s">
        <v>416</v>
      </c>
      <c r="D75" s="3" t="s">
        <v>55</v>
      </c>
      <c r="E75" s="42">
        <v>4369902</v>
      </c>
      <c r="F75" s="3" t="s">
        <v>233</v>
      </c>
      <c r="G75" s="4">
        <v>3359606</v>
      </c>
      <c r="H75" s="4" t="s">
        <v>240</v>
      </c>
      <c r="I75" s="4">
        <v>3348403</v>
      </c>
    </row>
    <row r="76" spans="2:9" x14ac:dyDescent="0.3">
      <c r="B76" s="44">
        <v>45241</v>
      </c>
      <c r="C76" s="3" t="s">
        <v>416</v>
      </c>
      <c r="D76" s="3" t="s">
        <v>55</v>
      </c>
      <c r="E76" s="42">
        <v>4369902</v>
      </c>
      <c r="F76" s="3" t="s">
        <v>234</v>
      </c>
      <c r="G76" s="4">
        <v>3356807</v>
      </c>
      <c r="H76" s="4" t="s">
        <v>239</v>
      </c>
      <c r="I76" s="4">
        <v>3348809</v>
      </c>
    </row>
    <row r="77" spans="2:9" x14ac:dyDescent="0.3">
      <c r="B77" s="44">
        <v>45241</v>
      </c>
      <c r="C77" s="3" t="s">
        <v>416</v>
      </c>
      <c r="D77" s="3" t="s">
        <v>55</v>
      </c>
      <c r="E77" s="42">
        <v>4369902</v>
      </c>
      <c r="F77" s="3" t="s">
        <v>235</v>
      </c>
      <c r="G77" s="4">
        <v>3900005</v>
      </c>
      <c r="H77" s="4" t="s">
        <v>238</v>
      </c>
      <c r="I77" s="4">
        <v>3350105</v>
      </c>
    </row>
    <row r="78" spans="2:9" x14ac:dyDescent="0.3">
      <c r="B78" s="44">
        <v>45241</v>
      </c>
      <c r="C78" s="3" t="s">
        <v>416</v>
      </c>
      <c r="D78" s="3" t="s">
        <v>55</v>
      </c>
      <c r="E78" s="42">
        <v>4369902</v>
      </c>
      <c r="F78" s="3" t="s">
        <v>236</v>
      </c>
      <c r="G78" s="4">
        <v>3355704</v>
      </c>
      <c r="H78" s="4" t="s">
        <v>237</v>
      </c>
      <c r="I78" s="4">
        <v>3354705</v>
      </c>
    </row>
    <row r="79" spans="2:9" x14ac:dyDescent="0.3">
      <c r="B79" s="4"/>
      <c r="E79" s="42"/>
      <c r="F79" s="4"/>
    </row>
    <row r="80" spans="2:9" x14ac:dyDescent="0.3">
      <c r="B80" s="44">
        <v>45248</v>
      </c>
      <c r="C80" s="3" t="s">
        <v>416</v>
      </c>
      <c r="D80" s="3" t="s">
        <v>55</v>
      </c>
      <c r="E80" s="42">
        <v>4369902</v>
      </c>
      <c r="F80" s="3" t="s">
        <v>233</v>
      </c>
      <c r="G80" s="4">
        <v>3359606</v>
      </c>
      <c r="H80" s="4" t="s">
        <v>232</v>
      </c>
      <c r="I80" s="4">
        <v>3360507</v>
      </c>
    </row>
    <row r="81" spans="2:9" x14ac:dyDescent="0.3">
      <c r="B81" s="44">
        <v>45248</v>
      </c>
      <c r="C81" s="3" t="s">
        <v>416</v>
      </c>
      <c r="D81" s="3" t="s">
        <v>55</v>
      </c>
      <c r="E81" s="42">
        <v>4369902</v>
      </c>
      <c r="F81" s="3" t="s">
        <v>240</v>
      </c>
      <c r="G81" s="4">
        <v>3348403</v>
      </c>
      <c r="H81" s="4" t="s">
        <v>234</v>
      </c>
      <c r="I81" s="4">
        <v>3356807</v>
      </c>
    </row>
    <row r="82" spans="2:9" x14ac:dyDescent="0.3">
      <c r="B82" s="44">
        <v>45248</v>
      </c>
      <c r="C82" s="3" t="s">
        <v>416</v>
      </c>
      <c r="D82" s="3" t="s">
        <v>55</v>
      </c>
      <c r="E82" s="42">
        <v>4369902</v>
      </c>
      <c r="F82" s="3" t="s">
        <v>239</v>
      </c>
      <c r="G82" s="4">
        <v>3348809</v>
      </c>
      <c r="H82" s="4" t="s">
        <v>235</v>
      </c>
      <c r="I82" s="4">
        <v>3900005</v>
      </c>
    </row>
    <row r="83" spans="2:9" x14ac:dyDescent="0.3">
      <c r="B83" s="44">
        <v>45248</v>
      </c>
      <c r="C83" s="3" t="s">
        <v>416</v>
      </c>
      <c r="D83" s="3" t="s">
        <v>55</v>
      </c>
      <c r="E83" s="42">
        <v>4369902</v>
      </c>
      <c r="F83" s="3" t="s">
        <v>238</v>
      </c>
      <c r="G83" s="4">
        <v>3350105</v>
      </c>
      <c r="H83" s="4" t="s">
        <v>236</v>
      </c>
      <c r="I83" s="4">
        <v>3355704</v>
      </c>
    </row>
    <row r="84" spans="2:9" x14ac:dyDescent="0.3">
      <c r="B84" s="44">
        <v>45248</v>
      </c>
      <c r="C84" s="3" t="s">
        <v>416</v>
      </c>
      <c r="D84" s="3" t="s">
        <v>55</v>
      </c>
      <c r="E84" s="42">
        <v>4369902</v>
      </c>
      <c r="F84" s="52" t="s">
        <v>424</v>
      </c>
      <c r="G84" s="52"/>
      <c r="H84" s="4" t="s">
        <v>237</v>
      </c>
      <c r="I84" s="4">
        <v>3354705</v>
      </c>
    </row>
    <row r="85" spans="2:9" x14ac:dyDescent="0.3">
      <c r="B85" s="4"/>
      <c r="E85" s="42"/>
      <c r="F85" s="4"/>
    </row>
    <row r="86" spans="2:9" x14ac:dyDescent="0.3">
      <c r="B86" s="44">
        <v>45255</v>
      </c>
      <c r="C86" s="3" t="s">
        <v>416</v>
      </c>
      <c r="D86" s="3" t="s">
        <v>55</v>
      </c>
      <c r="E86" s="42">
        <v>4369902</v>
      </c>
      <c r="F86" s="4" t="s">
        <v>232</v>
      </c>
      <c r="G86" s="4">
        <v>3360507</v>
      </c>
      <c r="H86" s="4" t="s">
        <v>234</v>
      </c>
      <c r="I86" s="4">
        <v>3356807</v>
      </c>
    </row>
    <row r="87" spans="2:9" x14ac:dyDescent="0.3">
      <c r="B87" s="44">
        <v>45255</v>
      </c>
      <c r="C87" s="3" t="s">
        <v>416</v>
      </c>
      <c r="D87" s="3" t="s">
        <v>55</v>
      </c>
      <c r="E87" s="42">
        <v>4369902</v>
      </c>
      <c r="F87" s="4" t="s">
        <v>233</v>
      </c>
      <c r="G87" s="4">
        <v>3359606</v>
      </c>
      <c r="H87" s="52" t="s">
        <v>424</v>
      </c>
      <c r="I87" s="52"/>
    </row>
    <row r="88" spans="2:9" x14ac:dyDescent="0.3">
      <c r="B88" s="44">
        <v>45255</v>
      </c>
      <c r="C88" s="3" t="s">
        <v>416</v>
      </c>
      <c r="D88" s="3" t="s">
        <v>55</v>
      </c>
      <c r="E88" s="42">
        <v>4369902</v>
      </c>
      <c r="F88" s="4" t="s">
        <v>235</v>
      </c>
      <c r="G88" s="4">
        <v>3900005</v>
      </c>
      <c r="H88" s="4" t="s">
        <v>240</v>
      </c>
      <c r="I88" s="4">
        <v>3348403</v>
      </c>
    </row>
    <row r="89" spans="2:9" x14ac:dyDescent="0.3">
      <c r="B89" s="44">
        <v>45255</v>
      </c>
      <c r="C89" s="3" t="s">
        <v>416</v>
      </c>
      <c r="D89" s="3" t="s">
        <v>55</v>
      </c>
      <c r="E89" s="42">
        <v>4369902</v>
      </c>
      <c r="F89" s="4" t="s">
        <v>236</v>
      </c>
      <c r="G89" s="4">
        <v>3355704</v>
      </c>
      <c r="H89" s="53" t="s">
        <v>239</v>
      </c>
      <c r="I89" s="53">
        <v>3348809</v>
      </c>
    </row>
    <row r="90" spans="2:9" x14ac:dyDescent="0.3">
      <c r="B90" s="44">
        <v>45255</v>
      </c>
      <c r="C90" s="3" t="s">
        <v>416</v>
      </c>
      <c r="D90" s="3" t="s">
        <v>55</v>
      </c>
      <c r="E90" s="42">
        <v>4369902</v>
      </c>
      <c r="F90" s="4" t="s">
        <v>237</v>
      </c>
      <c r="G90" s="4">
        <v>3354705</v>
      </c>
      <c r="H90" s="4" t="s">
        <v>238</v>
      </c>
      <c r="I90" s="4">
        <v>3350105</v>
      </c>
    </row>
    <row r="91" spans="2:9" x14ac:dyDescent="0.3">
      <c r="B91" s="4"/>
      <c r="E91" s="42"/>
      <c r="F91" s="4"/>
    </row>
    <row r="92" spans="2:9" x14ac:dyDescent="0.3">
      <c r="B92" s="44">
        <v>45262</v>
      </c>
      <c r="C92" s="3" t="s">
        <v>416</v>
      </c>
      <c r="D92" s="3" t="s">
        <v>55</v>
      </c>
      <c r="E92" s="42">
        <v>4369902</v>
      </c>
      <c r="F92" s="3" t="s">
        <v>235</v>
      </c>
      <c r="G92" s="4">
        <v>3900005</v>
      </c>
      <c r="H92" s="53" t="s">
        <v>232</v>
      </c>
      <c r="I92" s="53">
        <v>3360507</v>
      </c>
    </row>
    <row r="93" spans="2:9" x14ac:dyDescent="0.3">
      <c r="B93" s="44">
        <v>45262</v>
      </c>
      <c r="C93" s="3" t="s">
        <v>416</v>
      </c>
      <c r="D93" s="3" t="s">
        <v>55</v>
      </c>
      <c r="E93" s="42">
        <v>4369902</v>
      </c>
      <c r="F93" s="3" t="s">
        <v>234</v>
      </c>
      <c r="G93" s="4">
        <v>3356807</v>
      </c>
      <c r="H93" s="4" t="s">
        <v>233</v>
      </c>
      <c r="I93" s="4">
        <v>3359606</v>
      </c>
    </row>
    <row r="94" spans="2:9" x14ac:dyDescent="0.3">
      <c r="B94" s="44">
        <v>45262</v>
      </c>
      <c r="C94" s="3" t="s">
        <v>416</v>
      </c>
      <c r="D94" s="3" t="s">
        <v>55</v>
      </c>
      <c r="E94" s="42">
        <v>4369902</v>
      </c>
      <c r="F94" s="3" t="s">
        <v>240</v>
      </c>
      <c r="G94" s="4">
        <v>3348403</v>
      </c>
      <c r="H94" s="4" t="s">
        <v>236</v>
      </c>
      <c r="I94" s="4">
        <v>3355704</v>
      </c>
    </row>
    <row r="95" spans="2:9" x14ac:dyDescent="0.3">
      <c r="B95" s="44">
        <v>45262</v>
      </c>
      <c r="C95" s="3" t="s">
        <v>416</v>
      </c>
      <c r="D95" s="3" t="s">
        <v>55</v>
      </c>
      <c r="E95" s="42">
        <v>4369902</v>
      </c>
      <c r="F95" s="3" t="s">
        <v>239</v>
      </c>
      <c r="G95" s="4">
        <v>3348809</v>
      </c>
      <c r="H95" s="4" t="s">
        <v>237</v>
      </c>
      <c r="I95" s="4">
        <v>3354705</v>
      </c>
    </row>
    <row r="96" spans="2:9" x14ac:dyDescent="0.3">
      <c r="B96" s="44">
        <v>45262</v>
      </c>
      <c r="C96" s="3" t="s">
        <v>416</v>
      </c>
      <c r="D96" s="3" t="s">
        <v>55</v>
      </c>
      <c r="E96" s="42">
        <v>4369902</v>
      </c>
      <c r="F96" s="52" t="s">
        <v>424</v>
      </c>
      <c r="G96" s="52"/>
      <c r="H96" s="4" t="s">
        <v>238</v>
      </c>
      <c r="I96" s="4">
        <v>3350105</v>
      </c>
    </row>
    <row r="97" spans="2:9" x14ac:dyDescent="0.3">
      <c r="B97" s="4"/>
      <c r="E97" s="42"/>
      <c r="F97" s="4"/>
    </row>
    <row r="98" spans="2:9" x14ac:dyDescent="0.3">
      <c r="B98" s="44">
        <v>45269</v>
      </c>
      <c r="C98" s="3" t="s">
        <v>416</v>
      </c>
      <c r="D98" s="3" t="s">
        <v>55</v>
      </c>
      <c r="E98" s="42">
        <v>4369902</v>
      </c>
      <c r="F98" s="4" t="s">
        <v>232</v>
      </c>
      <c r="G98" s="4">
        <v>3360507</v>
      </c>
      <c r="H98" s="4" t="s">
        <v>236</v>
      </c>
      <c r="I98" s="4">
        <v>3355704</v>
      </c>
    </row>
    <row r="99" spans="2:9" x14ac:dyDescent="0.3">
      <c r="B99" s="44">
        <v>45269</v>
      </c>
      <c r="C99" s="3" t="s">
        <v>416</v>
      </c>
      <c r="D99" s="3" t="s">
        <v>55</v>
      </c>
      <c r="E99" s="42">
        <v>4369902</v>
      </c>
      <c r="F99" s="3" t="s">
        <v>233</v>
      </c>
      <c r="G99" s="4">
        <v>3359606</v>
      </c>
      <c r="H99" s="4" t="s">
        <v>235</v>
      </c>
      <c r="I99" s="4">
        <v>3900005</v>
      </c>
    </row>
    <row r="100" spans="2:9" x14ac:dyDescent="0.3">
      <c r="B100" s="44">
        <v>45269</v>
      </c>
      <c r="C100" s="3" t="s">
        <v>416</v>
      </c>
      <c r="D100" s="3" t="s">
        <v>55</v>
      </c>
      <c r="E100" s="42">
        <v>4369902</v>
      </c>
      <c r="F100" s="4" t="s">
        <v>234</v>
      </c>
      <c r="G100" s="4">
        <v>3356807</v>
      </c>
      <c r="H100" s="52" t="s">
        <v>424</v>
      </c>
      <c r="I100" s="52"/>
    </row>
    <row r="101" spans="2:9" x14ac:dyDescent="0.3">
      <c r="B101" s="44">
        <v>45269</v>
      </c>
      <c r="C101" s="3" t="s">
        <v>416</v>
      </c>
      <c r="D101" s="3" t="s">
        <v>55</v>
      </c>
      <c r="E101" s="42">
        <v>4369902</v>
      </c>
      <c r="F101" s="3" t="s">
        <v>237</v>
      </c>
      <c r="G101" s="4">
        <v>3354705</v>
      </c>
      <c r="H101" s="4" t="s">
        <v>240</v>
      </c>
      <c r="I101" s="4">
        <v>3348403</v>
      </c>
    </row>
    <row r="102" spans="2:9" x14ac:dyDescent="0.3">
      <c r="B102" s="44">
        <v>45269</v>
      </c>
      <c r="C102" s="3" t="s">
        <v>416</v>
      </c>
      <c r="D102" s="3" t="s">
        <v>55</v>
      </c>
      <c r="E102" s="42">
        <v>4369902</v>
      </c>
      <c r="F102" s="4" t="s">
        <v>238</v>
      </c>
      <c r="G102" s="4">
        <v>3350105</v>
      </c>
      <c r="H102" s="4" t="s">
        <v>239</v>
      </c>
      <c r="I102" s="4">
        <v>3348809</v>
      </c>
    </row>
    <row r="103" spans="2:9" x14ac:dyDescent="0.3">
      <c r="B103" s="4"/>
      <c r="E103" s="42"/>
      <c r="F103" s="4"/>
    </row>
    <row r="104" spans="2:9" x14ac:dyDescent="0.3">
      <c r="B104" s="44">
        <v>45276</v>
      </c>
      <c r="C104" s="3" t="s">
        <v>416</v>
      </c>
      <c r="D104" s="3" t="s">
        <v>55</v>
      </c>
      <c r="E104" s="42">
        <v>4369902</v>
      </c>
      <c r="F104" s="4" t="s">
        <v>237</v>
      </c>
      <c r="G104" s="4">
        <v>3354705</v>
      </c>
      <c r="H104" s="4" t="s">
        <v>232</v>
      </c>
      <c r="I104" s="4">
        <v>3360507</v>
      </c>
    </row>
    <row r="105" spans="2:9" x14ac:dyDescent="0.3">
      <c r="B105" s="44">
        <v>45276</v>
      </c>
      <c r="C105" s="3" t="s">
        <v>416</v>
      </c>
      <c r="D105" s="3" t="s">
        <v>55</v>
      </c>
      <c r="E105" s="42">
        <v>4369902</v>
      </c>
      <c r="F105" s="3" t="s">
        <v>236</v>
      </c>
      <c r="G105" s="4">
        <v>3355704</v>
      </c>
      <c r="H105" s="53" t="s">
        <v>233</v>
      </c>
      <c r="I105" s="53">
        <v>3359606</v>
      </c>
    </row>
    <row r="106" spans="2:9" x14ac:dyDescent="0.3">
      <c r="B106" s="44">
        <v>45276</v>
      </c>
      <c r="C106" s="3" t="s">
        <v>416</v>
      </c>
      <c r="D106" s="3" t="s">
        <v>55</v>
      </c>
      <c r="E106" s="42">
        <v>4369902</v>
      </c>
      <c r="F106" s="3" t="s">
        <v>235</v>
      </c>
      <c r="G106" s="4">
        <v>3900005</v>
      </c>
      <c r="H106" s="4" t="s">
        <v>234</v>
      </c>
      <c r="I106" s="4">
        <v>3356807</v>
      </c>
    </row>
    <row r="107" spans="2:9" x14ac:dyDescent="0.3">
      <c r="B107" s="44">
        <v>45276</v>
      </c>
      <c r="C107" s="3" t="s">
        <v>416</v>
      </c>
      <c r="D107" s="3" t="s">
        <v>55</v>
      </c>
      <c r="E107" s="42">
        <v>4369902</v>
      </c>
      <c r="F107" s="3" t="s">
        <v>240</v>
      </c>
      <c r="G107" s="4">
        <v>3348403</v>
      </c>
      <c r="H107" s="4" t="s">
        <v>238</v>
      </c>
      <c r="I107" s="4">
        <v>3350105</v>
      </c>
    </row>
    <row r="108" spans="2:9" x14ac:dyDescent="0.3">
      <c r="B108" s="44">
        <v>45276</v>
      </c>
      <c r="C108" s="3" t="s">
        <v>416</v>
      </c>
      <c r="D108" s="3" t="s">
        <v>55</v>
      </c>
      <c r="E108" s="42">
        <v>4369902</v>
      </c>
      <c r="F108" s="52" t="s">
        <v>424</v>
      </c>
      <c r="G108" s="52"/>
      <c r="H108" s="4" t="s">
        <v>239</v>
      </c>
      <c r="I108" s="4">
        <v>3348809</v>
      </c>
    </row>
    <row r="109" spans="2:9" x14ac:dyDescent="0.3">
      <c r="B109" s="4"/>
      <c r="E109" s="42"/>
      <c r="F109" s="4"/>
    </row>
    <row r="110" spans="2:9" x14ac:dyDescent="0.3">
      <c r="B110" s="44">
        <v>45297</v>
      </c>
      <c r="C110" s="3" t="s">
        <v>416</v>
      </c>
      <c r="D110" s="3" t="s">
        <v>55</v>
      </c>
      <c r="E110" s="42">
        <v>4369902</v>
      </c>
      <c r="F110" s="4" t="s">
        <v>232</v>
      </c>
      <c r="G110" s="4">
        <v>3360507</v>
      </c>
      <c r="H110" s="4" t="s">
        <v>238</v>
      </c>
      <c r="I110" s="4">
        <v>3350105</v>
      </c>
    </row>
    <row r="111" spans="2:9" x14ac:dyDescent="0.3">
      <c r="B111" s="44">
        <v>45297</v>
      </c>
      <c r="C111" s="3" t="s">
        <v>416</v>
      </c>
      <c r="D111" s="3" t="s">
        <v>55</v>
      </c>
      <c r="E111" s="42">
        <v>4369902</v>
      </c>
      <c r="F111" s="3" t="s">
        <v>233</v>
      </c>
      <c r="G111" s="4">
        <v>3359606</v>
      </c>
      <c r="H111" s="4" t="s">
        <v>237</v>
      </c>
      <c r="I111" s="4">
        <v>3354705</v>
      </c>
    </row>
    <row r="112" spans="2:9" x14ac:dyDescent="0.3">
      <c r="B112" s="44">
        <v>45297</v>
      </c>
      <c r="C112" s="3" t="s">
        <v>416</v>
      </c>
      <c r="D112" s="3" t="s">
        <v>55</v>
      </c>
      <c r="E112" s="42">
        <v>4369902</v>
      </c>
      <c r="F112" s="3" t="s">
        <v>234</v>
      </c>
      <c r="G112" s="4">
        <v>3356807</v>
      </c>
      <c r="H112" s="4" t="s">
        <v>236</v>
      </c>
      <c r="I112" s="4">
        <v>3355704</v>
      </c>
    </row>
    <row r="113" spans="2:9" x14ac:dyDescent="0.3">
      <c r="B113" s="44">
        <v>45297</v>
      </c>
      <c r="C113" s="3" t="s">
        <v>416</v>
      </c>
      <c r="D113" s="3" t="s">
        <v>55</v>
      </c>
      <c r="E113" s="42">
        <v>4369902</v>
      </c>
      <c r="F113" s="3" t="s">
        <v>235</v>
      </c>
      <c r="G113" s="4">
        <v>3900005</v>
      </c>
      <c r="H113" s="52" t="s">
        <v>424</v>
      </c>
      <c r="I113" s="52"/>
    </row>
    <row r="114" spans="2:9" x14ac:dyDescent="0.3">
      <c r="B114" s="44">
        <v>45297</v>
      </c>
      <c r="C114" s="3" t="s">
        <v>416</v>
      </c>
      <c r="D114" s="3" t="s">
        <v>55</v>
      </c>
      <c r="E114" s="42">
        <v>4369902</v>
      </c>
      <c r="F114" s="4" t="s">
        <v>239</v>
      </c>
      <c r="G114" s="4">
        <v>3348809</v>
      </c>
      <c r="H114" s="4" t="s">
        <v>240</v>
      </c>
      <c r="I114" s="4">
        <v>3348403</v>
      </c>
    </row>
    <row r="115" spans="2:9" x14ac:dyDescent="0.3">
      <c r="B115" s="4"/>
      <c r="E115" s="42"/>
      <c r="F115" s="4"/>
    </row>
    <row r="116" spans="2:9" x14ac:dyDescent="0.3">
      <c r="B116" s="44">
        <v>45304</v>
      </c>
      <c r="C116" s="3" t="s">
        <v>416</v>
      </c>
      <c r="D116" s="3" t="s">
        <v>55</v>
      </c>
      <c r="E116" s="42">
        <v>4369902</v>
      </c>
      <c r="F116" s="4" t="s">
        <v>239</v>
      </c>
      <c r="G116" s="4">
        <v>3348809</v>
      </c>
      <c r="H116" s="4" t="s">
        <v>232</v>
      </c>
      <c r="I116" s="4">
        <v>3360507</v>
      </c>
    </row>
    <row r="117" spans="2:9" x14ac:dyDescent="0.3">
      <c r="B117" s="44">
        <v>45304</v>
      </c>
      <c r="C117" s="3" t="s">
        <v>416</v>
      </c>
      <c r="D117" s="3" t="s">
        <v>55</v>
      </c>
      <c r="E117" s="42">
        <v>4369902</v>
      </c>
      <c r="F117" s="4" t="s">
        <v>238</v>
      </c>
      <c r="G117" s="4">
        <v>3350105</v>
      </c>
      <c r="H117" s="4" t="s">
        <v>233</v>
      </c>
      <c r="I117" s="4">
        <v>3359606</v>
      </c>
    </row>
    <row r="118" spans="2:9" x14ac:dyDescent="0.3">
      <c r="B118" s="44">
        <v>45304</v>
      </c>
      <c r="C118" s="3" t="s">
        <v>416</v>
      </c>
      <c r="D118" s="3" t="s">
        <v>55</v>
      </c>
      <c r="E118" s="42">
        <v>4369902</v>
      </c>
      <c r="F118" s="3" t="s">
        <v>237</v>
      </c>
      <c r="G118" s="4">
        <v>3354705</v>
      </c>
      <c r="H118" s="53" t="s">
        <v>234</v>
      </c>
      <c r="I118" s="53">
        <v>3356807</v>
      </c>
    </row>
    <row r="119" spans="2:9" x14ac:dyDescent="0.3">
      <c r="B119" s="44">
        <v>45304</v>
      </c>
      <c r="C119" s="3" t="s">
        <v>416</v>
      </c>
      <c r="D119" s="3" t="s">
        <v>55</v>
      </c>
      <c r="E119" s="42">
        <v>4369902</v>
      </c>
      <c r="F119" s="3" t="s">
        <v>236</v>
      </c>
      <c r="G119" s="4">
        <v>3355704</v>
      </c>
      <c r="H119" s="4" t="s">
        <v>235</v>
      </c>
      <c r="I119" s="4">
        <v>3900005</v>
      </c>
    </row>
    <row r="120" spans="2:9" x14ac:dyDescent="0.3">
      <c r="B120" s="44">
        <v>45304</v>
      </c>
      <c r="C120" s="3" t="s">
        <v>416</v>
      </c>
      <c r="D120" s="3" t="s">
        <v>55</v>
      </c>
      <c r="E120" s="42">
        <v>4369902</v>
      </c>
      <c r="F120" s="52" t="s">
        <v>424</v>
      </c>
      <c r="G120" s="52"/>
      <c r="H120" s="4" t="s">
        <v>240</v>
      </c>
      <c r="I120" s="4">
        <v>3348403</v>
      </c>
    </row>
    <row r="121" spans="2:9" x14ac:dyDescent="0.3">
      <c r="B121" s="4"/>
      <c r="E121" s="42"/>
      <c r="F121" s="4"/>
    </row>
    <row r="122" spans="2:9" x14ac:dyDescent="0.3">
      <c r="B122" s="44">
        <v>45311</v>
      </c>
      <c r="C122" s="3" t="s">
        <v>416</v>
      </c>
      <c r="D122" s="3" t="s">
        <v>55</v>
      </c>
      <c r="E122" s="42">
        <v>4369902</v>
      </c>
      <c r="F122" s="4" t="s">
        <v>232</v>
      </c>
      <c r="G122" s="4">
        <v>3360507</v>
      </c>
      <c r="H122" s="4" t="s">
        <v>240</v>
      </c>
      <c r="I122" s="4">
        <v>3348403</v>
      </c>
    </row>
    <row r="123" spans="2:9" x14ac:dyDescent="0.3">
      <c r="B123" s="44">
        <v>45311</v>
      </c>
      <c r="C123" s="3" t="s">
        <v>416</v>
      </c>
      <c r="D123" s="3" t="s">
        <v>55</v>
      </c>
      <c r="E123" s="42">
        <v>4369902</v>
      </c>
      <c r="F123" s="3" t="s">
        <v>233</v>
      </c>
      <c r="G123" s="4">
        <v>3359606</v>
      </c>
      <c r="H123" s="4" t="s">
        <v>239</v>
      </c>
      <c r="I123" s="4">
        <v>3348809</v>
      </c>
    </row>
    <row r="124" spans="2:9" x14ac:dyDescent="0.3">
      <c r="B124" s="44">
        <v>45311</v>
      </c>
      <c r="C124" s="3" t="s">
        <v>416</v>
      </c>
      <c r="D124" s="3" t="s">
        <v>55</v>
      </c>
      <c r="E124" s="42">
        <v>4369902</v>
      </c>
      <c r="F124" s="3" t="s">
        <v>234</v>
      </c>
      <c r="G124" s="4">
        <v>3356807</v>
      </c>
      <c r="H124" s="4" t="s">
        <v>238</v>
      </c>
      <c r="I124" s="4">
        <v>3350105</v>
      </c>
    </row>
    <row r="125" spans="2:9" x14ac:dyDescent="0.3">
      <c r="B125" s="44">
        <v>45311</v>
      </c>
      <c r="C125" s="3" t="s">
        <v>416</v>
      </c>
      <c r="D125" s="3" t="s">
        <v>55</v>
      </c>
      <c r="E125" s="42">
        <v>4369902</v>
      </c>
      <c r="F125" s="3" t="s">
        <v>235</v>
      </c>
      <c r="G125" s="4">
        <v>3900005</v>
      </c>
      <c r="H125" s="4" t="s">
        <v>237</v>
      </c>
      <c r="I125" s="4">
        <v>3354705</v>
      </c>
    </row>
    <row r="126" spans="2:9" x14ac:dyDescent="0.3">
      <c r="B126" s="44">
        <v>45311</v>
      </c>
      <c r="C126" s="3" t="s">
        <v>416</v>
      </c>
      <c r="D126" s="3" t="s">
        <v>55</v>
      </c>
      <c r="E126" s="42">
        <v>4369902</v>
      </c>
      <c r="F126" s="3" t="s">
        <v>236</v>
      </c>
      <c r="G126" s="4">
        <v>3355704</v>
      </c>
      <c r="H126" s="52" t="s">
        <v>424</v>
      </c>
      <c r="I126" s="52"/>
    </row>
    <row r="127" spans="2:9" x14ac:dyDescent="0.3">
      <c r="B127" s="4"/>
      <c r="E127" s="42"/>
      <c r="F127" s="4"/>
    </row>
    <row r="128" spans="2:9" x14ac:dyDescent="0.3">
      <c r="B128" s="44">
        <v>45318</v>
      </c>
      <c r="C128" s="3" t="s">
        <v>416</v>
      </c>
      <c r="D128" s="3" t="s">
        <v>55</v>
      </c>
      <c r="E128" s="42">
        <v>4369902</v>
      </c>
      <c r="F128" s="52" t="s">
        <v>424</v>
      </c>
      <c r="G128" s="52"/>
      <c r="H128" s="4" t="s">
        <v>232</v>
      </c>
      <c r="I128" s="4">
        <v>3360507</v>
      </c>
    </row>
    <row r="129" spans="2:9" x14ac:dyDescent="0.3">
      <c r="B129" s="44">
        <v>45318</v>
      </c>
      <c r="C129" s="3" t="s">
        <v>416</v>
      </c>
      <c r="D129" s="3" t="s">
        <v>55</v>
      </c>
      <c r="E129" s="42">
        <v>4369902</v>
      </c>
      <c r="F129" s="4" t="s">
        <v>240</v>
      </c>
      <c r="G129" s="4">
        <v>3348403</v>
      </c>
      <c r="H129" s="4" t="s">
        <v>233</v>
      </c>
      <c r="I129" s="4">
        <v>3359606</v>
      </c>
    </row>
    <row r="130" spans="2:9" x14ac:dyDescent="0.3">
      <c r="B130" s="44">
        <v>45318</v>
      </c>
      <c r="C130" s="3" t="s">
        <v>416</v>
      </c>
      <c r="D130" s="3" t="s">
        <v>55</v>
      </c>
      <c r="E130" s="42">
        <v>4369902</v>
      </c>
      <c r="F130" s="3" t="s">
        <v>239</v>
      </c>
      <c r="G130" s="4">
        <v>3348809</v>
      </c>
      <c r="H130" s="53" t="s">
        <v>234</v>
      </c>
      <c r="I130" s="53">
        <v>3356807</v>
      </c>
    </row>
    <row r="131" spans="2:9" x14ac:dyDescent="0.3">
      <c r="B131" s="44">
        <v>45318</v>
      </c>
      <c r="C131" s="3" t="s">
        <v>416</v>
      </c>
      <c r="D131" s="3" t="s">
        <v>55</v>
      </c>
      <c r="E131" s="42">
        <v>4369902</v>
      </c>
      <c r="F131" s="4" t="s">
        <v>238</v>
      </c>
      <c r="G131" s="4">
        <v>3350105</v>
      </c>
      <c r="H131" s="4" t="s">
        <v>235</v>
      </c>
      <c r="I131" s="4">
        <v>3900005</v>
      </c>
    </row>
    <row r="132" spans="2:9" x14ac:dyDescent="0.3">
      <c r="B132" s="44">
        <v>45318</v>
      </c>
      <c r="C132" s="3" t="s">
        <v>416</v>
      </c>
      <c r="D132" s="3" t="s">
        <v>55</v>
      </c>
      <c r="E132" s="42">
        <v>4369902</v>
      </c>
      <c r="F132" s="4" t="s">
        <v>237</v>
      </c>
      <c r="G132" s="4">
        <v>3354705</v>
      </c>
      <c r="H132" s="4" t="s">
        <v>236</v>
      </c>
      <c r="I132" s="4">
        <v>3355704</v>
      </c>
    </row>
    <row r="133" spans="2:9" x14ac:dyDescent="0.3">
      <c r="B133" s="4"/>
    </row>
    <row r="134" spans="2:9" x14ac:dyDescent="0.3">
      <c r="B134" s="44">
        <v>45325</v>
      </c>
      <c r="C134" s="3" t="s">
        <v>416</v>
      </c>
      <c r="D134" s="3" t="s">
        <v>55</v>
      </c>
      <c r="E134" s="42">
        <v>4369902</v>
      </c>
      <c r="F134" s="3" t="s">
        <v>236</v>
      </c>
      <c r="G134" s="4">
        <v>3355704</v>
      </c>
      <c r="H134" s="3" t="s">
        <v>232</v>
      </c>
      <c r="I134" s="4">
        <v>3360507</v>
      </c>
    </row>
    <row r="135" spans="2:9" x14ac:dyDescent="0.3">
      <c r="B135" s="44">
        <v>45325</v>
      </c>
      <c r="C135" s="3" t="s">
        <v>416</v>
      </c>
      <c r="D135" s="3" t="s">
        <v>55</v>
      </c>
      <c r="E135" s="42">
        <v>4369902</v>
      </c>
      <c r="F135" s="3" t="s">
        <v>233</v>
      </c>
      <c r="G135" s="4">
        <v>3359606</v>
      </c>
      <c r="H135" s="3" t="s">
        <v>240</v>
      </c>
      <c r="I135" s="4">
        <v>3348403</v>
      </c>
    </row>
    <row r="136" spans="2:9" x14ac:dyDescent="0.3">
      <c r="B136" s="44">
        <v>45325</v>
      </c>
      <c r="C136" s="3" t="s">
        <v>416</v>
      </c>
      <c r="D136" s="3" t="s">
        <v>55</v>
      </c>
      <c r="E136" s="42">
        <v>4369902</v>
      </c>
      <c r="F136" s="3" t="s">
        <v>234</v>
      </c>
      <c r="G136" s="4">
        <v>3356807</v>
      </c>
      <c r="H136" s="3" t="s">
        <v>239</v>
      </c>
      <c r="I136" s="4">
        <v>3348809</v>
      </c>
    </row>
    <row r="137" spans="2:9" x14ac:dyDescent="0.3">
      <c r="B137" s="44">
        <v>45325</v>
      </c>
      <c r="C137" s="3" t="s">
        <v>416</v>
      </c>
      <c r="D137" s="3" t="s">
        <v>55</v>
      </c>
      <c r="E137" s="42">
        <v>4369902</v>
      </c>
      <c r="F137" s="3" t="s">
        <v>235</v>
      </c>
      <c r="G137" s="4">
        <v>3900005</v>
      </c>
      <c r="H137" s="3" t="s">
        <v>238</v>
      </c>
      <c r="I137" s="4">
        <v>3350105</v>
      </c>
    </row>
    <row r="138" spans="2:9" x14ac:dyDescent="0.3">
      <c r="B138" s="44">
        <v>45325</v>
      </c>
      <c r="C138" s="3" t="s">
        <v>416</v>
      </c>
      <c r="D138" s="3" t="s">
        <v>55</v>
      </c>
      <c r="E138" s="42">
        <v>4369902</v>
      </c>
      <c r="F138" s="3" t="s">
        <v>237</v>
      </c>
      <c r="G138" s="4">
        <v>3354705</v>
      </c>
      <c r="H138" s="52" t="s">
        <v>424</v>
      </c>
      <c r="I138" s="52"/>
    </row>
    <row r="139" spans="2:9" x14ac:dyDescent="0.3">
      <c r="B139" s="4"/>
    </row>
    <row r="140" spans="2:9" x14ac:dyDescent="0.3">
      <c r="B140" s="44">
        <v>45332</v>
      </c>
      <c r="C140" s="3" t="s">
        <v>416</v>
      </c>
      <c r="D140" s="3" t="s">
        <v>55</v>
      </c>
      <c r="E140" s="42">
        <v>4369902</v>
      </c>
      <c r="F140" s="3" t="s">
        <v>233</v>
      </c>
      <c r="G140" s="4">
        <v>3359606</v>
      </c>
      <c r="H140" s="3" t="s">
        <v>236</v>
      </c>
      <c r="I140" s="4">
        <v>3355704</v>
      </c>
    </row>
    <row r="141" spans="2:9" x14ac:dyDescent="0.3">
      <c r="B141" s="44">
        <v>45332</v>
      </c>
      <c r="C141" s="3" t="s">
        <v>416</v>
      </c>
      <c r="D141" s="3" t="s">
        <v>55</v>
      </c>
      <c r="E141" s="42">
        <v>4369902</v>
      </c>
      <c r="F141" s="52" t="s">
        <v>424</v>
      </c>
      <c r="G141" s="52"/>
      <c r="H141" s="3" t="s">
        <v>232</v>
      </c>
      <c r="I141" s="4">
        <v>3360507</v>
      </c>
    </row>
    <row r="142" spans="2:9" x14ac:dyDescent="0.3">
      <c r="B142" s="44">
        <v>45332</v>
      </c>
      <c r="C142" s="3" t="s">
        <v>416</v>
      </c>
      <c r="D142" s="3" t="s">
        <v>55</v>
      </c>
      <c r="E142" s="42">
        <v>4369902</v>
      </c>
      <c r="F142" s="3" t="s">
        <v>240</v>
      </c>
      <c r="G142" s="4">
        <v>3348403</v>
      </c>
      <c r="H142" s="3" t="s">
        <v>234</v>
      </c>
      <c r="I142" s="4">
        <v>3356807</v>
      </c>
    </row>
    <row r="143" spans="2:9" x14ac:dyDescent="0.3">
      <c r="B143" s="44">
        <v>45332</v>
      </c>
      <c r="C143" s="3" t="s">
        <v>416</v>
      </c>
      <c r="D143" s="3" t="s">
        <v>55</v>
      </c>
      <c r="E143" s="42">
        <v>4369902</v>
      </c>
      <c r="F143" s="3" t="s">
        <v>239</v>
      </c>
      <c r="G143" s="4">
        <v>3348809</v>
      </c>
      <c r="H143" s="3" t="s">
        <v>235</v>
      </c>
      <c r="I143" s="4">
        <v>3900005</v>
      </c>
    </row>
    <row r="144" spans="2:9" x14ac:dyDescent="0.3">
      <c r="B144" s="44">
        <v>45332</v>
      </c>
      <c r="C144" s="3" t="s">
        <v>416</v>
      </c>
      <c r="D144" s="3" t="s">
        <v>55</v>
      </c>
      <c r="E144" s="42">
        <v>4369902</v>
      </c>
      <c r="F144" s="3" t="s">
        <v>238</v>
      </c>
      <c r="G144" s="4">
        <v>3350105</v>
      </c>
      <c r="H144" s="3" t="s">
        <v>237</v>
      </c>
      <c r="I144" s="4">
        <v>3354705</v>
      </c>
    </row>
    <row r="145" spans="2:9" x14ac:dyDescent="0.3">
      <c r="B145" s="4"/>
    </row>
    <row r="146" spans="2:9" x14ac:dyDescent="0.3">
      <c r="B146" s="44">
        <v>45339</v>
      </c>
      <c r="C146" s="3" t="s">
        <v>416</v>
      </c>
      <c r="D146" s="3" t="s">
        <v>55</v>
      </c>
      <c r="E146" s="42">
        <v>4369902</v>
      </c>
      <c r="F146" s="3" t="s">
        <v>236</v>
      </c>
      <c r="G146" s="4">
        <v>3355704</v>
      </c>
      <c r="H146" s="3" t="s">
        <v>234</v>
      </c>
      <c r="I146" s="4">
        <v>3356807</v>
      </c>
    </row>
    <row r="147" spans="2:9" x14ac:dyDescent="0.3">
      <c r="B147" s="44">
        <v>45339</v>
      </c>
      <c r="C147" s="3" t="s">
        <v>416</v>
      </c>
      <c r="D147" s="3" t="s">
        <v>55</v>
      </c>
      <c r="E147" s="42">
        <v>4369902</v>
      </c>
      <c r="F147" s="3" t="s">
        <v>232</v>
      </c>
      <c r="G147" s="4">
        <v>3360507</v>
      </c>
      <c r="H147" s="3" t="s">
        <v>233</v>
      </c>
      <c r="I147" s="4">
        <v>3359606</v>
      </c>
    </row>
    <row r="148" spans="2:9" x14ac:dyDescent="0.3">
      <c r="B148" s="44">
        <v>45339</v>
      </c>
      <c r="C148" s="3" t="s">
        <v>416</v>
      </c>
      <c r="D148" s="3" t="s">
        <v>55</v>
      </c>
      <c r="E148" s="42">
        <v>4369902</v>
      </c>
      <c r="F148" s="3" t="s">
        <v>235</v>
      </c>
      <c r="G148" s="4">
        <v>3900005</v>
      </c>
      <c r="H148" s="3" t="s">
        <v>240</v>
      </c>
      <c r="I148" s="4">
        <v>3348403</v>
      </c>
    </row>
    <row r="149" spans="2:9" x14ac:dyDescent="0.3">
      <c r="B149" s="44">
        <v>45339</v>
      </c>
      <c r="C149" s="3" t="s">
        <v>416</v>
      </c>
      <c r="D149" s="3" t="s">
        <v>55</v>
      </c>
      <c r="E149" s="42">
        <v>4369902</v>
      </c>
      <c r="F149" s="3" t="s">
        <v>237</v>
      </c>
      <c r="G149" s="4">
        <v>3354705</v>
      </c>
      <c r="H149" s="3" t="s">
        <v>239</v>
      </c>
      <c r="I149" s="4">
        <v>3348809</v>
      </c>
    </row>
    <row r="150" spans="2:9" x14ac:dyDescent="0.3">
      <c r="B150" s="44">
        <v>45339</v>
      </c>
      <c r="C150" s="3" t="s">
        <v>416</v>
      </c>
      <c r="D150" s="3" t="s">
        <v>55</v>
      </c>
      <c r="E150" s="42">
        <v>4369902</v>
      </c>
      <c r="F150" s="3" t="s">
        <v>238</v>
      </c>
      <c r="G150" s="4">
        <v>3350105</v>
      </c>
      <c r="H150" s="52" t="s">
        <v>424</v>
      </c>
      <c r="I150" s="52"/>
    </row>
    <row r="151" spans="2:9" x14ac:dyDescent="0.3">
      <c r="B151" s="4"/>
    </row>
    <row r="152" spans="2:9" x14ac:dyDescent="0.3">
      <c r="B152" s="44">
        <v>45346</v>
      </c>
      <c r="C152" s="3" t="s">
        <v>416</v>
      </c>
      <c r="D152" s="3" t="s">
        <v>55</v>
      </c>
      <c r="E152" s="42">
        <v>4369902</v>
      </c>
      <c r="F152" s="3" t="s">
        <v>235</v>
      </c>
      <c r="G152" s="4">
        <v>3900005</v>
      </c>
      <c r="H152" s="3" t="s">
        <v>236</v>
      </c>
      <c r="I152" s="4">
        <v>3355704</v>
      </c>
    </row>
    <row r="153" spans="2:9" x14ac:dyDescent="0.3">
      <c r="B153" s="44">
        <v>45346</v>
      </c>
      <c r="C153" s="3" t="s">
        <v>416</v>
      </c>
      <c r="D153" s="3" t="s">
        <v>55</v>
      </c>
      <c r="E153" s="42">
        <v>4369902</v>
      </c>
      <c r="F153" s="3" t="s">
        <v>234</v>
      </c>
      <c r="G153" s="4">
        <v>3356807</v>
      </c>
      <c r="H153" s="3" t="s">
        <v>232</v>
      </c>
      <c r="I153" s="4">
        <v>3360507</v>
      </c>
    </row>
    <row r="154" spans="2:9" x14ac:dyDescent="0.3">
      <c r="B154" s="44">
        <v>45346</v>
      </c>
      <c r="C154" s="3" t="s">
        <v>416</v>
      </c>
      <c r="D154" s="3" t="s">
        <v>55</v>
      </c>
      <c r="E154" s="42">
        <v>4369902</v>
      </c>
      <c r="F154" s="52" t="s">
        <v>424</v>
      </c>
      <c r="G154" s="52"/>
      <c r="H154" s="3" t="s">
        <v>233</v>
      </c>
      <c r="I154" s="4">
        <v>3359606</v>
      </c>
    </row>
    <row r="155" spans="2:9" x14ac:dyDescent="0.3">
      <c r="B155" s="44">
        <v>45346</v>
      </c>
      <c r="C155" s="3" t="s">
        <v>416</v>
      </c>
      <c r="D155" s="3" t="s">
        <v>55</v>
      </c>
      <c r="E155" s="42">
        <v>4369902</v>
      </c>
      <c r="F155" s="3" t="s">
        <v>240</v>
      </c>
      <c r="G155" s="4">
        <v>3348403</v>
      </c>
      <c r="H155" s="3" t="s">
        <v>237</v>
      </c>
      <c r="I155" s="4">
        <v>3354705</v>
      </c>
    </row>
    <row r="156" spans="2:9" x14ac:dyDescent="0.3">
      <c r="B156" s="44">
        <v>45346</v>
      </c>
      <c r="C156" s="3" t="s">
        <v>416</v>
      </c>
      <c r="D156" s="3" t="s">
        <v>55</v>
      </c>
      <c r="E156" s="42">
        <v>4369902</v>
      </c>
      <c r="F156" s="3" t="s">
        <v>239</v>
      </c>
      <c r="G156" s="4">
        <v>3348809</v>
      </c>
      <c r="H156" s="3" t="s">
        <v>238</v>
      </c>
      <c r="I156" s="4">
        <v>3350105</v>
      </c>
    </row>
    <row r="157" spans="2:9" x14ac:dyDescent="0.3">
      <c r="B157" s="4"/>
      <c r="E157" s="42"/>
    </row>
    <row r="158" spans="2:9" x14ac:dyDescent="0.3">
      <c r="B158" s="44">
        <v>45353</v>
      </c>
      <c r="C158" s="3" t="s">
        <v>416</v>
      </c>
      <c r="D158" s="3" t="s">
        <v>55</v>
      </c>
      <c r="E158" s="42">
        <v>4369902</v>
      </c>
      <c r="F158" s="3" t="s">
        <v>236</v>
      </c>
      <c r="G158" s="4">
        <v>3355704</v>
      </c>
      <c r="H158" s="3" t="s">
        <v>237</v>
      </c>
      <c r="I158" s="4">
        <v>3354705</v>
      </c>
    </row>
    <row r="159" spans="2:9" x14ac:dyDescent="0.3">
      <c r="B159" s="44">
        <v>45353</v>
      </c>
      <c r="C159" s="3" t="s">
        <v>416</v>
      </c>
      <c r="D159" s="3" t="s">
        <v>55</v>
      </c>
      <c r="E159" s="42">
        <v>4369902</v>
      </c>
      <c r="F159" s="3" t="s">
        <v>232</v>
      </c>
      <c r="G159" s="4">
        <v>3360507</v>
      </c>
      <c r="H159" s="3" t="s">
        <v>235</v>
      </c>
      <c r="I159" s="4">
        <v>3900005</v>
      </c>
    </row>
    <row r="160" spans="2:9" x14ac:dyDescent="0.3">
      <c r="B160" s="44">
        <v>45353</v>
      </c>
      <c r="C160" s="3" t="s">
        <v>416</v>
      </c>
      <c r="D160" s="3" t="s">
        <v>55</v>
      </c>
      <c r="E160" s="42">
        <v>4369902</v>
      </c>
      <c r="F160" s="3" t="s">
        <v>233</v>
      </c>
      <c r="G160" s="4">
        <v>3359606</v>
      </c>
      <c r="H160" s="3" t="s">
        <v>234</v>
      </c>
      <c r="I160" s="4">
        <v>3356807</v>
      </c>
    </row>
    <row r="161" spans="2:9" x14ac:dyDescent="0.3">
      <c r="B161" s="44">
        <v>45353</v>
      </c>
      <c r="C161" s="3" t="s">
        <v>416</v>
      </c>
      <c r="D161" s="3" t="s">
        <v>55</v>
      </c>
      <c r="E161" s="42">
        <v>4369902</v>
      </c>
      <c r="F161" s="3" t="s">
        <v>238</v>
      </c>
      <c r="G161" s="4">
        <v>3350105</v>
      </c>
      <c r="H161" s="3" t="s">
        <v>240</v>
      </c>
      <c r="I161" s="4">
        <v>3348403</v>
      </c>
    </row>
    <row r="162" spans="2:9" x14ac:dyDescent="0.3">
      <c r="B162" s="44">
        <v>45353</v>
      </c>
      <c r="C162" s="3" t="s">
        <v>416</v>
      </c>
      <c r="D162" s="3" t="s">
        <v>55</v>
      </c>
      <c r="E162" s="42">
        <v>4369902</v>
      </c>
      <c r="F162" s="3" t="s">
        <v>239</v>
      </c>
      <c r="G162" s="4">
        <v>3348809</v>
      </c>
      <c r="H162" s="52" t="s">
        <v>424</v>
      </c>
      <c r="I162" s="52"/>
    </row>
    <row r="163" spans="2:9" x14ac:dyDescent="0.3">
      <c r="B163" s="4"/>
      <c r="E163" s="42"/>
    </row>
    <row r="164" spans="2:9" x14ac:dyDescent="0.3">
      <c r="B164" s="44">
        <v>45360</v>
      </c>
      <c r="C164" s="3" t="s">
        <v>416</v>
      </c>
      <c r="D164" s="3" t="s">
        <v>55</v>
      </c>
      <c r="E164" s="42">
        <v>4369902</v>
      </c>
      <c r="F164" s="3" t="s">
        <v>238</v>
      </c>
      <c r="G164" s="4">
        <v>3350105</v>
      </c>
      <c r="H164" s="3" t="s">
        <v>236</v>
      </c>
      <c r="I164" s="4">
        <v>3355704</v>
      </c>
    </row>
    <row r="165" spans="2:9" x14ac:dyDescent="0.3">
      <c r="B165" s="44">
        <v>45360</v>
      </c>
      <c r="C165" s="3" t="s">
        <v>416</v>
      </c>
      <c r="D165" s="3" t="s">
        <v>55</v>
      </c>
      <c r="E165" s="42">
        <v>4369902</v>
      </c>
      <c r="F165" s="3" t="s">
        <v>237</v>
      </c>
      <c r="G165" s="4">
        <v>3354705</v>
      </c>
      <c r="H165" s="3" t="s">
        <v>232</v>
      </c>
      <c r="I165" s="4">
        <v>3360507</v>
      </c>
    </row>
    <row r="166" spans="2:9" x14ac:dyDescent="0.3">
      <c r="B166" s="44">
        <v>45360</v>
      </c>
      <c r="C166" s="3" t="s">
        <v>416</v>
      </c>
      <c r="D166" s="3" t="s">
        <v>55</v>
      </c>
      <c r="E166" s="42">
        <v>4369902</v>
      </c>
      <c r="F166" s="3" t="s">
        <v>235</v>
      </c>
      <c r="G166" s="4">
        <v>3900005</v>
      </c>
      <c r="H166" s="3" t="s">
        <v>233</v>
      </c>
      <c r="I166" s="4">
        <v>3359606</v>
      </c>
    </row>
    <row r="167" spans="2:9" x14ac:dyDescent="0.3">
      <c r="B167" s="44">
        <v>45360</v>
      </c>
      <c r="C167" s="3" t="s">
        <v>416</v>
      </c>
      <c r="D167" s="3" t="s">
        <v>55</v>
      </c>
      <c r="E167" s="42">
        <v>4369902</v>
      </c>
      <c r="F167" s="52" t="s">
        <v>424</v>
      </c>
      <c r="G167" s="52"/>
      <c r="H167" s="3" t="s">
        <v>234</v>
      </c>
      <c r="I167" s="4">
        <v>3356807</v>
      </c>
    </row>
    <row r="168" spans="2:9" x14ac:dyDescent="0.3">
      <c r="B168" s="44">
        <v>45360</v>
      </c>
      <c r="C168" s="3" t="s">
        <v>416</v>
      </c>
      <c r="D168" s="3" t="s">
        <v>55</v>
      </c>
      <c r="E168" s="42">
        <v>4369902</v>
      </c>
      <c r="F168" s="3" t="s">
        <v>240</v>
      </c>
      <c r="G168" s="4">
        <v>3348403</v>
      </c>
      <c r="H168" s="3" t="s">
        <v>239</v>
      </c>
      <c r="I168" s="4">
        <v>3348809</v>
      </c>
    </row>
    <row r="169" spans="2:9" x14ac:dyDescent="0.3">
      <c r="B169" s="4"/>
      <c r="E169" s="42"/>
    </row>
    <row r="170" spans="2:9" x14ac:dyDescent="0.3">
      <c r="B170" s="44">
        <v>45367</v>
      </c>
      <c r="C170" s="3" t="s">
        <v>416</v>
      </c>
      <c r="D170" s="3" t="s">
        <v>55</v>
      </c>
      <c r="E170" s="42">
        <v>4369902</v>
      </c>
      <c r="F170" s="3" t="s">
        <v>236</v>
      </c>
      <c r="G170" s="4">
        <v>3355704</v>
      </c>
      <c r="H170" s="3" t="s">
        <v>239</v>
      </c>
      <c r="I170" s="4">
        <v>3348809</v>
      </c>
    </row>
    <row r="171" spans="2:9" x14ac:dyDescent="0.3">
      <c r="B171" s="44">
        <v>45367</v>
      </c>
      <c r="C171" s="3" t="s">
        <v>416</v>
      </c>
      <c r="D171" s="3" t="s">
        <v>55</v>
      </c>
      <c r="E171" s="42">
        <v>4369902</v>
      </c>
      <c r="F171" s="3" t="s">
        <v>232</v>
      </c>
      <c r="G171" s="4">
        <v>3360507</v>
      </c>
      <c r="H171" s="3" t="s">
        <v>238</v>
      </c>
      <c r="I171" s="4">
        <v>3350105</v>
      </c>
    </row>
    <row r="172" spans="2:9" x14ac:dyDescent="0.3">
      <c r="B172" s="44">
        <v>45367</v>
      </c>
      <c r="C172" s="3" t="s">
        <v>416</v>
      </c>
      <c r="D172" s="3" t="s">
        <v>55</v>
      </c>
      <c r="E172" s="42">
        <v>4369902</v>
      </c>
      <c r="F172" s="3" t="s">
        <v>233</v>
      </c>
      <c r="G172" s="4">
        <v>3359606</v>
      </c>
      <c r="H172" s="3" t="s">
        <v>237</v>
      </c>
      <c r="I172" s="4">
        <v>3354705</v>
      </c>
    </row>
    <row r="173" spans="2:9" x14ac:dyDescent="0.3">
      <c r="B173" s="44">
        <v>45367</v>
      </c>
      <c r="C173" s="3" t="s">
        <v>416</v>
      </c>
      <c r="D173" s="3" t="s">
        <v>55</v>
      </c>
      <c r="E173" s="42">
        <v>4369902</v>
      </c>
      <c r="F173" s="3" t="s">
        <v>234</v>
      </c>
      <c r="G173" s="4">
        <v>3356807</v>
      </c>
      <c r="H173" s="3" t="s">
        <v>235</v>
      </c>
      <c r="I173" s="4">
        <v>3900005</v>
      </c>
    </row>
    <row r="174" spans="2:9" x14ac:dyDescent="0.3">
      <c r="B174" s="44">
        <v>45367</v>
      </c>
      <c r="C174" s="3" t="s">
        <v>416</v>
      </c>
      <c r="D174" s="3" t="s">
        <v>55</v>
      </c>
      <c r="E174" s="42">
        <v>4369902</v>
      </c>
      <c r="F174" s="3" t="s">
        <v>240</v>
      </c>
      <c r="G174" s="4">
        <v>3348403</v>
      </c>
      <c r="H174" s="52" t="s">
        <v>424</v>
      </c>
      <c r="I174" s="52"/>
    </row>
    <row r="175" spans="2:9" x14ac:dyDescent="0.3">
      <c r="B175" s="4"/>
      <c r="E175" s="42"/>
    </row>
    <row r="176" spans="2:9" x14ac:dyDescent="0.3">
      <c r="B176" s="44">
        <v>45374</v>
      </c>
      <c r="C176" s="3" t="s">
        <v>416</v>
      </c>
      <c r="D176" s="3" t="s">
        <v>55</v>
      </c>
      <c r="E176" s="42">
        <v>4369902</v>
      </c>
      <c r="F176" s="3" t="s">
        <v>240</v>
      </c>
      <c r="G176" s="4">
        <v>3348403</v>
      </c>
      <c r="H176" s="3" t="s">
        <v>236</v>
      </c>
      <c r="I176" s="4">
        <v>3355704</v>
      </c>
    </row>
    <row r="177" spans="2:9" x14ac:dyDescent="0.3">
      <c r="B177" s="44">
        <v>45374</v>
      </c>
      <c r="C177" s="3" t="s">
        <v>416</v>
      </c>
      <c r="D177" s="3" t="s">
        <v>55</v>
      </c>
      <c r="E177" s="42">
        <v>4369902</v>
      </c>
      <c r="F177" s="3" t="s">
        <v>239</v>
      </c>
      <c r="G177" s="4">
        <v>3348809</v>
      </c>
      <c r="H177" s="3" t="s">
        <v>232</v>
      </c>
      <c r="I177" s="4">
        <v>3360507</v>
      </c>
    </row>
    <row r="178" spans="2:9" x14ac:dyDescent="0.3">
      <c r="B178" s="44">
        <v>45374</v>
      </c>
      <c r="C178" s="3" t="s">
        <v>416</v>
      </c>
      <c r="D178" s="3" t="s">
        <v>55</v>
      </c>
      <c r="E178" s="42">
        <v>4369902</v>
      </c>
      <c r="F178" s="3" t="s">
        <v>238</v>
      </c>
      <c r="G178" s="4">
        <v>3350105</v>
      </c>
      <c r="H178" s="3" t="s">
        <v>233</v>
      </c>
      <c r="I178" s="4">
        <v>3359606</v>
      </c>
    </row>
    <row r="179" spans="2:9" x14ac:dyDescent="0.3">
      <c r="B179" s="44">
        <v>45374</v>
      </c>
      <c r="C179" s="3" t="s">
        <v>416</v>
      </c>
      <c r="D179" s="3" t="s">
        <v>55</v>
      </c>
      <c r="E179" s="42">
        <v>4369902</v>
      </c>
      <c r="F179" s="3" t="s">
        <v>237</v>
      </c>
      <c r="G179" s="4">
        <v>3354705</v>
      </c>
      <c r="H179" s="3" t="s">
        <v>234</v>
      </c>
      <c r="I179" s="4">
        <v>3356807</v>
      </c>
    </row>
    <row r="180" spans="2:9" x14ac:dyDescent="0.3">
      <c r="B180" s="44">
        <v>45374</v>
      </c>
      <c r="C180" s="3" t="s">
        <v>416</v>
      </c>
      <c r="D180" s="3" t="s">
        <v>55</v>
      </c>
      <c r="E180" s="42">
        <v>4369902</v>
      </c>
      <c r="F180" s="52" t="s">
        <v>424</v>
      </c>
      <c r="G180" s="52"/>
      <c r="H180" s="3" t="s">
        <v>235</v>
      </c>
      <c r="I180" s="4">
        <v>3900005</v>
      </c>
    </row>
    <row r="181" spans="2:9" x14ac:dyDescent="0.3">
      <c r="E181" s="42"/>
    </row>
    <row r="182" spans="2:9" x14ac:dyDescent="0.3">
      <c r="B182" s="44">
        <v>45388</v>
      </c>
      <c r="C182" s="3" t="s">
        <v>416</v>
      </c>
      <c r="D182" s="3" t="s">
        <v>55</v>
      </c>
      <c r="E182" s="42">
        <v>4369902</v>
      </c>
      <c r="F182" s="3" t="s">
        <v>236</v>
      </c>
      <c r="G182" s="4">
        <v>3355704</v>
      </c>
      <c r="H182" s="52" t="s">
        <v>424</v>
      </c>
      <c r="I182" s="52"/>
    </row>
    <row r="183" spans="2:9" x14ac:dyDescent="0.3">
      <c r="B183" s="44">
        <v>45388</v>
      </c>
      <c r="C183" s="3" t="s">
        <v>416</v>
      </c>
      <c r="D183" s="3" t="s">
        <v>55</v>
      </c>
      <c r="E183" s="42">
        <v>4369902</v>
      </c>
      <c r="F183" s="3" t="s">
        <v>232</v>
      </c>
      <c r="G183" s="4">
        <v>3360507</v>
      </c>
      <c r="H183" s="3" t="s">
        <v>240</v>
      </c>
      <c r="I183" s="4">
        <v>3348403</v>
      </c>
    </row>
    <row r="184" spans="2:9" x14ac:dyDescent="0.3">
      <c r="B184" s="44">
        <v>45388</v>
      </c>
      <c r="C184" s="3" t="s">
        <v>416</v>
      </c>
      <c r="D184" s="3" t="s">
        <v>55</v>
      </c>
      <c r="E184" s="42">
        <v>4369902</v>
      </c>
      <c r="F184" s="3" t="s">
        <v>233</v>
      </c>
      <c r="G184" s="4">
        <v>3359606</v>
      </c>
      <c r="H184" s="3" t="s">
        <v>239</v>
      </c>
      <c r="I184" s="4">
        <v>3348809</v>
      </c>
    </row>
    <row r="185" spans="2:9" x14ac:dyDescent="0.3">
      <c r="B185" s="44">
        <v>45388</v>
      </c>
      <c r="C185" s="3" t="s">
        <v>416</v>
      </c>
      <c r="D185" s="3" t="s">
        <v>55</v>
      </c>
      <c r="E185" s="42">
        <v>4369902</v>
      </c>
      <c r="F185" s="3" t="s">
        <v>234</v>
      </c>
      <c r="G185" s="4">
        <v>3356807</v>
      </c>
      <c r="H185" s="3" t="s">
        <v>238</v>
      </c>
      <c r="I185" s="4">
        <v>3350105</v>
      </c>
    </row>
    <row r="186" spans="2:9" x14ac:dyDescent="0.3">
      <c r="B186" s="44">
        <v>45388</v>
      </c>
      <c r="C186" s="3" t="s">
        <v>416</v>
      </c>
      <c r="D186" s="3" t="s">
        <v>55</v>
      </c>
      <c r="E186" s="42">
        <v>4369902</v>
      </c>
      <c r="F186" s="3" t="s">
        <v>235</v>
      </c>
      <c r="G186" s="4">
        <v>3900005</v>
      </c>
      <c r="H186" s="3" t="s">
        <v>237</v>
      </c>
      <c r="I186" s="4">
        <v>3354705</v>
      </c>
    </row>
  </sheetData>
  <mergeCells count="1">
    <mergeCell ref="K5:K6"/>
  </mergeCells>
  <conditionalFormatting sqref="B9">
    <cfRule type="duplicateValues" dxfId="5305" priority="4"/>
  </conditionalFormatting>
  <conditionalFormatting sqref="B10:B17 B20:B21">
    <cfRule type="duplicateValues" dxfId="5304" priority="3"/>
  </conditionalFormatting>
  <conditionalFormatting sqref="B19">
    <cfRule type="duplicateValues" dxfId="5303" priority="1"/>
  </conditionalFormatting>
  <conditionalFormatting sqref="I5:I16">
    <cfRule type="duplicateValues" dxfId="5302" priority="6"/>
  </conditionalFormatting>
  <conditionalFormatting sqref="K3:K4 K7:K17">
    <cfRule type="duplicateValues" dxfId="5301" priority="5"/>
  </conditionalFormatting>
  <conditionalFormatting sqref="K5">
    <cfRule type="duplicateValues" dxfId="5300" priority="2"/>
  </conditionalFormatting>
  <hyperlinks>
    <hyperlink ref="K3" location="Contents!A1" display="Back to Contents" xr:uid="{95290936-D6F6-4750-BDC2-B22582CCEAC5}"/>
    <hyperlink ref="K5:K6" location="'All Fixtures'!A1" display="See all NW Fixtures" xr:uid="{65CACA54-FA1E-4422-89B6-D613E004C805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85A41-88BC-476D-A761-21C488C49173}">
  <dimension ref="A2:AQ138"/>
  <sheetViews>
    <sheetView zoomScale="90" zoomScaleNormal="90" workbookViewId="0"/>
  </sheetViews>
  <sheetFormatPr defaultRowHeight="14.4" x14ac:dyDescent="0.3"/>
  <cols>
    <col min="1" max="1" width="3.6640625" style="47" customWidth="1"/>
    <col min="2" max="2" width="37.21875" style="3" customWidth="1"/>
    <col min="3" max="3" width="26.21875" style="3" customWidth="1"/>
    <col min="4" max="4" width="43.88671875" style="3" customWidth="1"/>
    <col min="5" max="5" width="14.109375" style="3" customWidth="1"/>
    <col min="6" max="6" width="37" style="3" customWidth="1"/>
    <col min="7" max="7" width="9" style="4" customWidth="1"/>
    <col min="8" max="8" width="36" style="3" customWidth="1"/>
    <col min="9" max="9" width="12" style="4" customWidth="1"/>
    <col min="10" max="10" width="4.109375" style="3" customWidth="1"/>
    <col min="11" max="11" width="32.55468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501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E7" s="59"/>
      <c r="F7" s="59"/>
      <c r="G7" s="15"/>
      <c r="H7" s="59"/>
      <c r="I7" s="15"/>
    </row>
    <row r="8" spans="1:12" ht="15" customHeight="1" x14ac:dyDescent="0.7">
      <c r="B8" s="16"/>
      <c r="E8" s="59"/>
      <c r="F8" s="59"/>
      <c r="G8" s="15"/>
      <c r="H8" s="59"/>
      <c r="I8" s="15"/>
    </row>
    <row r="9" spans="1:12" ht="15" customHeight="1" x14ac:dyDescent="0.4">
      <c r="B9" s="21" t="s">
        <v>85</v>
      </c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s="3" customFormat="1" ht="15" customHeight="1" x14ac:dyDescent="0.3">
      <c r="A10" s="47">
        <f>COUNTIF(F$24:I$130,"Alderley Edge Development")</f>
        <v>18</v>
      </c>
      <c r="B10" s="3" t="s">
        <v>241</v>
      </c>
      <c r="C10" s="74">
        <v>3362401</v>
      </c>
      <c r="D10" s="57">
        <f>COUNTIF(F$24:I$130,"3362401")</f>
        <v>18</v>
      </c>
      <c r="E10" s="59"/>
      <c r="F10" s="57">
        <f>COUNTIF(F$24:F$130,"Alderley Edge Development")</f>
        <v>9</v>
      </c>
      <c r="G10" s="15"/>
      <c r="H10" s="57">
        <f>COUNTIF(H$24:H$130,"Alderley Edge Development")</f>
        <v>9</v>
      </c>
      <c r="I10" s="57">
        <f>COUNTIF(F$24:F$76,"Alderley Edge Development")</f>
        <v>5</v>
      </c>
      <c r="J10" s="57">
        <f>COUNTIF(F$77:F$130,"Alderley Edge Development")</f>
        <v>4</v>
      </c>
      <c r="K10" s="57">
        <f>COUNTIF(H$24:H$76,"Alderley Edge Development")</f>
        <v>4</v>
      </c>
      <c r="L10" s="57">
        <f>COUNTIF(H$77:H$130,"Alderley Edge Development")</f>
        <v>5</v>
      </c>
    </row>
    <row r="11" spans="1:12" s="3" customFormat="1" ht="15" customHeight="1" x14ac:dyDescent="0.3">
      <c r="A11" s="47">
        <f>COUNTIF(F$24:I$130,"Bye - See Available Team in 6 West (South)")</f>
        <v>18</v>
      </c>
      <c r="B11" s="59" t="s">
        <v>600</v>
      </c>
      <c r="C11" s="97" t="s">
        <v>556</v>
      </c>
      <c r="D11" s="57">
        <f>COUNTIF(F$24:I$130,"Code")</f>
        <v>18</v>
      </c>
      <c r="E11" s="59"/>
      <c r="F11" s="57">
        <f>COUNTIF(F$24:F$130,"Bye - See Available Team in 6 West (South)")</f>
        <v>9</v>
      </c>
      <c r="G11" s="15"/>
      <c r="H11" s="57">
        <f>COUNTIF(H$24:H$130,"Bye - See Available Team in 6 West (South)")</f>
        <v>9</v>
      </c>
      <c r="I11" s="57">
        <f>COUNTIF(F$24:F$76,"Bye - See Available Team in 6 West (South)")</f>
        <v>5</v>
      </c>
      <c r="J11" s="57">
        <f>COUNTIF(F$77:F$130,"Bye - See Available Team in 6 West (South)")</f>
        <v>4</v>
      </c>
      <c r="K11" s="57">
        <f>COUNTIF(H$24:H$76,"Bye - See Available Team in 6 West (South)")</f>
        <v>4</v>
      </c>
      <c r="L11" s="57">
        <f>COUNTIF(H$77:H$130,"Bye - See Available Team in 6 West (South)")</f>
        <v>5</v>
      </c>
    </row>
    <row r="12" spans="1:12" s="3" customFormat="1" ht="15" customHeight="1" x14ac:dyDescent="0.3">
      <c r="A12" s="47">
        <f>COUNTIF(F$24:I$130,"Crewe Vagrants Development")</f>
        <v>18</v>
      </c>
      <c r="B12" s="3" t="s">
        <v>243</v>
      </c>
      <c r="C12" s="74">
        <v>3899907</v>
      </c>
      <c r="D12" s="57">
        <f>COUNTIF(F$24:I$130,"3899907")</f>
        <v>18</v>
      </c>
      <c r="E12" s="59"/>
      <c r="F12" s="57">
        <f>COUNTIF(F$24:F$130,"Crewe Vagrants Development")</f>
        <v>9</v>
      </c>
      <c r="G12" s="15"/>
      <c r="H12" s="57">
        <f>COUNTIF(H$24:H$130,"Crewe Vagrants Development")</f>
        <v>9</v>
      </c>
      <c r="I12" s="57">
        <f>COUNTIF(F$24:F$76,"Crewe Vagrants Development")</f>
        <v>4</v>
      </c>
      <c r="J12" s="57">
        <f>COUNTIF(F$77:F$130,"Crewe Vagrants Development")</f>
        <v>5</v>
      </c>
      <c r="K12" s="57">
        <f>COUNTIF(H$24:H$76,"Crewe Vagrants Development")</f>
        <v>5</v>
      </c>
      <c r="L12" s="57">
        <f>COUNTIF(H$77:H$130,"Crewe Vagrants Development")</f>
        <v>4</v>
      </c>
    </row>
    <row r="13" spans="1:12" s="3" customFormat="1" ht="15" customHeight="1" x14ac:dyDescent="0.3">
      <c r="A13" s="47">
        <f>COUNTIF(F$24:I$130,"Deeside Ramblers Development")</f>
        <v>18</v>
      </c>
      <c r="B13" s="3" t="s">
        <v>578</v>
      </c>
      <c r="C13" s="74">
        <v>4022700</v>
      </c>
      <c r="D13" s="57">
        <f>COUNTIF(F$24:I$130,"4022700")</f>
        <v>18</v>
      </c>
      <c r="E13" s="59"/>
      <c r="F13" s="57">
        <f>COUNTIF(F$24:F$130,"Deeside Ramblers Development")</f>
        <v>9</v>
      </c>
      <c r="G13" s="15"/>
      <c r="H13" s="57">
        <f>COUNTIF(H$24:H$130,"Deeside Ramblers Development")</f>
        <v>9</v>
      </c>
      <c r="I13" s="57">
        <f>COUNTIF(F$24:F$76,"Deeside Ramblers Development")</f>
        <v>5</v>
      </c>
      <c r="J13" s="57">
        <f>COUNTIF(F$77:F$130,"Deeside Ramblers Development")</f>
        <v>4</v>
      </c>
      <c r="K13" s="57">
        <f>COUNTIF(H$24:H$76,"Deeside Ramblers Development")</f>
        <v>4</v>
      </c>
      <c r="L13" s="57">
        <f>COUNTIF(H$77:H$130,"Deeside Ramblers Development")</f>
        <v>5</v>
      </c>
    </row>
    <row r="14" spans="1:12" s="3" customFormat="1" ht="15" customHeight="1" x14ac:dyDescent="0.3">
      <c r="A14" s="47">
        <f>COUNTIF(F$24:I$130,"Golborne &amp; Prescot Development")</f>
        <v>18</v>
      </c>
      <c r="B14" s="3" t="s">
        <v>579</v>
      </c>
      <c r="C14" s="109">
        <v>3970007</v>
      </c>
      <c r="D14" s="57">
        <f>COUNTIF(F$24:I$130,"3970007")</f>
        <v>18</v>
      </c>
      <c r="E14" s="59"/>
      <c r="F14" s="57">
        <f>COUNTIF(F$24:F$130,"Golborne &amp; Prescot Development")</f>
        <v>9</v>
      </c>
      <c r="G14" s="15"/>
      <c r="H14" s="57">
        <f>COUNTIF(H$24:H$130,"Golborne &amp; Prescot Development")</f>
        <v>9</v>
      </c>
      <c r="I14" s="57">
        <f>COUNTIF(F$24:F$76,"Golborne &amp; Prescot Development")</f>
        <v>5</v>
      </c>
      <c r="J14" s="57">
        <f>COUNTIF(F$77:F$130,"Golborne &amp; Prescot Development")</f>
        <v>4</v>
      </c>
      <c r="K14" s="57">
        <f>COUNTIF(H$24:H$76,"Golborne &amp; Prescot Development")</f>
        <v>4</v>
      </c>
      <c r="L14" s="57">
        <f>COUNTIF(H$77:H$130,"Golborne &amp; Prescot Development")</f>
        <v>5</v>
      </c>
    </row>
    <row r="15" spans="1:12" s="3" customFormat="1" ht="15" customHeight="1" x14ac:dyDescent="0.3">
      <c r="A15" s="47">
        <f>COUNTIF(F$24:I$130,"Knutsford Development")</f>
        <v>18</v>
      </c>
      <c r="B15" s="3" t="s">
        <v>598</v>
      </c>
      <c r="C15" s="74">
        <v>3354903</v>
      </c>
      <c r="D15" s="57">
        <f>COUNTIF(F$24:I$130,"3354903")</f>
        <v>18</v>
      </c>
      <c r="E15" s="59"/>
      <c r="F15" s="57">
        <f>COUNTIF(F$24:F$130,"Knutsford Development")</f>
        <v>9</v>
      </c>
      <c r="G15" s="15"/>
      <c r="H15" s="57">
        <f>COUNTIF(H$24:H$130,"Knutsford Development")</f>
        <v>9</v>
      </c>
      <c r="I15" s="57">
        <f>COUNTIF(F$24:F$76,"Knutsford Development")</f>
        <v>4</v>
      </c>
      <c r="J15" s="57">
        <f>COUNTIF(F$77:F$130,"Knutsford Development")</f>
        <v>5</v>
      </c>
      <c r="K15" s="57">
        <f>COUNTIF(H$24:H$76,"Knutsford Development")</f>
        <v>5</v>
      </c>
      <c r="L15" s="57">
        <f>COUNTIF(H$77:H$130,"Knutsford Development")</f>
        <v>4</v>
      </c>
    </row>
    <row r="16" spans="1:12" s="3" customFormat="1" ht="15" customHeight="1" x14ac:dyDescent="0.3">
      <c r="A16" s="47">
        <f>COUNTIF(F$24:I$130,"Sandbach 3")</f>
        <v>18</v>
      </c>
      <c r="B16" s="3" t="s">
        <v>580</v>
      </c>
      <c r="C16" s="74">
        <v>3350001</v>
      </c>
      <c r="D16" s="57">
        <f>COUNTIF(F$24:I$130,"3350001")</f>
        <v>18</v>
      </c>
      <c r="E16" s="59"/>
      <c r="F16" s="57">
        <f>COUNTIF(F$24:F$130,"Sandbach 3")</f>
        <v>9</v>
      </c>
      <c r="G16" s="15"/>
      <c r="H16" s="57">
        <f>COUNTIF(H$24:H$130,"Sandbach 3")</f>
        <v>9</v>
      </c>
      <c r="I16" s="57">
        <f>COUNTIF(F$24:F$76,"Sandbach 3")</f>
        <v>4</v>
      </c>
      <c r="J16" s="57">
        <f>COUNTIF(F$77:F$130,"Sandbach 3")</f>
        <v>5</v>
      </c>
      <c r="K16" s="57">
        <f>COUNTIF(H$24:H$76,"Sandbach 3")</f>
        <v>5</v>
      </c>
      <c r="L16" s="57">
        <f>COUNTIF(H$77:H$130,"Sandbach 3")</f>
        <v>4</v>
      </c>
    </row>
    <row r="17" spans="1:12" s="3" customFormat="1" x14ac:dyDescent="0.3">
      <c r="A17" s="47">
        <f>COUNTIF(F$24:I$130,"Sandbach Development")</f>
        <v>18</v>
      </c>
      <c r="B17" s="3" t="s">
        <v>581</v>
      </c>
      <c r="C17" s="74">
        <v>4022804</v>
      </c>
      <c r="D17" s="57">
        <f>COUNTIF(F$24:I$130,"4022804")</f>
        <v>18</v>
      </c>
      <c r="E17" s="59"/>
      <c r="F17" s="57">
        <f>COUNTIF(F$24:F$130,"Sandbach Development")</f>
        <v>9</v>
      </c>
      <c r="G17" s="15"/>
      <c r="H17" s="57">
        <f>COUNTIF(H$24:H$130,"Sandbach Development")</f>
        <v>9</v>
      </c>
      <c r="I17" s="57">
        <f>COUNTIF(F$24:F$76,"Sandbach Development")</f>
        <v>4</v>
      </c>
      <c r="J17" s="57">
        <f>COUNTIF(F$77:F$130,"Sandbach Development")</f>
        <v>5</v>
      </c>
      <c r="K17" s="57">
        <f>COUNTIF(H$24:H$76,"Sandbach Development")</f>
        <v>5</v>
      </c>
      <c r="L17" s="57">
        <f>COUNTIF(H$77:H$130,"Sandbach Development")</f>
        <v>4</v>
      </c>
    </row>
    <row r="18" spans="1:12" s="3" customFormat="1" x14ac:dyDescent="0.3">
      <c r="A18" s="47">
        <f>COUNTIF(F$24:I$130,"Triton Development")</f>
        <v>18</v>
      </c>
      <c r="B18" s="104" t="s">
        <v>582</v>
      </c>
      <c r="C18" s="74">
        <v>3900901</v>
      </c>
      <c r="D18" s="57">
        <f>COUNTIF(F$24:I$130,"3900901")</f>
        <v>18</v>
      </c>
      <c r="E18" s="59"/>
      <c r="F18" s="57">
        <f>COUNTIF(F$24:F$130,"Triton Development")</f>
        <v>9</v>
      </c>
      <c r="G18" s="15"/>
      <c r="H18" s="57">
        <f>COUNTIF(H$24:H$130,"Triton Development")</f>
        <v>9</v>
      </c>
      <c r="I18" s="57">
        <f>COUNTIF(F$24:F$76,"Triton Development")</f>
        <v>5</v>
      </c>
      <c r="J18" s="57">
        <f>COUNTIF(F$77:F$130,"Triton Development")</f>
        <v>4</v>
      </c>
      <c r="K18" s="57">
        <f>COUNTIF(H$24:H$76,"Triton Development")</f>
        <v>4</v>
      </c>
      <c r="L18" s="57">
        <f>COUNTIF(H$77:H$130,"Triton Development")</f>
        <v>5</v>
      </c>
    </row>
    <row r="19" spans="1:12" s="3" customFormat="1" x14ac:dyDescent="0.3">
      <c r="A19" s="47">
        <f>COUNTIF(F$24:I$130,"Whitchurch (Shropshire) Development")</f>
        <v>18</v>
      </c>
      <c r="B19" s="104" t="s">
        <v>583</v>
      </c>
      <c r="C19" s="74">
        <v>4022908</v>
      </c>
      <c r="D19" s="57">
        <f>COUNTIF(F$24:I$130,"4022908")</f>
        <v>18</v>
      </c>
      <c r="E19" s="59"/>
      <c r="F19" s="57">
        <f>COUNTIF(F$24:F$130,"Whitchurch (Shropshire) Development")</f>
        <v>9</v>
      </c>
      <c r="G19" s="15"/>
      <c r="H19" s="57">
        <f>COUNTIF(H$24:H$130,"Whitchurch (Shropshire) Development")</f>
        <v>9</v>
      </c>
      <c r="I19" s="57">
        <f>COUNTIF(F$24:F$76,"Whitchurch (Shropshire) Development")</f>
        <v>4</v>
      </c>
      <c r="J19" s="57">
        <f>COUNTIF(F$77:F$130,"Whitchurch (Shropshire) Development")</f>
        <v>5</v>
      </c>
      <c r="K19" s="57">
        <f>COUNTIF(H$24:H$76,"Whitchurch (Shropshire) Development")</f>
        <v>5</v>
      </c>
      <c r="L19" s="57">
        <f>COUNTIF(H$77:H$130,"Whitchurch (Shropshire) Development")</f>
        <v>4</v>
      </c>
    </row>
    <row r="20" spans="1:12" s="3" customFormat="1" x14ac:dyDescent="0.3">
      <c r="A20" s="47"/>
      <c r="E20" s="59"/>
      <c r="F20" s="59"/>
      <c r="G20" s="15"/>
      <c r="H20" s="59"/>
      <c r="I20" s="57"/>
      <c r="J20" s="57"/>
      <c r="K20" s="57"/>
      <c r="L20" s="57"/>
    </row>
    <row r="21" spans="1:12" ht="21" x14ac:dyDescent="0.4">
      <c r="B21" s="22" t="s">
        <v>93</v>
      </c>
      <c r="E21" s="59"/>
      <c r="F21" s="59"/>
      <c r="G21" s="15"/>
      <c r="H21" s="59"/>
      <c r="I21" s="15"/>
    </row>
    <row r="22" spans="1:12" s="3" customFormat="1" x14ac:dyDescent="0.3">
      <c r="A22" s="47"/>
      <c r="B22" s="40" t="s">
        <v>408</v>
      </c>
      <c r="C22" s="14" t="s">
        <v>409</v>
      </c>
      <c r="D22" s="14" t="s">
        <v>410</v>
      </c>
      <c r="E22" s="14" t="s">
        <v>411</v>
      </c>
      <c r="F22" s="14" t="s">
        <v>412</v>
      </c>
      <c r="G22" s="14" t="s">
        <v>413</v>
      </c>
      <c r="H22" s="14" t="s">
        <v>414</v>
      </c>
      <c r="I22" s="14" t="s">
        <v>415</v>
      </c>
      <c r="K22" s="117" t="s">
        <v>601</v>
      </c>
    </row>
    <row r="24" spans="1:12" x14ac:dyDescent="0.3">
      <c r="B24" s="44">
        <v>45920</v>
      </c>
      <c r="C24" s="3" t="s">
        <v>416</v>
      </c>
      <c r="D24" s="3" t="s">
        <v>501</v>
      </c>
      <c r="E24" s="101"/>
      <c r="F24" s="3" t="s">
        <v>578</v>
      </c>
      <c r="G24" s="4">
        <v>4022700</v>
      </c>
      <c r="H24" s="3" t="s">
        <v>243</v>
      </c>
      <c r="I24" s="4">
        <v>3899907</v>
      </c>
    </row>
    <row r="25" spans="1:12" x14ac:dyDescent="0.3">
      <c r="B25" s="44">
        <v>45920</v>
      </c>
      <c r="C25" s="3" t="s">
        <v>416</v>
      </c>
      <c r="D25" s="3" t="s">
        <v>501</v>
      </c>
      <c r="E25" s="101"/>
      <c r="F25" s="3" t="s">
        <v>600</v>
      </c>
      <c r="G25" s="4" t="s">
        <v>556</v>
      </c>
      <c r="H25" s="3" t="s">
        <v>598</v>
      </c>
      <c r="I25" s="4">
        <v>3354903</v>
      </c>
      <c r="K25" s="3" t="s">
        <v>571</v>
      </c>
      <c r="L25" s="3" t="s">
        <v>598</v>
      </c>
    </row>
    <row r="26" spans="1:12" x14ac:dyDescent="0.3">
      <c r="B26" s="44">
        <v>45920</v>
      </c>
      <c r="C26" s="3" t="s">
        <v>416</v>
      </c>
      <c r="D26" s="3" t="s">
        <v>501</v>
      </c>
      <c r="E26" s="101"/>
      <c r="F26" s="3" t="s">
        <v>579</v>
      </c>
      <c r="G26" s="74">
        <v>3970007</v>
      </c>
      <c r="H26" s="3" t="s">
        <v>583</v>
      </c>
      <c r="I26" s="4">
        <v>4022908</v>
      </c>
    </row>
    <row r="27" spans="1:12" x14ac:dyDescent="0.3">
      <c r="B27" s="44">
        <v>45920</v>
      </c>
      <c r="C27" s="3" t="s">
        <v>416</v>
      </c>
      <c r="D27" s="3" t="s">
        <v>501</v>
      </c>
      <c r="E27" s="101"/>
      <c r="F27" s="3" t="s">
        <v>582</v>
      </c>
      <c r="G27" s="74">
        <v>3900901</v>
      </c>
      <c r="H27" s="3" t="s">
        <v>580</v>
      </c>
      <c r="I27" s="4">
        <v>3350001</v>
      </c>
    </row>
    <row r="28" spans="1:12" x14ac:dyDescent="0.3">
      <c r="B28" s="44">
        <v>45920</v>
      </c>
      <c r="C28" s="3" t="s">
        <v>416</v>
      </c>
      <c r="D28" s="3" t="s">
        <v>501</v>
      </c>
      <c r="E28" s="101"/>
      <c r="F28" s="3" t="s">
        <v>241</v>
      </c>
      <c r="G28" s="4">
        <v>3362401</v>
      </c>
      <c r="H28" s="3" t="s">
        <v>581</v>
      </c>
      <c r="I28" s="4">
        <v>4022804</v>
      </c>
    </row>
    <row r="29" spans="1:12" x14ac:dyDescent="0.3">
      <c r="B29" s="44"/>
      <c r="E29" s="101"/>
      <c r="F29" s="3" t="s">
        <v>418</v>
      </c>
      <c r="G29" s="4" t="s">
        <v>418</v>
      </c>
      <c r="H29" s="3" t="s">
        <v>418</v>
      </c>
      <c r="I29" s="4" t="s">
        <v>418</v>
      </c>
    </row>
    <row r="30" spans="1:12" x14ac:dyDescent="0.3">
      <c r="B30" s="44">
        <v>45927</v>
      </c>
      <c r="C30" s="3" t="s">
        <v>416</v>
      </c>
      <c r="D30" s="3" t="s">
        <v>501</v>
      </c>
      <c r="E30" s="101"/>
      <c r="F30" s="3" t="s">
        <v>598</v>
      </c>
      <c r="G30" s="4">
        <v>3354903</v>
      </c>
      <c r="H30" s="3" t="s">
        <v>579</v>
      </c>
      <c r="I30" s="53">
        <v>3970007</v>
      </c>
    </row>
    <row r="31" spans="1:12" x14ac:dyDescent="0.3">
      <c r="B31" s="44">
        <v>45927</v>
      </c>
      <c r="C31" s="3" t="s">
        <v>416</v>
      </c>
      <c r="D31" s="3" t="s">
        <v>501</v>
      </c>
      <c r="E31" s="101"/>
      <c r="F31" s="3" t="s">
        <v>243</v>
      </c>
      <c r="G31" s="4">
        <v>3899907</v>
      </c>
      <c r="H31" s="3" t="s">
        <v>581</v>
      </c>
      <c r="I31" s="4">
        <v>4022804</v>
      </c>
    </row>
    <row r="32" spans="1:12" x14ac:dyDescent="0.3">
      <c r="B32" s="44">
        <v>45927</v>
      </c>
      <c r="C32" s="3" t="s">
        <v>416</v>
      </c>
      <c r="D32" s="3" t="s">
        <v>501</v>
      </c>
      <c r="E32" s="101"/>
      <c r="F32" s="3" t="s">
        <v>580</v>
      </c>
      <c r="G32" s="4">
        <v>3350001</v>
      </c>
      <c r="H32" s="3" t="s">
        <v>578</v>
      </c>
      <c r="I32" s="4">
        <v>4022700</v>
      </c>
    </row>
    <row r="33" spans="2:13" x14ac:dyDescent="0.3">
      <c r="B33" s="44">
        <v>45927</v>
      </c>
      <c r="C33" s="3" t="s">
        <v>416</v>
      </c>
      <c r="D33" s="3" t="s">
        <v>501</v>
      </c>
      <c r="E33" s="101"/>
      <c r="F33" s="3" t="s">
        <v>241</v>
      </c>
      <c r="G33" s="4">
        <v>3362401</v>
      </c>
      <c r="H33" s="3" t="s">
        <v>600</v>
      </c>
      <c r="I33" s="4" t="s">
        <v>556</v>
      </c>
      <c r="K33" s="3" t="s">
        <v>241</v>
      </c>
      <c r="L33" s="3" t="s">
        <v>226</v>
      </c>
    </row>
    <row r="34" spans="2:13" x14ac:dyDescent="0.3">
      <c r="B34" s="44">
        <v>45927</v>
      </c>
      <c r="C34" s="3" t="s">
        <v>416</v>
      </c>
      <c r="D34" s="3" t="s">
        <v>501</v>
      </c>
      <c r="E34" s="101"/>
      <c r="F34" s="3" t="s">
        <v>583</v>
      </c>
      <c r="G34" s="4">
        <v>4022908</v>
      </c>
      <c r="H34" s="3" t="s">
        <v>582</v>
      </c>
      <c r="I34" s="53">
        <v>3900901</v>
      </c>
    </row>
    <row r="35" spans="2:13" x14ac:dyDescent="0.3">
      <c r="B35" s="44"/>
      <c r="E35" s="101"/>
      <c r="F35" s="3" t="s">
        <v>418</v>
      </c>
      <c r="G35" s="4" t="s">
        <v>418</v>
      </c>
      <c r="H35" s="3" t="s">
        <v>418</v>
      </c>
      <c r="I35" s="4" t="s">
        <v>418</v>
      </c>
    </row>
    <row r="36" spans="2:13" x14ac:dyDescent="0.3">
      <c r="B36" s="44">
        <v>45934</v>
      </c>
      <c r="C36" s="3" t="s">
        <v>416</v>
      </c>
      <c r="D36" s="3" t="s">
        <v>501</v>
      </c>
      <c r="E36" s="101"/>
      <c r="F36" s="3" t="s">
        <v>598</v>
      </c>
      <c r="G36" s="4">
        <v>3354903</v>
      </c>
      <c r="H36" s="3" t="s">
        <v>241</v>
      </c>
      <c r="I36" s="4">
        <v>3362401</v>
      </c>
    </row>
    <row r="37" spans="2:13" x14ac:dyDescent="0.3">
      <c r="B37" s="44">
        <v>45934</v>
      </c>
      <c r="C37" s="3" t="s">
        <v>416</v>
      </c>
      <c r="D37" s="3" t="s">
        <v>501</v>
      </c>
      <c r="E37" s="101"/>
      <c r="F37" s="3" t="s">
        <v>578</v>
      </c>
      <c r="G37" s="4">
        <v>4022700</v>
      </c>
      <c r="H37" s="3" t="s">
        <v>583</v>
      </c>
      <c r="I37" s="4">
        <v>4022908</v>
      </c>
    </row>
    <row r="38" spans="2:13" x14ac:dyDescent="0.3">
      <c r="B38" s="44">
        <v>45934</v>
      </c>
      <c r="C38" s="3" t="s">
        <v>416</v>
      </c>
      <c r="D38" s="3" t="s">
        <v>501</v>
      </c>
      <c r="E38" s="101"/>
      <c r="F38" s="3" t="s">
        <v>600</v>
      </c>
      <c r="G38" s="4" t="s">
        <v>556</v>
      </c>
      <c r="H38" s="3" t="s">
        <v>243</v>
      </c>
      <c r="I38" s="4">
        <v>3899907</v>
      </c>
      <c r="K38" s="3" t="s">
        <v>597</v>
      </c>
      <c r="L38" s="3" t="s">
        <v>243</v>
      </c>
      <c r="M38" s="4"/>
    </row>
    <row r="39" spans="2:13" x14ac:dyDescent="0.3">
      <c r="B39" s="44">
        <v>45934</v>
      </c>
      <c r="C39" s="3" t="s">
        <v>416</v>
      </c>
      <c r="D39" s="3" t="s">
        <v>501</v>
      </c>
      <c r="E39" s="101"/>
      <c r="F39" s="3" t="s">
        <v>582</v>
      </c>
      <c r="G39" s="53">
        <v>3900901</v>
      </c>
      <c r="H39" s="3" t="s">
        <v>579</v>
      </c>
      <c r="I39" s="53">
        <v>3970007</v>
      </c>
    </row>
    <row r="40" spans="2:13" x14ac:dyDescent="0.3">
      <c r="B40" s="44">
        <v>45934</v>
      </c>
      <c r="C40" s="3" t="s">
        <v>416</v>
      </c>
      <c r="D40" s="3" t="s">
        <v>501</v>
      </c>
      <c r="E40" s="101"/>
      <c r="F40" s="3" t="s">
        <v>581</v>
      </c>
      <c r="G40" s="4">
        <v>4022804</v>
      </c>
      <c r="H40" s="3" t="s">
        <v>580</v>
      </c>
      <c r="I40" s="4">
        <v>3350001</v>
      </c>
    </row>
    <row r="41" spans="2:13" x14ac:dyDescent="0.3">
      <c r="B41" s="44"/>
      <c r="E41" s="101"/>
      <c r="F41" s="3" t="s">
        <v>418</v>
      </c>
      <c r="G41" s="4" t="s">
        <v>418</v>
      </c>
      <c r="H41" s="3" t="s">
        <v>418</v>
      </c>
      <c r="I41" s="4" t="s">
        <v>418</v>
      </c>
    </row>
    <row r="42" spans="2:13" x14ac:dyDescent="0.3">
      <c r="B42" s="44">
        <v>45941</v>
      </c>
      <c r="C42" s="3" t="s">
        <v>416</v>
      </c>
      <c r="D42" s="3" t="s">
        <v>501</v>
      </c>
      <c r="E42" s="101"/>
      <c r="F42" s="3" t="s">
        <v>243</v>
      </c>
      <c r="G42" s="4">
        <v>3899907</v>
      </c>
      <c r="H42" s="3" t="s">
        <v>241</v>
      </c>
      <c r="I42" s="4">
        <v>3362401</v>
      </c>
    </row>
    <row r="43" spans="2:13" x14ac:dyDescent="0.3">
      <c r="B43" s="44">
        <v>45941</v>
      </c>
      <c r="C43" s="3" t="s">
        <v>416</v>
      </c>
      <c r="D43" s="3" t="s">
        <v>501</v>
      </c>
      <c r="E43" s="101"/>
      <c r="F43" s="3" t="s">
        <v>580</v>
      </c>
      <c r="G43" s="4">
        <v>3350001</v>
      </c>
      <c r="H43" s="3" t="s">
        <v>600</v>
      </c>
      <c r="I43" s="4" t="s">
        <v>556</v>
      </c>
      <c r="K43" s="3" t="s">
        <v>573</v>
      </c>
      <c r="L43" s="3" t="s">
        <v>580</v>
      </c>
    </row>
    <row r="44" spans="2:13" x14ac:dyDescent="0.3">
      <c r="B44" s="44">
        <v>45941</v>
      </c>
      <c r="C44" s="3" t="s">
        <v>416</v>
      </c>
      <c r="D44" s="3" t="s">
        <v>501</v>
      </c>
      <c r="E44" s="101"/>
      <c r="F44" s="3" t="s">
        <v>579</v>
      </c>
      <c r="G44" s="53">
        <v>3970007</v>
      </c>
      <c r="H44" s="3" t="s">
        <v>578</v>
      </c>
      <c r="I44" s="4">
        <v>4022700</v>
      </c>
    </row>
    <row r="45" spans="2:13" x14ac:dyDescent="0.3">
      <c r="B45" s="44">
        <v>45941</v>
      </c>
      <c r="C45" s="3" t="s">
        <v>416</v>
      </c>
      <c r="D45" s="3" t="s">
        <v>501</v>
      </c>
      <c r="E45" s="101"/>
      <c r="F45" s="3" t="s">
        <v>582</v>
      </c>
      <c r="G45" s="53">
        <v>3900901</v>
      </c>
      <c r="H45" s="3" t="s">
        <v>598</v>
      </c>
      <c r="I45" s="4">
        <v>3354903</v>
      </c>
    </row>
    <row r="46" spans="2:13" x14ac:dyDescent="0.3">
      <c r="B46" s="44">
        <v>45941</v>
      </c>
      <c r="C46" s="3" t="s">
        <v>416</v>
      </c>
      <c r="D46" s="3" t="s">
        <v>501</v>
      </c>
      <c r="E46" s="101"/>
      <c r="F46" s="3" t="s">
        <v>583</v>
      </c>
      <c r="G46" s="4">
        <v>4022908</v>
      </c>
      <c r="H46" s="3" t="s">
        <v>581</v>
      </c>
      <c r="I46" s="4">
        <v>4022804</v>
      </c>
    </row>
    <row r="47" spans="2:13" x14ac:dyDescent="0.3">
      <c r="B47" s="44"/>
      <c r="E47" s="101"/>
      <c r="F47" s="3" t="s">
        <v>418</v>
      </c>
      <c r="G47" s="4" t="s">
        <v>418</v>
      </c>
      <c r="H47" s="3" t="s">
        <v>418</v>
      </c>
      <c r="I47" s="4" t="s">
        <v>418</v>
      </c>
    </row>
    <row r="48" spans="2:13" x14ac:dyDescent="0.3">
      <c r="B48" s="44">
        <v>45962</v>
      </c>
      <c r="C48" s="3" t="s">
        <v>416</v>
      </c>
      <c r="D48" s="3" t="s">
        <v>501</v>
      </c>
      <c r="E48" s="101"/>
      <c r="F48" s="3" t="s">
        <v>598</v>
      </c>
      <c r="G48" s="4">
        <v>3354903</v>
      </c>
      <c r="H48" s="3" t="s">
        <v>243</v>
      </c>
      <c r="I48" s="4">
        <v>3899907</v>
      </c>
    </row>
    <row r="49" spans="2:12" x14ac:dyDescent="0.3">
      <c r="B49" s="44">
        <v>45962</v>
      </c>
      <c r="C49" s="3" t="s">
        <v>416</v>
      </c>
      <c r="D49" s="3" t="s">
        <v>501</v>
      </c>
      <c r="E49" s="101"/>
      <c r="F49" s="3" t="s">
        <v>578</v>
      </c>
      <c r="G49" s="4">
        <v>4022700</v>
      </c>
      <c r="H49" s="3" t="s">
        <v>582</v>
      </c>
      <c r="I49" s="53">
        <v>3900901</v>
      </c>
    </row>
    <row r="50" spans="2:12" x14ac:dyDescent="0.3">
      <c r="B50" s="44">
        <v>45962</v>
      </c>
      <c r="C50" s="3" t="s">
        <v>416</v>
      </c>
      <c r="D50" s="3" t="s">
        <v>501</v>
      </c>
      <c r="E50" s="101"/>
      <c r="F50" s="3" t="s">
        <v>600</v>
      </c>
      <c r="G50" s="4" t="s">
        <v>556</v>
      </c>
      <c r="H50" s="3" t="s">
        <v>583</v>
      </c>
      <c r="I50" s="4">
        <v>4022908</v>
      </c>
      <c r="K50" s="3" t="s">
        <v>583</v>
      </c>
      <c r="L50" s="3" t="s">
        <v>572</v>
      </c>
    </row>
    <row r="51" spans="2:12" x14ac:dyDescent="0.3">
      <c r="B51" s="44">
        <v>45962</v>
      </c>
      <c r="C51" s="3" t="s">
        <v>416</v>
      </c>
      <c r="D51" s="3" t="s">
        <v>501</v>
      </c>
      <c r="E51" s="101"/>
      <c r="F51" s="3" t="s">
        <v>241</v>
      </c>
      <c r="G51" s="4">
        <v>3362401</v>
      </c>
      <c r="H51" s="3" t="s">
        <v>580</v>
      </c>
      <c r="I51" s="4">
        <v>3350001</v>
      </c>
    </row>
    <row r="52" spans="2:12" x14ac:dyDescent="0.3">
      <c r="B52" s="44">
        <v>45962</v>
      </c>
      <c r="C52" s="3" t="s">
        <v>416</v>
      </c>
      <c r="D52" s="3" t="s">
        <v>501</v>
      </c>
      <c r="E52" s="101"/>
      <c r="F52" s="3" t="s">
        <v>581</v>
      </c>
      <c r="G52" s="4">
        <v>4022804</v>
      </c>
      <c r="H52" s="3" t="s">
        <v>579</v>
      </c>
      <c r="I52" s="53">
        <v>3970007</v>
      </c>
    </row>
    <row r="53" spans="2:12" x14ac:dyDescent="0.3">
      <c r="B53" s="44"/>
      <c r="E53" s="101"/>
      <c r="F53" s="3" t="s">
        <v>418</v>
      </c>
      <c r="G53" s="4" t="s">
        <v>418</v>
      </c>
      <c r="H53" s="3" t="s">
        <v>418</v>
      </c>
      <c r="I53" s="4" t="s">
        <v>418</v>
      </c>
    </row>
    <row r="54" spans="2:12" x14ac:dyDescent="0.3">
      <c r="B54" s="44">
        <v>45969</v>
      </c>
      <c r="C54" s="3" t="s">
        <v>416</v>
      </c>
      <c r="D54" s="3" t="s">
        <v>501</v>
      </c>
      <c r="E54" s="101"/>
      <c r="F54" s="3" t="s">
        <v>578</v>
      </c>
      <c r="G54" s="4">
        <v>4022700</v>
      </c>
      <c r="H54" s="3" t="s">
        <v>598</v>
      </c>
      <c r="I54" s="4">
        <v>3354903</v>
      </c>
    </row>
    <row r="55" spans="2:12" x14ac:dyDescent="0.3">
      <c r="B55" s="44">
        <v>45969</v>
      </c>
      <c r="C55" s="3" t="s">
        <v>416</v>
      </c>
      <c r="D55" s="3" t="s">
        <v>501</v>
      </c>
      <c r="E55" s="101"/>
      <c r="F55" s="3" t="s">
        <v>580</v>
      </c>
      <c r="G55" s="4">
        <v>3350001</v>
      </c>
      <c r="H55" s="3" t="s">
        <v>243</v>
      </c>
      <c r="I55" s="4">
        <v>3899907</v>
      </c>
    </row>
    <row r="56" spans="2:12" x14ac:dyDescent="0.3">
      <c r="B56" s="44">
        <v>45969</v>
      </c>
      <c r="C56" s="3" t="s">
        <v>416</v>
      </c>
      <c r="D56" s="3" t="s">
        <v>501</v>
      </c>
      <c r="E56" s="101"/>
      <c r="F56" s="3" t="s">
        <v>579</v>
      </c>
      <c r="G56" s="53">
        <v>3970007</v>
      </c>
      <c r="H56" s="3" t="s">
        <v>600</v>
      </c>
      <c r="I56" s="4" t="s">
        <v>556</v>
      </c>
      <c r="K56" s="3" t="s">
        <v>579</v>
      </c>
      <c r="L56" s="3" t="s">
        <v>228</v>
      </c>
    </row>
    <row r="57" spans="2:12" x14ac:dyDescent="0.3">
      <c r="B57" s="44">
        <v>45969</v>
      </c>
      <c r="C57" s="3" t="s">
        <v>416</v>
      </c>
      <c r="D57" s="3" t="s">
        <v>501</v>
      </c>
      <c r="E57" s="101"/>
      <c r="F57" s="3" t="s">
        <v>582</v>
      </c>
      <c r="G57" s="53">
        <v>3900901</v>
      </c>
      <c r="H57" s="3" t="s">
        <v>581</v>
      </c>
      <c r="I57" s="4">
        <v>4022804</v>
      </c>
    </row>
    <row r="58" spans="2:12" x14ac:dyDescent="0.3">
      <c r="B58" s="44">
        <v>45969</v>
      </c>
      <c r="C58" s="3" t="s">
        <v>416</v>
      </c>
      <c r="D58" s="3" t="s">
        <v>501</v>
      </c>
      <c r="E58" s="101"/>
      <c r="F58" s="3" t="s">
        <v>583</v>
      </c>
      <c r="G58" s="4">
        <v>4022908</v>
      </c>
      <c r="H58" s="3" t="s">
        <v>241</v>
      </c>
      <c r="I58" s="4">
        <v>3362401</v>
      </c>
    </row>
    <row r="59" spans="2:12" x14ac:dyDescent="0.3">
      <c r="B59" s="4"/>
      <c r="E59" s="101"/>
      <c r="F59" s="3" t="s">
        <v>418</v>
      </c>
      <c r="G59" s="4" t="s">
        <v>418</v>
      </c>
      <c r="H59" s="3" t="s">
        <v>418</v>
      </c>
      <c r="I59" s="4" t="s">
        <v>418</v>
      </c>
      <c r="J59" s="4"/>
      <c r="K59" s="4"/>
    </row>
    <row r="60" spans="2:12" x14ac:dyDescent="0.3">
      <c r="B60" s="44">
        <v>45976</v>
      </c>
      <c r="C60" s="3" t="s">
        <v>416</v>
      </c>
      <c r="D60" s="3" t="s">
        <v>501</v>
      </c>
      <c r="E60" s="101"/>
      <c r="F60" s="3" t="s">
        <v>598</v>
      </c>
      <c r="G60" s="4">
        <v>3354903</v>
      </c>
      <c r="H60" s="3" t="s">
        <v>580</v>
      </c>
      <c r="I60" s="4">
        <v>3350001</v>
      </c>
      <c r="J60" s="4"/>
      <c r="K60" s="4"/>
    </row>
    <row r="61" spans="2:12" x14ac:dyDescent="0.3">
      <c r="B61" s="44">
        <v>45976</v>
      </c>
      <c r="C61" s="3" t="s">
        <v>416</v>
      </c>
      <c r="D61" s="3" t="s">
        <v>501</v>
      </c>
      <c r="E61" s="101"/>
      <c r="F61" s="3" t="s">
        <v>600</v>
      </c>
      <c r="G61" s="4" t="s">
        <v>556</v>
      </c>
      <c r="H61" s="3" t="s">
        <v>582</v>
      </c>
      <c r="I61" s="53">
        <v>3900901</v>
      </c>
      <c r="J61" s="4"/>
      <c r="K61" s="3" t="s">
        <v>231</v>
      </c>
      <c r="L61" s="3" t="s">
        <v>582</v>
      </c>
    </row>
    <row r="62" spans="2:12" x14ac:dyDescent="0.3">
      <c r="B62" s="44">
        <v>45976</v>
      </c>
      <c r="C62" s="3" t="s">
        <v>416</v>
      </c>
      <c r="D62" s="3" t="s">
        <v>501</v>
      </c>
      <c r="E62" s="101"/>
      <c r="F62" s="3" t="s">
        <v>243</v>
      </c>
      <c r="G62" s="4">
        <v>3899907</v>
      </c>
      <c r="H62" s="3" t="s">
        <v>583</v>
      </c>
      <c r="I62" s="4">
        <v>4022908</v>
      </c>
      <c r="J62" s="4"/>
      <c r="K62" s="4"/>
    </row>
    <row r="63" spans="2:12" x14ac:dyDescent="0.3">
      <c r="B63" s="44">
        <v>45976</v>
      </c>
      <c r="C63" s="3" t="s">
        <v>416</v>
      </c>
      <c r="D63" s="3" t="s">
        <v>501</v>
      </c>
      <c r="E63" s="101"/>
      <c r="F63" s="3" t="s">
        <v>579</v>
      </c>
      <c r="G63" s="53">
        <v>3970007</v>
      </c>
      <c r="H63" s="3" t="s">
        <v>241</v>
      </c>
      <c r="I63" s="4">
        <v>3362401</v>
      </c>
      <c r="J63" s="4"/>
      <c r="K63" s="4"/>
    </row>
    <row r="64" spans="2:12" x14ac:dyDescent="0.3">
      <c r="B64" s="44">
        <v>45976</v>
      </c>
      <c r="C64" s="3" t="s">
        <v>416</v>
      </c>
      <c r="D64" s="3" t="s">
        <v>501</v>
      </c>
      <c r="E64" s="101"/>
      <c r="F64" s="3" t="s">
        <v>581</v>
      </c>
      <c r="G64" s="4">
        <v>4022804</v>
      </c>
      <c r="H64" s="3" t="s">
        <v>578</v>
      </c>
      <c r="I64" s="4">
        <v>4022700</v>
      </c>
      <c r="K64" s="4"/>
      <c r="L64" s="4"/>
    </row>
    <row r="65" spans="2:16" x14ac:dyDescent="0.3">
      <c r="B65" s="4"/>
      <c r="E65" s="101"/>
      <c r="F65" s="3" t="s">
        <v>418</v>
      </c>
      <c r="G65" s="4" t="s">
        <v>418</v>
      </c>
      <c r="H65" s="3" t="s">
        <v>418</v>
      </c>
      <c r="I65" s="4" t="s">
        <v>418</v>
      </c>
      <c r="K65" s="4"/>
      <c r="L65" s="4"/>
    </row>
    <row r="66" spans="2:16" x14ac:dyDescent="0.3">
      <c r="B66" s="44">
        <v>45983</v>
      </c>
      <c r="C66" s="3" t="s">
        <v>416</v>
      </c>
      <c r="D66" s="3" t="s">
        <v>501</v>
      </c>
      <c r="E66" s="101"/>
      <c r="F66" s="3" t="s">
        <v>578</v>
      </c>
      <c r="G66" s="4">
        <v>4022700</v>
      </c>
      <c r="H66" s="3" t="s">
        <v>600</v>
      </c>
      <c r="I66" s="4" t="s">
        <v>556</v>
      </c>
      <c r="K66" s="3" t="s">
        <v>578</v>
      </c>
      <c r="L66" s="3" t="s">
        <v>230</v>
      </c>
    </row>
    <row r="67" spans="2:16" x14ac:dyDescent="0.3">
      <c r="B67" s="44">
        <v>45983</v>
      </c>
      <c r="C67" s="3" t="s">
        <v>416</v>
      </c>
      <c r="D67" s="3" t="s">
        <v>501</v>
      </c>
      <c r="E67" s="101"/>
      <c r="F67" s="3" t="s">
        <v>243</v>
      </c>
      <c r="G67" s="4">
        <v>3899907</v>
      </c>
      <c r="H67" s="3" t="s">
        <v>579</v>
      </c>
      <c r="I67" s="53">
        <v>3970007</v>
      </c>
      <c r="K67" s="4"/>
      <c r="L67" s="4"/>
    </row>
    <row r="68" spans="2:16" x14ac:dyDescent="0.3">
      <c r="B68" s="44">
        <v>45983</v>
      </c>
      <c r="C68" s="3" t="s">
        <v>416</v>
      </c>
      <c r="D68" s="3" t="s">
        <v>501</v>
      </c>
      <c r="E68" s="101"/>
      <c r="F68" s="3" t="s">
        <v>241</v>
      </c>
      <c r="G68" s="4">
        <v>3362401</v>
      </c>
      <c r="H68" s="3" t="s">
        <v>582</v>
      </c>
      <c r="I68" s="53">
        <v>3900901</v>
      </c>
      <c r="J68" s="4"/>
      <c r="K68" s="4"/>
    </row>
    <row r="69" spans="2:16" x14ac:dyDescent="0.3">
      <c r="B69" s="44">
        <v>45983</v>
      </c>
      <c r="C69" s="3" t="s">
        <v>416</v>
      </c>
      <c r="D69" s="3" t="s">
        <v>501</v>
      </c>
      <c r="E69" s="101"/>
      <c r="F69" s="3" t="s">
        <v>580</v>
      </c>
      <c r="G69" s="4">
        <v>3350001</v>
      </c>
      <c r="H69" s="3" t="s">
        <v>583</v>
      </c>
      <c r="I69" s="4">
        <v>4022908</v>
      </c>
      <c r="K69" s="4"/>
    </row>
    <row r="70" spans="2:16" x14ac:dyDescent="0.3">
      <c r="B70" s="44">
        <v>45983</v>
      </c>
      <c r="C70" s="3" t="s">
        <v>416</v>
      </c>
      <c r="D70" s="3" t="s">
        <v>501</v>
      </c>
      <c r="E70" s="101"/>
      <c r="F70" s="3" t="s">
        <v>581</v>
      </c>
      <c r="G70" s="4">
        <v>4022804</v>
      </c>
      <c r="H70" s="3" t="s">
        <v>598</v>
      </c>
      <c r="I70" s="4">
        <v>3354903</v>
      </c>
      <c r="J70" s="4"/>
      <c r="K70" s="4"/>
      <c r="L70" s="4"/>
    </row>
    <row r="71" spans="2:16" x14ac:dyDescent="0.3">
      <c r="B71" s="4"/>
      <c r="E71" s="101"/>
      <c r="F71" s="3" t="s">
        <v>418</v>
      </c>
      <c r="G71" s="4" t="s">
        <v>418</v>
      </c>
      <c r="H71" s="3" t="s">
        <v>418</v>
      </c>
      <c r="I71" s="4" t="s">
        <v>418</v>
      </c>
      <c r="J71" s="4"/>
      <c r="K71" s="4"/>
    </row>
    <row r="72" spans="2:16" x14ac:dyDescent="0.3">
      <c r="B72" s="44">
        <v>45990</v>
      </c>
      <c r="C72" s="3" t="s">
        <v>416</v>
      </c>
      <c r="D72" s="3" t="s">
        <v>501</v>
      </c>
      <c r="E72" s="101"/>
      <c r="F72" s="3" t="s">
        <v>583</v>
      </c>
      <c r="G72" s="4">
        <v>4022908</v>
      </c>
      <c r="H72" s="3" t="s">
        <v>598</v>
      </c>
      <c r="I72" s="4">
        <v>3354903</v>
      </c>
      <c r="J72" s="4"/>
      <c r="K72" s="4"/>
    </row>
    <row r="73" spans="2:16" x14ac:dyDescent="0.3">
      <c r="B73" s="44">
        <v>45990</v>
      </c>
      <c r="C73" s="3" t="s">
        <v>416</v>
      </c>
      <c r="D73" s="3" t="s">
        <v>501</v>
      </c>
      <c r="E73" s="101"/>
      <c r="F73" s="3" t="s">
        <v>600</v>
      </c>
      <c r="G73" s="4" t="s">
        <v>556</v>
      </c>
      <c r="H73" s="3" t="s">
        <v>581</v>
      </c>
      <c r="I73" s="4">
        <v>4022804</v>
      </c>
      <c r="J73" s="4"/>
      <c r="K73" s="3" t="s">
        <v>461</v>
      </c>
      <c r="L73" s="3" t="s">
        <v>581</v>
      </c>
    </row>
    <row r="74" spans="2:16" x14ac:dyDescent="0.3">
      <c r="B74" s="44">
        <v>45990</v>
      </c>
      <c r="C74" s="3" t="s">
        <v>416</v>
      </c>
      <c r="D74" s="3" t="s">
        <v>501</v>
      </c>
      <c r="E74" s="101"/>
      <c r="F74" s="3" t="s">
        <v>582</v>
      </c>
      <c r="G74" s="53">
        <v>3900901</v>
      </c>
      <c r="H74" s="3" t="s">
        <v>243</v>
      </c>
      <c r="I74" s="4">
        <v>3899907</v>
      </c>
      <c r="K74" s="4"/>
      <c r="L74" s="4"/>
    </row>
    <row r="75" spans="2:16" x14ac:dyDescent="0.3">
      <c r="B75" s="44">
        <v>45990</v>
      </c>
      <c r="C75" s="3" t="s">
        <v>416</v>
      </c>
      <c r="D75" s="3" t="s">
        <v>501</v>
      </c>
      <c r="E75" s="101"/>
      <c r="F75" s="3" t="s">
        <v>579</v>
      </c>
      <c r="G75" s="53">
        <v>3970007</v>
      </c>
      <c r="H75" s="3" t="s">
        <v>580</v>
      </c>
      <c r="I75" s="4">
        <v>3350001</v>
      </c>
      <c r="J75" s="4"/>
      <c r="K75" s="4"/>
    </row>
    <row r="76" spans="2:16" x14ac:dyDescent="0.3">
      <c r="B76" s="44">
        <v>45990</v>
      </c>
      <c r="C76" s="3" t="s">
        <v>416</v>
      </c>
      <c r="D76" s="3" t="s">
        <v>501</v>
      </c>
      <c r="E76" s="101"/>
      <c r="F76" s="3" t="s">
        <v>241</v>
      </c>
      <c r="G76" s="4">
        <v>3362401</v>
      </c>
      <c r="H76" s="3" t="s">
        <v>578</v>
      </c>
      <c r="I76" s="4">
        <v>4022700</v>
      </c>
      <c r="K76" s="4"/>
    </row>
    <row r="77" spans="2:16" x14ac:dyDescent="0.3">
      <c r="B77" s="44"/>
      <c r="E77" s="101"/>
      <c r="F77" s="3" t="s">
        <v>418</v>
      </c>
      <c r="G77" s="4" t="s">
        <v>418</v>
      </c>
      <c r="H77" s="3" t="s">
        <v>418</v>
      </c>
      <c r="I77" s="4" t="s">
        <v>418</v>
      </c>
      <c r="K77" s="4"/>
      <c r="L77" s="4"/>
    </row>
    <row r="78" spans="2:16" x14ac:dyDescent="0.3">
      <c r="B78" s="44">
        <v>46039</v>
      </c>
      <c r="C78" s="3" t="s">
        <v>416</v>
      </c>
      <c r="D78" s="3" t="s">
        <v>501</v>
      </c>
      <c r="E78" s="101"/>
      <c r="F78" s="3" t="s">
        <v>598</v>
      </c>
      <c r="G78" s="4">
        <v>3354903</v>
      </c>
      <c r="H78" s="3" t="s">
        <v>600</v>
      </c>
      <c r="I78" s="4" t="s">
        <v>556</v>
      </c>
      <c r="J78" s="4"/>
      <c r="K78" s="3" t="s">
        <v>598</v>
      </c>
      <c r="L78" s="3" t="s">
        <v>571</v>
      </c>
    </row>
    <row r="79" spans="2:16" x14ac:dyDescent="0.3">
      <c r="B79" s="44">
        <v>46039</v>
      </c>
      <c r="C79" s="3" t="s">
        <v>416</v>
      </c>
      <c r="D79" s="3" t="s">
        <v>501</v>
      </c>
      <c r="E79" s="101"/>
      <c r="F79" s="3" t="s">
        <v>243</v>
      </c>
      <c r="G79" s="4">
        <v>3899907</v>
      </c>
      <c r="H79" s="3" t="s">
        <v>578</v>
      </c>
      <c r="I79" s="4">
        <v>4022700</v>
      </c>
      <c r="K79" s="4"/>
      <c r="P79" s="51"/>
    </row>
    <row r="80" spans="2:16" x14ac:dyDescent="0.3">
      <c r="B80" s="44">
        <v>46039</v>
      </c>
      <c r="C80" s="3" t="s">
        <v>416</v>
      </c>
      <c r="D80" s="3" t="s">
        <v>501</v>
      </c>
      <c r="E80" s="101"/>
      <c r="F80" s="3" t="s">
        <v>580</v>
      </c>
      <c r="G80" s="4">
        <v>3350001</v>
      </c>
      <c r="H80" s="3" t="s">
        <v>582</v>
      </c>
      <c r="I80" s="53">
        <v>3900901</v>
      </c>
      <c r="K80" s="4"/>
      <c r="P80" s="51"/>
    </row>
    <row r="81" spans="2:16" x14ac:dyDescent="0.3">
      <c r="B81" s="44">
        <v>46039</v>
      </c>
      <c r="C81" s="3" t="s">
        <v>416</v>
      </c>
      <c r="D81" s="3" t="s">
        <v>501</v>
      </c>
      <c r="E81" s="101"/>
      <c r="F81" s="3" t="s">
        <v>581</v>
      </c>
      <c r="G81" s="4">
        <v>4022804</v>
      </c>
      <c r="H81" s="3" t="s">
        <v>241</v>
      </c>
      <c r="I81" s="4">
        <v>3362401</v>
      </c>
      <c r="J81" s="4"/>
      <c r="K81" s="4"/>
      <c r="P81" s="51"/>
    </row>
    <row r="82" spans="2:16" x14ac:dyDescent="0.3">
      <c r="B82" s="44">
        <v>46039</v>
      </c>
      <c r="C82" s="3" t="s">
        <v>416</v>
      </c>
      <c r="D82" s="3" t="s">
        <v>501</v>
      </c>
      <c r="E82" s="101"/>
      <c r="F82" s="3" t="s">
        <v>583</v>
      </c>
      <c r="G82" s="4">
        <v>4022908</v>
      </c>
      <c r="H82" s="3" t="s">
        <v>579</v>
      </c>
      <c r="I82" s="53">
        <v>3970007</v>
      </c>
      <c r="J82" s="4"/>
      <c r="K82" s="4"/>
      <c r="L82" s="4"/>
      <c r="P82" s="51"/>
    </row>
    <row r="83" spans="2:16" x14ac:dyDescent="0.3">
      <c r="B83" s="44"/>
      <c r="E83" s="101"/>
      <c r="F83" s="3" t="s">
        <v>418</v>
      </c>
      <c r="G83" s="4" t="s">
        <v>418</v>
      </c>
      <c r="H83" s="3" t="s">
        <v>418</v>
      </c>
      <c r="I83" s="4" t="s">
        <v>418</v>
      </c>
      <c r="J83" s="4"/>
      <c r="K83" s="4"/>
      <c r="P83" s="51"/>
    </row>
    <row r="84" spans="2:16" x14ac:dyDescent="0.3">
      <c r="B84" s="44">
        <v>46046</v>
      </c>
      <c r="C84" s="3" t="s">
        <v>416</v>
      </c>
      <c r="D84" s="3" t="s">
        <v>501</v>
      </c>
      <c r="E84" s="101"/>
      <c r="F84" s="3" t="s">
        <v>578</v>
      </c>
      <c r="G84" s="4">
        <v>4022700</v>
      </c>
      <c r="H84" s="3" t="s">
        <v>580</v>
      </c>
      <c r="I84" s="4">
        <v>3350001</v>
      </c>
      <c r="K84" s="4"/>
      <c r="P84" s="51"/>
    </row>
    <row r="85" spans="2:16" x14ac:dyDescent="0.3">
      <c r="B85" s="44">
        <v>46046</v>
      </c>
      <c r="C85" s="3" t="s">
        <v>416</v>
      </c>
      <c r="D85" s="3" t="s">
        <v>501</v>
      </c>
      <c r="E85" s="101"/>
      <c r="F85" s="3" t="s">
        <v>600</v>
      </c>
      <c r="G85" s="4" t="s">
        <v>556</v>
      </c>
      <c r="H85" s="3" t="s">
        <v>241</v>
      </c>
      <c r="I85" s="4">
        <v>3362401</v>
      </c>
      <c r="J85" s="4"/>
      <c r="K85" s="3" t="s">
        <v>226</v>
      </c>
      <c r="L85" s="3" t="s">
        <v>241</v>
      </c>
      <c r="P85" s="51"/>
    </row>
    <row r="86" spans="2:16" x14ac:dyDescent="0.3">
      <c r="B86" s="44">
        <v>46046</v>
      </c>
      <c r="C86" s="3" t="s">
        <v>416</v>
      </c>
      <c r="D86" s="3" t="s">
        <v>501</v>
      </c>
      <c r="E86" s="101"/>
      <c r="F86" s="3" t="s">
        <v>579</v>
      </c>
      <c r="G86" s="53">
        <v>3970007</v>
      </c>
      <c r="H86" s="3" t="s">
        <v>598</v>
      </c>
      <c r="I86" s="4">
        <v>3354903</v>
      </c>
      <c r="J86" s="4"/>
      <c r="K86" s="4"/>
    </row>
    <row r="87" spans="2:16" x14ac:dyDescent="0.3">
      <c r="B87" s="44">
        <v>46046</v>
      </c>
      <c r="C87" s="3" t="s">
        <v>416</v>
      </c>
      <c r="D87" s="3" t="s">
        <v>501</v>
      </c>
      <c r="E87" s="101"/>
      <c r="F87" s="3" t="s">
        <v>582</v>
      </c>
      <c r="G87" s="53">
        <v>3900901</v>
      </c>
      <c r="H87" s="3" t="s">
        <v>583</v>
      </c>
      <c r="I87" s="4">
        <v>4022908</v>
      </c>
      <c r="K87" s="4"/>
      <c r="L87" s="4"/>
      <c r="P87" s="51"/>
    </row>
    <row r="88" spans="2:16" x14ac:dyDescent="0.3">
      <c r="B88" s="44">
        <v>46046</v>
      </c>
      <c r="C88" s="3" t="s">
        <v>416</v>
      </c>
      <c r="D88" s="3" t="s">
        <v>501</v>
      </c>
      <c r="E88" s="101"/>
      <c r="F88" s="3" t="s">
        <v>581</v>
      </c>
      <c r="G88" s="4">
        <v>4022804</v>
      </c>
      <c r="H88" s="3" t="s">
        <v>243</v>
      </c>
      <c r="I88" s="4">
        <v>3899907</v>
      </c>
      <c r="J88" s="4"/>
      <c r="K88" s="4"/>
      <c r="P88" s="51"/>
    </row>
    <row r="89" spans="2:16" x14ac:dyDescent="0.3">
      <c r="B89" s="44"/>
      <c r="E89" s="101"/>
      <c r="F89" s="3" t="s">
        <v>418</v>
      </c>
      <c r="G89" s="4" t="s">
        <v>418</v>
      </c>
      <c r="H89" s="3" t="s">
        <v>418</v>
      </c>
      <c r="I89" s="4" t="s">
        <v>418</v>
      </c>
      <c r="K89" s="4"/>
      <c r="P89" s="51"/>
    </row>
    <row r="90" spans="2:16" x14ac:dyDescent="0.3">
      <c r="B90" s="44">
        <v>46053</v>
      </c>
      <c r="C90" s="3" t="s">
        <v>416</v>
      </c>
      <c r="D90" s="3" t="s">
        <v>501</v>
      </c>
      <c r="E90" s="101"/>
      <c r="F90" s="3" t="s">
        <v>243</v>
      </c>
      <c r="G90" s="4">
        <v>3899907</v>
      </c>
      <c r="H90" s="3" t="s">
        <v>600</v>
      </c>
      <c r="I90" s="4" t="s">
        <v>556</v>
      </c>
      <c r="K90" s="3" t="s">
        <v>243</v>
      </c>
      <c r="L90" s="3" t="s">
        <v>597</v>
      </c>
      <c r="P90" s="51"/>
    </row>
    <row r="91" spans="2:16" x14ac:dyDescent="0.3">
      <c r="B91" s="44">
        <v>46053</v>
      </c>
      <c r="C91" s="3" t="s">
        <v>416</v>
      </c>
      <c r="D91" s="3" t="s">
        <v>501</v>
      </c>
      <c r="E91" s="101"/>
      <c r="F91" s="3" t="s">
        <v>580</v>
      </c>
      <c r="G91" s="4">
        <v>3350001</v>
      </c>
      <c r="H91" s="3" t="s">
        <v>581</v>
      </c>
      <c r="I91" s="4">
        <v>4022804</v>
      </c>
      <c r="K91" s="4"/>
    </row>
    <row r="92" spans="2:16" x14ac:dyDescent="0.3">
      <c r="B92" s="44">
        <v>46053</v>
      </c>
      <c r="C92" s="3" t="s">
        <v>416</v>
      </c>
      <c r="D92" s="3" t="s">
        <v>501</v>
      </c>
      <c r="E92" s="101"/>
      <c r="F92" s="3" t="s">
        <v>579</v>
      </c>
      <c r="G92" s="53">
        <v>3970007</v>
      </c>
      <c r="H92" s="3" t="s">
        <v>582</v>
      </c>
      <c r="I92" s="53">
        <v>3900901</v>
      </c>
      <c r="J92" s="4"/>
      <c r="K92" s="4"/>
      <c r="L92" s="4"/>
      <c r="P92" s="51"/>
    </row>
    <row r="93" spans="2:16" x14ac:dyDescent="0.3">
      <c r="B93" s="44">
        <v>46053</v>
      </c>
      <c r="C93" s="3" t="s">
        <v>416</v>
      </c>
      <c r="D93" s="3" t="s">
        <v>501</v>
      </c>
      <c r="E93" s="101"/>
      <c r="F93" s="3" t="s">
        <v>241</v>
      </c>
      <c r="G93" s="4">
        <v>3362401</v>
      </c>
      <c r="H93" s="3" t="s">
        <v>598</v>
      </c>
      <c r="I93" s="4">
        <v>3354903</v>
      </c>
      <c r="P93" s="51"/>
    </row>
    <row r="94" spans="2:16" x14ac:dyDescent="0.3">
      <c r="B94" s="44">
        <v>46053</v>
      </c>
      <c r="C94" s="3" t="s">
        <v>416</v>
      </c>
      <c r="D94" s="3" t="s">
        <v>501</v>
      </c>
      <c r="E94" s="101"/>
      <c r="F94" s="3" t="s">
        <v>583</v>
      </c>
      <c r="G94" s="4">
        <v>4022908</v>
      </c>
      <c r="H94" s="3" t="s">
        <v>578</v>
      </c>
      <c r="I94" s="4">
        <v>4022700</v>
      </c>
      <c r="P94" s="51"/>
    </row>
    <row r="95" spans="2:16" x14ac:dyDescent="0.3">
      <c r="B95" s="44"/>
      <c r="E95" s="101"/>
      <c r="F95" s="3" t="s">
        <v>418</v>
      </c>
      <c r="G95" s="4" t="s">
        <v>418</v>
      </c>
      <c r="H95" s="3" t="s">
        <v>418</v>
      </c>
      <c r="I95" s="4" t="s">
        <v>418</v>
      </c>
      <c r="P95" s="51"/>
    </row>
    <row r="96" spans="2:16" x14ac:dyDescent="0.3">
      <c r="B96" s="44">
        <v>46060</v>
      </c>
      <c r="C96" s="3" t="s">
        <v>416</v>
      </c>
      <c r="D96" s="3" t="s">
        <v>501</v>
      </c>
      <c r="E96" s="101"/>
      <c r="F96" s="3" t="s">
        <v>598</v>
      </c>
      <c r="G96" s="4">
        <v>3354903</v>
      </c>
      <c r="H96" s="3" t="s">
        <v>582</v>
      </c>
      <c r="I96" s="53">
        <v>3900901</v>
      </c>
    </row>
    <row r="97" spans="2:16" x14ac:dyDescent="0.3">
      <c r="B97" s="44">
        <v>46060</v>
      </c>
      <c r="C97" s="3" t="s">
        <v>416</v>
      </c>
      <c r="D97" s="3" t="s">
        <v>501</v>
      </c>
      <c r="E97" s="101"/>
      <c r="F97" s="3" t="s">
        <v>578</v>
      </c>
      <c r="G97" s="4">
        <v>4022700</v>
      </c>
      <c r="H97" s="3" t="s">
        <v>579</v>
      </c>
      <c r="I97" s="53">
        <v>3970007</v>
      </c>
      <c r="P97" s="51"/>
    </row>
    <row r="98" spans="2:16" x14ac:dyDescent="0.3">
      <c r="B98" s="44">
        <v>46060</v>
      </c>
      <c r="C98" s="3" t="s">
        <v>416</v>
      </c>
      <c r="D98" s="3" t="s">
        <v>501</v>
      </c>
      <c r="E98" s="101"/>
      <c r="F98" s="3" t="s">
        <v>600</v>
      </c>
      <c r="G98" s="4" t="s">
        <v>556</v>
      </c>
      <c r="H98" s="3" t="s">
        <v>580</v>
      </c>
      <c r="I98" s="4">
        <v>3350001</v>
      </c>
      <c r="K98" s="3" t="s">
        <v>580</v>
      </c>
      <c r="L98" s="3" t="s">
        <v>573</v>
      </c>
      <c r="P98" s="51"/>
    </row>
    <row r="99" spans="2:16" x14ac:dyDescent="0.3">
      <c r="B99" s="44">
        <v>46060</v>
      </c>
      <c r="C99" s="3" t="s">
        <v>416</v>
      </c>
      <c r="D99" s="3" t="s">
        <v>501</v>
      </c>
      <c r="E99" s="101"/>
      <c r="F99" s="3" t="s">
        <v>241</v>
      </c>
      <c r="G99" s="4">
        <v>3362401</v>
      </c>
      <c r="H99" s="3" t="s">
        <v>243</v>
      </c>
      <c r="I99" s="4">
        <v>3899907</v>
      </c>
      <c r="P99" s="51"/>
    </row>
    <row r="100" spans="2:16" x14ac:dyDescent="0.3">
      <c r="B100" s="44">
        <v>46060</v>
      </c>
      <c r="C100" s="3" t="s">
        <v>416</v>
      </c>
      <c r="D100" s="3" t="s">
        <v>501</v>
      </c>
      <c r="E100" s="101"/>
      <c r="F100" s="3" t="s">
        <v>581</v>
      </c>
      <c r="G100" s="4">
        <v>4022804</v>
      </c>
      <c r="H100" s="3" t="s">
        <v>583</v>
      </c>
      <c r="I100" s="4">
        <v>4022908</v>
      </c>
      <c r="P100" s="51"/>
    </row>
    <row r="101" spans="2:16" x14ac:dyDescent="0.3">
      <c r="B101" s="44"/>
      <c r="E101" s="101"/>
      <c r="F101" s="3" t="s">
        <v>418</v>
      </c>
      <c r="G101" s="4" t="s">
        <v>418</v>
      </c>
      <c r="H101" s="3" t="s">
        <v>418</v>
      </c>
      <c r="I101" s="4" t="s">
        <v>418</v>
      </c>
      <c r="P101" s="51"/>
    </row>
    <row r="102" spans="2:16" x14ac:dyDescent="0.3">
      <c r="B102" s="44">
        <v>46081</v>
      </c>
      <c r="C102" s="3" t="s">
        <v>416</v>
      </c>
      <c r="D102" s="3" t="s">
        <v>501</v>
      </c>
      <c r="E102" s="101"/>
      <c r="F102" s="3" t="s">
        <v>243</v>
      </c>
      <c r="G102" s="4">
        <v>3899907</v>
      </c>
      <c r="H102" s="3" t="s">
        <v>598</v>
      </c>
      <c r="I102" s="4">
        <v>3354903</v>
      </c>
      <c r="P102" s="51"/>
    </row>
    <row r="103" spans="2:16" x14ac:dyDescent="0.3">
      <c r="B103" s="44">
        <v>46081</v>
      </c>
      <c r="C103" s="3" t="s">
        <v>416</v>
      </c>
      <c r="D103" s="3" t="s">
        <v>501</v>
      </c>
      <c r="E103" s="101"/>
      <c r="F103" s="3" t="s">
        <v>580</v>
      </c>
      <c r="G103" s="4">
        <v>3350001</v>
      </c>
      <c r="H103" s="3" t="s">
        <v>241</v>
      </c>
      <c r="I103" s="4">
        <v>3362401</v>
      </c>
    </row>
    <row r="104" spans="2:16" x14ac:dyDescent="0.3">
      <c r="B104" s="44">
        <v>46081</v>
      </c>
      <c r="C104" s="3" t="s">
        <v>416</v>
      </c>
      <c r="D104" s="3" t="s">
        <v>501</v>
      </c>
      <c r="E104" s="101"/>
      <c r="F104" s="3" t="s">
        <v>579</v>
      </c>
      <c r="G104" s="53">
        <v>3970007</v>
      </c>
      <c r="H104" s="3" t="s">
        <v>581</v>
      </c>
      <c r="I104" s="4">
        <v>4022804</v>
      </c>
      <c r="P104" s="51"/>
    </row>
    <row r="105" spans="2:16" x14ac:dyDescent="0.3">
      <c r="B105" s="44">
        <v>46081</v>
      </c>
      <c r="C105" s="3" t="s">
        <v>416</v>
      </c>
      <c r="D105" s="3" t="s">
        <v>501</v>
      </c>
      <c r="E105" s="101"/>
      <c r="F105" s="3" t="s">
        <v>582</v>
      </c>
      <c r="G105" s="53">
        <v>3900901</v>
      </c>
      <c r="H105" s="3" t="s">
        <v>578</v>
      </c>
      <c r="I105" s="4">
        <v>4022700</v>
      </c>
      <c r="P105" s="51"/>
    </row>
    <row r="106" spans="2:16" x14ac:dyDescent="0.3">
      <c r="B106" s="44">
        <v>46081</v>
      </c>
      <c r="C106" s="3" t="s">
        <v>416</v>
      </c>
      <c r="D106" s="3" t="s">
        <v>501</v>
      </c>
      <c r="E106" s="101"/>
      <c r="F106" s="3" t="s">
        <v>583</v>
      </c>
      <c r="G106" s="4">
        <v>4022908</v>
      </c>
      <c r="H106" s="3" t="s">
        <v>600</v>
      </c>
      <c r="I106" s="4" t="s">
        <v>556</v>
      </c>
      <c r="K106" s="3" t="s">
        <v>583</v>
      </c>
      <c r="L106" s="3" t="s">
        <v>572</v>
      </c>
      <c r="P106" s="51"/>
    </row>
    <row r="107" spans="2:16" x14ac:dyDescent="0.3">
      <c r="B107" s="4"/>
      <c r="E107" s="101"/>
      <c r="F107" s="3" t="s">
        <v>418</v>
      </c>
      <c r="G107" s="4" t="s">
        <v>418</v>
      </c>
      <c r="H107" s="3" t="s">
        <v>418</v>
      </c>
      <c r="I107" s="4" t="s">
        <v>418</v>
      </c>
      <c r="P107" s="51"/>
    </row>
    <row r="108" spans="2:16" x14ac:dyDescent="0.3">
      <c r="B108" s="44">
        <v>46088</v>
      </c>
      <c r="C108" s="3" t="s">
        <v>416</v>
      </c>
      <c r="D108" s="3" t="s">
        <v>501</v>
      </c>
      <c r="E108" s="101"/>
      <c r="F108" s="3" t="s">
        <v>598</v>
      </c>
      <c r="G108" s="4">
        <v>3354903</v>
      </c>
      <c r="H108" s="3" t="s">
        <v>578</v>
      </c>
      <c r="I108" s="4">
        <v>4022700</v>
      </c>
      <c r="P108" s="51"/>
    </row>
    <row r="109" spans="2:16" x14ac:dyDescent="0.3">
      <c r="B109" s="44">
        <v>46088</v>
      </c>
      <c r="C109" s="3" t="s">
        <v>416</v>
      </c>
      <c r="D109" s="3" t="s">
        <v>501</v>
      </c>
      <c r="E109" s="101"/>
      <c r="F109" s="3" t="s">
        <v>600</v>
      </c>
      <c r="G109" s="4" t="s">
        <v>556</v>
      </c>
      <c r="H109" s="3" t="s">
        <v>579</v>
      </c>
      <c r="I109" s="53">
        <v>3970007</v>
      </c>
      <c r="K109" s="3" t="s">
        <v>228</v>
      </c>
      <c r="L109" s="3" t="s">
        <v>579</v>
      </c>
    </row>
    <row r="110" spans="2:16" x14ac:dyDescent="0.3">
      <c r="B110" s="44">
        <v>46088</v>
      </c>
      <c r="C110" s="3" t="s">
        <v>416</v>
      </c>
      <c r="D110" s="3" t="s">
        <v>501</v>
      </c>
      <c r="E110" s="101"/>
      <c r="F110" s="3" t="s">
        <v>243</v>
      </c>
      <c r="G110" s="4">
        <v>3899907</v>
      </c>
      <c r="H110" s="3" t="s">
        <v>580</v>
      </c>
      <c r="I110" s="4">
        <v>3350001</v>
      </c>
      <c r="P110" s="51"/>
    </row>
    <row r="111" spans="2:16" x14ac:dyDescent="0.3">
      <c r="B111" s="44">
        <v>46088</v>
      </c>
      <c r="C111" s="3" t="s">
        <v>416</v>
      </c>
      <c r="D111" s="3" t="s">
        <v>501</v>
      </c>
      <c r="E111" s="101"/>
      <c r="F111" s="3" t="s">
        <v>241</v>
      </c>
      <c r="G111" s="4">
        <v>3362401</v>
      </c>
      <c r="H111" s="3" t="s">
        <v>583</v>
      </c>
      <c r="I111" s="4">
        <v>4022908</v>
      </c>
      <c r="P111" s="51"/>
    </row>
    <row r="112" spans="2:16" x14ac:dyDescent="0.3">
      <c r="B112" s="44">
        <v>46088</v>
      </c>
      <c r="C112" s="3" t="s">
        <v>416</v>
      </c>
      <c r="D112" s="3" t="s">
        <v>501</v>
      </c>
      <c r="E112" s="101"/>
      <c r="F112" s="3" t="s">
        <v>581</v>
      </c>
      <c r="G112" s="4">
        <v>4022804</v>
      </c>
      <c r="H112" s="3" t="s">
        <v>582</v>
      </c>
      <c r="I112" s="53">
        <v>3900901</v>
      </c>
      <c r="P112" s="4"/>
    </row>
    <row r="113" spans="2:17" x14ac:dyDescent="0.3">
      <c r="B113" s="44"/>
      <c r="E113" s="101"/>
      <c r="F113" s="3" t="s">
        <v>418</v>
      </c>
      <c r="G113" s="4" t="s">
        <v>418</v>
      </c>
      <c r="H113" s="3" t="s">
        <v>418</v>
      </c>
      <c r="I113" s="4" t="s">
        <v>418</v>
      </c>
      <c r="P113" s="4"/>
    </row>
    <row r="114" spans="2:17" x14ac:dyDescent="0.3">
      <c r="B114" s="44">
        <v>46095</v>
      </c>
      <c r="C114" s="3" t="s">
        <v>416</v>
      </c>
      <c r="D114" s="3" t="s">
        <v>501</v>
      </c>
      <c r="E114" s="101"/>
      <c r="F114" s="3" t="s">
        <v>578</v>
      </c>
      <c r="G114" s="4">
        <v>4022700</v>
      </c>
      <c r="H114" s="3" t="s">
        <v>581</v>
      </c>
      <c r="I114" s="4">
        <v>4022804</v>
      </c>
    </row>
    <row r="115" spans="2:17" x14ac:dyDescent="0.3">
      <c r="B115" s="44">
        <v>46095</v>
      </c>
      <c r="C115" s="3" t="s">
        <v>416</v>
      </c>
      <c r="D115" s="3" t="s">
        <v>501</v>
      </c>
      <c r="E115" s="101"/>
      <c r="F115" s="3" t="s">
        <v>580</v>
      </c>
      <c r="G115" s="4">
        <v>3350001</v>
      </c>
      <c r="H115" s="3" t="s">
        <v>598</v>
      </c>
      <c r="I115" s="4">
        <v>3354903</v>
      </c>
      <c r="P115" s="4"/>
    </row>
    <row r="116" spans="2:17" x14ac:dyDescent="0.3">
      <c r="B116" s="44">
        <v>46095</v>
      </c>
      <c r="C116" s="3" t="s">
        <v>416</v>
      </c>
      <c r="D116" s="3" t="s">
        <v>501</v>
      </c>
      <c r="E116" s="101"/>
      <c r="F116" s="3" t="s">
        <v>241</v>
      </c>
      <c r="G116" s="4">
        <v>3362401</v>
      </c>
      <c r="H116" s="3" t="s">
        <v>579</v>
      </c>
      <c r="I116" s="53">
        <v>3970007</v>
      </c>
      <c r="P116" s="4"/>
    </row>
    <row r="117" spans="2:17" x14ac:dyDescent="0.3">
      <c r="B117" s="44">
        <v>46095</v>
      </c>
      <c r="C117" s="3" t="s">
        <v>416</v>
      </c>
      <c r="D117" s="3" t="s">
        <v>501</v>
      </c>
      <c r="E117" s="101"/>
      <c r="F117" s="3" t="s">
        <v>582</v>
      </c>
      <c r="G117" s="53">
        <v>3900901</v>
      </c>
      <c r="H117" s="3" t="s">
        <v>600</v>
      </c>
      <c r="I117" s="4" t="s">
        <v>556</v>
      </c>
      <c r="K117" s="3" t="s">
        <v>582</v>
      </c>
      <c r="L117" s="3" t="s">
        <v>231</v>
      </c>
      <c r="P117" s="4"/>
      <c r="Q117" s="4"/>
    </row>
    <row r="118" spans="2:17" x14ac:dyDescent="0.3">
      <c r="B118" s="44">
        <v>46095</v>
      </c>
      <c r="C118" s="3" t="s">
        <v>416</v>
      </c>
      <c r="D118" s="3" t="s">
        <v>501</v>
      </c>
      <c r="E118" s="101"/>
      <c r="F118" s="3" t="s">
        <v>583</v>
      </c>
      <c r="G118" s="4">
        <v>4022908</v>
      </c>
      <c r="H118" s="3" t="s">
        <v>243</v>
      </c>
      <c r="I118" s="4">
        <v>3899907</v>
      </c>
      <c r="P118" s="4"/>
      <c r="Q118" s="4"/>
    </row>
    <row r="119" spans="2:17" x14ac:dyDescent="0.3">
      <c r="B119" s="44"/>
      <c r="E119" s="101"/>
      <c r="F119" s="3" t="s">
        <v>418</v>
      </c>
      <c r="G119" s="4" t="s">
        <v>418</v>
      </c>
      <c r="H119" s="3" t="s">
        <v>418</v>
      </c>
      <c r="I119" s="4" t="s">
        <v>418</v>
      </c>
    </row>
    <row r="120" spans="2:17" x14ac:dyDescent="0.3">
      <c r="B120" s="44">
        <v>46102</v>
      </c>
      <c r="C120" s="3" t="s">
        <v>416</v>
      </c>
      <c r="D120" s="3" t="s">
        <v>501</v>
      </c>
      <c r="E120" s="101"/>
      <c r="F120" s="3" t="s">
        <v>598</v>
      </c>
      <c r="G120" s="4">
        <v>3354903</v>
      </c>
      <c r="H120" s="3" t="s">
        <v>581</v>
      </c>
      <c r="I120" s="4">
        <v>4022804</v>
      </c>
      <c r="P120" s="4"/>
      <c r="Q120" s="4"/>
    </row>
    <row r="121" spans="2:17" x14ac:dyDescent="0.3">
      <c r="B121" s="44">
        <v>46102</v>
      </c>
      <c r="C121" s="3" t="s">
        <v>416</v>
      </c>
      <c r="D121" s="3" t="s">
        <v>501</v>
      </c>
      <c r="E121" s="101"/>
      <c r="F121" s="3" t="s">
        <v>600</v>
      </c>
      <c r="G121" s="4" t="s">
        <v>556</v>
      </c>
      <c r="H121" s="3" t="s">
        <v>578</v>
      </c>
      <c r="I121" s="4">
        <v>4022700</v>
      </c>
      <c r="K121" s="3" t="s">
        <v>230</v>
      </c>
      <c r="L121" s="3" t="s">
        <v>578</v>
      </c>
      <c r="P121" s="4"/>
    </row>
    <row r="122" spans="2:17" x14ac:dyDescent="0.3">
      <c r="B122" s="44">
        <v>46102</v>
      </c>
      <c r="C122" s="3" t="s">
        <v>416</v>
      </c>
      <c r="D122" s="3" t="s">
        <v>501</v>
      </c>
      <c r="E122" s="101"/>
      <c r="F122" s="3" t="s">
        <v>579</v>
      </c>
      <c r="G122" s="53">
        <v>3970007</v>
      </c>
      <c r="H122" s="3" t="s">
        <v>243</v>
      </c>
      <c r="I122" s="4">
        <v>3899907</v>
      </c>
      <c r="P122" s="4"/>
    </row>
    <row r="123" spans="2:17" x14ac:dyDescent="0.3">
      <c r="B123" s="44">
        <v>46102</v>
      </c>
      <c r="C123" s="3" t="s">
        <v>416</v>
      </c>
      <c r="D123" s="3" t="s">
        <v>501</v>
      </c>
      <c r="E123" s="101"/>
      <c r="F123" s="3" t="s">
        <v>583</v>
      </c>
      <c r="G123" s="4">
        <v>4022908</v>
      </c>
      <c r="H123" s="3" t="s">
        <v>580</v>
      </c>
      <c r="I123" s="4">
        <v>3350001</v>
      </c>
      <c r="P123" s="4"/>
      <c r="Q123" s="4"/>
    </row>
    <row r="124" spans="2:17" x14ac:dyDescent="0.3">
      <c r="B124" s="44">
        <v>46102</v>
      </c>
      <c r="C124" s="3" t="s">
        <v>416</v>
      </c>
      <c r="D124" s="3" t="s">
        <v>501</v>
      </c>
      <c r="E124" s="101"/>
      <c r="F124" s="3" t="s">
        <v>582</v>
      </c>
      <c r="G124" s="53">
        <v>3900901</v>
      </c>
      <c r="H124" s="3" t="s">
        <v>241</v>
      </c>
      <c r="I124" s="4">
        <v>3362401</v>
      </c>
      <c r="P124" s="4"/>
    </row>
    <row r="125" spans="2:17" x14ac:dyDescent="0.3">
      <c r="B125" s="44"/>
      <c r="E125" s="101"/>
      <c r="F125" s="3" t="s">
        <v>418</v>
      </c>
      <c r="G125" s="4" t="s">
        <v>418</v>
      </c>
      <c r="H125" s="3" t="s">
        <v>418</v>
      </c>
      <c r="I125" s="4" t="s">
        <v>418</v>
      </c>
      <c r="P125" s="4"/>
    </row>
    <row r="126" spans="2:17" x14ac:dyDescent="0.3">
      <c r="B126" s="44">
        <v>46109</v>
      </c>
      <c r="C126" s="3" t="s">
        <v>416</v>
      </c>
      <c r="D126" s="3" t="s">
        <v>501</v>
      </c>
      <c r="E126" s="101"/>
      <c r="F126" s="3" t="s">
        <v>578</v>
      </c>
      <c r="G126" s="4">
        <v>4022700</v>
      </c>
      <c r="H126" s="3" t="s">
        <v>241</v>
      </c>
      <c r="I126" s="4">
        <v>3362401</v>
      </c>
    </row>
    <row r="127" spans="2:17" x14ac:dyDescent="0.3">
      <c r="B127" s="44">
        <v>46109</v>
      </c>
      <c r="C127" s="3" t="s">
        <v>416</v>
      </c>
      <c r="D127" s="3" t="s">
        <v>501</v>
      </c>
      <c r="E127" s="101"/>
      <c r="F127" s="3" t="s">
        <v>580</v>
      </c>
      <c r="G127" s="4">
        <v>3350001</v>
      </c>
      <c r="H127" s="3" t="s">
        <v>579</v>
      </c>
      <c r="I127" s="53">
        <v>3970007</v>
      </c>
    </row>
    <row r="128" spans="2:17" x14ac:dyDescent="0.3">
      <c r="B128" s="44">
        <v>46109</v>
      </c>
      <c r="C128" s="3" t="s">
        <v>416</v>
      </c>
      <c r="D128" s="3" t="s">
        <v>501</v>
      </c>
      <c r="E128" s="101"/>
      <c r="F128" s="3" t="s">
        <v>243</v>
      </c>
      <c r="G128" s="4">
        <v>3899907</v>
      </c>
      <c r="H128" s="3" t="s">
        <v>582</v>
      </c>
      <c r="I128" s="53">
        <v>3900901</v>
      </c>
    </row>
    <row r="129" spans="2:12" x14ac:dyDescent="0.3">
      <c r="B129" s="44">
        <v>46109</v>
      </c>
      <c r="C129" s="3" t="s">
        <v>416</v>
      </c>
      <c r="D129" s="3" t="s">
        <v>501</v>
      </c>
      <c r="E129" s="101"/>
      <c r="F129" s="3" t="s">
        <v>598</v>
      </c>
      <c r="G129" s="4">
        <v>3354903</v>
      </c>
      <c r="H129" s="3" t="s">
        <v>583</v>
      </c>
      <c r="I129" s="4">
        <v>4022908</v>
      </c>
    </row>
    <row r="130" spans="2:12" x14ac:dyDescent="0.3">
      <c r="B130" s="44">
        <v>46109</v>
      </c>
      <c r="C130" s="3" t="s">
        <v>416</v>
      </c>
      <c r="D130" s="3" t="s">
        <v>501</v>
      </c>
      <c r="E130" s="101"/>
      <c r="F130" s="3" t="s">
        <v>581</v>
      </c>
      <c r="G130" s="4">
        <v>4022804</v>
      </c>
      <c r="H130" s="3" t="s">
        <v>600</v>
      </c>
      <c r="I130" s="4" t="s">
        <v>556</v>
      </c>
      <c r="K130" s="3" t="s">
        <v>581</v>
      </c>
      <c r="L130" s="3" t="s">
        <v>461</v>
      </c>
    </row>
    <row r="131" spans="2:12" x14ac:dyDescent="0.3">
      <c r="B131" s="44"/>
      <c r="G131" s="3"/>
      <c r="I131" s="3"/>
    </row>
    <row r="132" spans="2:12" x14ac:dyDescent="0.3">
      <c r="B132" s="44"/>
      <c r="G132" s="3"/>
      <c r="I132" s="3"/>
    </row>
    <row r="133" spans="2:12" x14ac:dyDescent="0.3">
      <c r="B133" s="44"/>
      <c r="G133" s="3"/>
      <c r="I133" s="3"/>
    </row>
    <row r="134" spans="2:12" x14ac:dyDescent="0.3">
      <c r="B134" s="4"/>
      <c r="G134" s="3"/>
      <c r="I134" s="3"/>
    </row>
    <row r="135" spans="2:12" x14ac:dyDescent="0.3">
      <c r="B135" s="44"/>
      <c r="G135" s="3"/>
      <c r="I135" s="3"/>
    </row>
    <row r="136" spans="2:12" x14ac:dyDescent="0.3">
      <c r="B136" s="44"/>
      <c r="G136" s="3"/>
      <c r="I136" s="3"/>
    </row>
    <row r="137" spans="2:12" x14ac:dyDescent="0.3">
      <c r="B137" s="44"/>
      <c r="G137" s="3"/>
      <c r="I137" s="3"/>
    </row>
    <row r="138" spans="2:12" x14ac:dyDescent="0.3">
      <c r="B138" s="44"/>
      <c r="G138" s="3"/>
      <c r="I138" s="3"/>
    </row>
  </sheetData>
  <sortState xmlns:xlrd2="http://schemas.microsoft.com/office/spreadsheetml/2017/richdata2" ref="A10:AQ19">
    <sortCondition ref="B10:B19"/>
  </sortState>
  <mergeCells count="1">
    <mergeCell ref="K5:K6"/>
  </mergeCells>
  <conditionalFormatting sqref="B11">
    <cfRule type="duplicateValues" dxfId="5299" priority="73"/>
  </conditionalFormatting>
  <conditionalFormatting sqref="F1:H9 G10:G19 F139:H1048576 F21:H23">
    <cfRule type="containsText" dxfId="5298" priority="99" operator="containsText" text="KN">
      <formula>NOT(ISERROR(SEARCH("KN",F1)))</formula>
    </cfRule>
  </conditionalFormatting>
  <conditionalFormatting sqref="F1:I8 F9:H9 G10:G19 F139:I1048576 F21:I23">
    <cfRule type="containsText" dxfId="5297" priority="97" operator="containsText" text="MA">
      <formula>NOT(ISERROR(SEARCH("MA",F1)))</formula>
    </cfRule>
    <cfRule type="containsText" dxfId="5296" priority="98" operator="containsText" text="GOL">
      <formula>NOT(ISERROR(SEARCH("GOL",F1)))</formula>
    </cfRule>
  </conditionalFormatting>
  <conditionalFormatting sqref="F1:I8 F9:H9 G10:G19 F139:I1048576">
    <cfRule type="containsText" dxfId="5295" priority="96" operator="containsText" text="BYE">
      <formula>NOT(ISERROR(SEARCH("BYE",F1)))</formula>
    </cfRule>
  </conditionalFormatting>
  <conditionalFormatting sqref="F1:I1048576">
    <cfRule type="containsText" dxfId="5294" priority="72" operator="containsText" text="code">
      <formula>NOT(ISERROR(SEARCH("code",F1)))</formula>
    </cfRule>
  </conditionalFormatting>
  <conditionalFormatting sqref="F21:I23">
    <cfRule type="containsText" dxfId="5293" priority="85" operator="containsText" text="BYE">
      <formula>NOT(ISERROR(SEARCH("BYE",F21)))</formula>
    </cfRule>
  </conditionalFormatting>
  <conditionalFormatting sqref="I1:I8 I139:I1048576 I21:I23">
    <cfRule type="containsText" dxfId="5292" priority="107" operator="containsText" text="SA">
      <formula>NOT(ISERROR(SEARCH("SA",I1)))</formula>
    </cfRule>
  </conditionalFormatting>
  <conditionalFormatting sqref="I10:I19">
    <cfRule type="containsText" dxfId="5291" priority="77" operator="containsText" text="Code">
      <formula>NOT(ISERROR(SEARCH("Code",I10)))</formula>
    </cfRule>
  </conditionalFormatting>
  <conditionalFormatting sqref="I10:L19">
    <cfRule type="cellIs" dxfId="5290" priority="74" operator="lessThan">
      <formula>4</formula>
    </cfRule>
    <cfRule type="cellIs" dxfId="5289" priority="75" operator="greaterThan">
      <formula>5</formula>
    </cfRule>
    <cfRule type="containsText" dxfId="5288" priority="76" operator="containsText" text="c'[Fixtures All.xlsx]Women Filtered'!$F$2">
      <formula>NOT(ISERROR(SEARCH("c'[Fixtures All.xlsx]Women Filtered'!$F$2",I10)))</formula>
    </cfRule>
  </conditionalFormatting>
  <conditionalFormatting sqref="J59:L60 J61 J62:L65 J66 J67:L72 J73 J74:L77 J78 J79:L84 J85 J86:L89 J90 J91:L92">
    <cfRule type="containsText" dxfId="5287" priority="119" operator="containsText" text="cre">
      <formula>NOT(ISERROR(SEARCH("cre",J59)))</formula>
    </cfRule>
  </conditionalFormatting>
  <conditionalFormatting sqref="K9:K19">
    <cfRule type="containsText" dxfId="5286" priority="3" operator="containsText" text="c'[Fixtures All.xlsx]Women Filtered'!$F$2">
      <formula>NOT(ISERROR(SEARCH("c'[Fixtures All.xlsx]Women Filtered'!$F$2",K9)))</formula>
    </cfRule>
  </conditionalFormatting>
  <conditionalFormatting sqref="K10:K19">
    <cfRule type="containsText" dxfId="5285" priority="1" operator="containsText" text="code">
      <formula>NOT(ISERROR(SEARCH("code",K10)))</formula>
    </cfRule>
    <cfRule type="containsText" dxfId="5284" priority="2" operator="containsText" text="Code">
      <formula>NOT(ISERROR(SEARCH("Code",K10)))</formula>
    </cfRule>
  </conditionalFormatting>
  <conditionalFormatting sqref="K25">
    <cfRule type="containsText" dxfId="5283" priority="71" operator="containsText" text="Code">
      <formula>NOT(ISERROR(SEARCH("Code",K25)))</formula>
    </cfRule>
  </conditionalFormatting>
  <conditionalFormatting sqref="K33">
    <cfRule type="containsText" dxfId="5282" priority="69" operator="containsText" text="code">
      <formula>NOT(ISERROR(SEARCH("code",K33)))</formula>
    </cfRule>
  </conditionalFormatting>
  <conditionalFormatting sqref="K38">
    <cfRule type="containsText" dxfId="5281" priority="67" operator="containsText" text="Code">
      <formula>NOT(ISERROR(SEARCH("Code",K38)))</formula>
    </cfRule>
  </conditionalFormatting>
  <conditionalFormatting sqref="K43">
    <cfRule type="containsText" dxfId="5280" priority="65" operator="containsText" text="Code">
      <formula>NOT(ISERROR(SEARCH("Code",K43)))</formula>
    </cfRule>
  </conditionalFormatting>
  <conditionalFormatting sqref="K50">
    <cfRule type="containsText" dxfId="5279" priority="63" operator="containsText" text="code">
      <formula>NOT(ISERROR(SEARCH("code",K50)))</formula>
    </cfRule>
  </conditionalFormatting>
  <conditionalFormatting sqref="K56">
    <cfRule type="containsText" dxfId="5278" priority="61" operator="containsText" text="code">
      <formula>NOT(ISERROR(SEARCH("code",K56)))</formula>
    </cfRule>
  </conditionalFormatting>
  <conditionalFormatting sqref="K61">
    <cfRule type="containsText" dxfId="5277" priority="59" operator="containsText" text="Code">
      <formula>NOT(ISERROR(SEARCH("Code",K61)))</formula>
    </cfRule>
  </conditionalFormatting>
  <conditionalFormatting sqref="K66">
    <cfRule type="containsText" dxfId="5276" priority="57" operator="containsText" text="code">
      <formula>NOT(ISERROR(SEARCH("code",K66)))</formula>
    </cfRule>
  </conditionalFormatting>
  <conditionalFormatting sqref="K73">
    <cfRule type="containsText" dxfId="5275" priority="55" operator="containsText" text="Code">
      <formula>NOT(ISERROR(SEARCH("Code",K73)))</formula>
    </cfRule>
  </conditionalFormatting>
  <conditionalFormatting sqref="K78">
    <cfRule type="containsText" dxfId="5274" priority="53" operator="containsText" text="code">
      <formula>NOT(ISERROR(SEARCH("code",K78)))</formula>
    </cfRule>
  </conditionalFormatting>
  <conditionalFormatting sqref="K85">
    <cfRule type="containsText" dxfId="5273" priority="51" operator="containsText" text="Code">
      <formula>NOT(ISERROR(SEARCH("Code",K85)))</formula>
    </cfRule>
  </conditionalFormatting>
  <conditionalFormatting sqref="K90">
    <cfRule type="containsText" dxfId="5272" priority="49" operator="containsText" text="code">
      <formula>NOT(ISERROR(SEARCH("code",K90)))</formula>
    </cfRule>
  </conditionalFormatting>
  <conditionalFormatting sqref="K98">
    <cfRule type="containsText" dxfId="5271" priority="47" operator="containsText" text="code">
      <formula>NOT(ISERROR(SEARCH("code",K98)))</formula>
    </cfRule>
  </conditionalFormatting>
  <conditionalFormatting sqref="K106">
    <cfRule type="containsText" dxfId="5270" priority="45" operator="containsText" text="code">
      <formula>NOT(ISERROR(SEARCH("code",K106)))</formula>
    </cfRule>
  </conditionalFormatting>
  <conditionalFormatting sqref="K109">
    <cfRule type="containsText" dxfId="5269" priority="43" operator="containsText" text="Code">
      <formula>NOT(ISERROR(SEARCH("Code",K109)))</formula>
    </cfRule>
  </conditionalFormatting>
  <conditionalFormatting sqref="K117">
    <cfRule type="containsText" dxfId="5268" priority="41" operator="containsText" text="code">
      <formula>NOT(ISERROR(SEARCH("code",K117)))</formula>
    </cfRule>
  </conditionalFormatting>
  <conditionalFormatting sqref="K121">
    <cfRule type="containsText" dxfId="5267" priority="39" operator="containsText" text="Code">
      <formula>NOT(ISERROR(SEARCH("Code",K121)))</formula>
    </cfRule>
  </conditionalFormatting>
  <conditionalFormatting sqref="K130">
    <cfRule type="containsText" dxfId="5266" priority="37" operator="containsText" text="code">
      <formula>NOT(ISERROR(SEARCH("code",K130)))</formula>
    </cfRule>
  </conditionalFormatting>
  <conditionalFormatting sqref="L25">
    <cfRule type="containsText" dxfId="5265" priority="70" operator="containsText" text="code">
      <formula>NOT(ISERROR(SEARCH("code",L25)))</formula>
    </cfRule>
  </conditionalFormatting>
  <conditionalFormatting sqref="L33">
    <cfRule type="containsText" dxfId="5264" priority="68" operator="containsText" text="Code">
      <formula>NOT(ISERROR(SEARCH("Code",L33)))</formula>
    </cfRule>
  </conditionalFormatting>
  <conditionalFormatting sqref="L43">
    <cfRule type="containsText" dxfId="5263" priority="64" operator="containsText" text="code">
      <formula>NOT(ISERROR(SEARCH("code",L43)))</formula>
    </cfRule>
  </conditionalFormatting>
  <conditionalFormatting sqref="L50">
    <cfRule type="containsText" dxfId="5262" priority="62" operator="containsText" text="Code">
      <formula>NOT(ISERROR(SEARCH("Code",L50)))</formula>
    </cfRule>
  </conditionalFormatting>
  <conditionalFormatting sqref="L56">
    <cfRule type="containsText" dxfId="5261" priority="60" operator="containsText" text="Code">
      <formula>NOT(ISERROR(SEARCH("Code",L56)))</formula>
    </cfRule>
  </conditionalFormatting>
  <conditionalFormatting sqref="L61">
    <cfRule type="containsText" dxfId="5260" priority="58" operator="containsText" text="code">
      <formula>NOT(ISERROR(SEARCH("code",L61)))</formula>
    </cfRule>
  </conditionalFormatting>
  <conditionalFormatting sqref="L66">
    <cfRule type="containsText" dxfId="5259" priority="56" operator="containsText" text="Code">
      <formula>NOT(ISERROR(SEARCH("Code",L66)))</formula>
    </cfRule>
  </conditionalFormatting>
  <conditionalFormatting sqref="L73">
    <cfRule type="containsText" dxfId="5258" priority="54" operator="containsText" text="code">
      <formula>NOT(ISERROR(SEARCH("code",L73)))</formula>
    </cfRule>
  </conditionalFormatting>
  <conditionalFormatting sqref="L78">
    <cfRule type="containsText" dxfId="5257" priority="52" operator="containsText" text="Code">
      <formula>NOT(ISERROR(SEARCH("Code",L78)))</formula>
    </cfRule>
  </conditionalFormatting>
  <conditionalFormatting sqref="L85">
    <cfRule type="containsText" dxfId="5256" priority="50" operator="containsText" text="code">
      <formula>NOT(ISERROR(SEARCH("code",L85)))</formula>
    </cfRule>
  </conditionalFormatting>
  <conditionalFormatting sqref="L90">
    <cfRule type="containsText" dxfId="5255" priority="48" operator="containsText" text="Code">
      <formula>NOT(ISERROR(SEARCH("Code",L90)))</formula>
    </cfRule>
  </conditionalFormatting>
  <conditionalFormatting sqref="L98">
    <cfRule type="containsText" dxfId="5254" priority="46" operator="containsText" text="Code">
      <formula>NOT(ISERROR(SEARCH("Code",L98)))</formula>
    </cfRule>
  </conditionalFormatting>
  <conditionalFormatting sqref="L106">
    <cfRule type="containsText" dxfId="5253" priority="44" operator="containsText" text="Code">
      <formula>NOT(ISERROR(SEARCH("Code",L106)))</formula>
    </cfRule>
  </conditionalFormatting>
  <conditionalFormatting sqref="L109">
    <cfRule type="containsText" dxfId="5252" priority="42" operator="containsText" text="code">
      <formula>NOT(ISERROR(SEARCH("code",L109)))</formula>
    </cfRule>
  </conditionalFormatting>
  <conditionalFormatting sqref="L117">
    <cfRule type="containsText" dxfId="5251" priority="40" operator="containsText" text="Code">
      <formula>NOT(ISERROR(SEARCH("Code",L117)))</formula>
    </cfRule>
  </conditionalFormatting>
  <conditionalFormatting sqref="L121">
    <cfRule type="containsText" dxfId="5250" priority="38" operator="containsText" text="code">
      <formula>NOT(ISERROR(SEARCH("code",L121)))</formula>
    </cfRule>
  </conditionalFormatting>
  <conditionalFormatting sqref="L130">
    <cfRule type="containsText" dxfId="5249" priority="36" operator="containsText" text="Code">
      <formula>NOT(ISERROR(SEARCH("Code",L130)))</formula>
    </cfRule>
  </conditionalFormatting>
  <conditionalFormatting sqref="L38:M38">
    <cfRule type="containsText" dxfId="5248" priority="66" operator="containsText" text="code">
      <formula>NOT(ISERROR(SEARCH("code",L38)))</formula>
    </cfRule>
  </conditionalFormatting>
  <conditionalFormatting sqref="P78">
    <cfRule type="containsText" dxfId="5247" priority="24" operator="containsText" text="Code">
      <formula>NOT(ISERROR(SEARCH("Code",P78)))</formula>
    </cfRule>
  </conditionalFormatting>
  <conditionalFormatting sqref="P86">
    <cfRule type="containsText" dxfId="5246" priority="22" operator="containsText" text="code">
      <formula>NOT(ISERROR(SEARCH("code",P86)))</formula>
    </cfRule>
  </conditionalFormatting>
  <conditionalFormatting sqref="P91">
    <cfRule type="containsText" dxfId="5245" priority="20" operator="containsText" text="Code">
      <formula>NOT(ISERROR(SEARCH("Code",P91)))</formula>
    </cfRule>
  </conditionalFormatting>
  <conditionalFormatting sqref="P96">
    <cfRule type="containsText" dxfId="5244" priority="18" operator="containsText" text="Code">
      <formula>NOT(ISERROR(SEARCH("Code",P96)))</formula>
    </cfRule>
  </conditionalFormatting>
  <conditionalFormatting sqref="P103">
    <cfRule type="containsText" dxfId="5243" priority="16" operator="containsText" text="code">
      <formula>NOT(ISERROR(SEARCH("code",P103)))</formula>
    </cfRule>
  </conditionalFormatting>
  <conditionalFormatting sqref="P109">
    <cfRule type="containsText" dxfId="5242" priority="14" operator="containsText" text="code">
      <formula>NOT(ISERROR(SEARCH("code",P109)))</formula>
    </cfRule>
  </conditionalFormatting>
  <conditionalFormatting sqref="P114">
    <cfRule type="containsText" dxfId="5241" priority="12" operator="containsText" text="Code">
      <formula>NOT(ISERROR(SEARCH("Code",P114)))</formula>
    </cfRule>
  </conditionalFormatting>
  <conditionalFormatting sqref="P119">
    <cfRule type="containsText" dxfId="5240" priority="10" operator="containsText" text="code">
      <formula>NOT(ISERROR(SEARCH("code",P119)))</formula>
    </cfRule>
  </conditionalFormatting>
  <conditionalFormatting sqref="P126">
    <cfRule type="containsText" dxfId="5239" priority="8" operator="containsText" text="Code">
      <formula>NOT(ISERROR(SEARCH("Code",P126)))</formula>
    </cfRule>
  </conditionalFormatting>
  <conditionalFormatting sqref="P112:Q113 P115:Q118 P120:Q125">
    <cfRule type="containsText" dxfId="5238" priority="25" operator="containsText" text="cre">
      <formula>NOT(ISERROR(SEARCH("cre",P112)))</formula>
    </cfRule>
  </conditionalFormatting>
  <conditionalFormatting sqref="Q78">
    <cfRule type="containsText" dxfId="5237" priority="23" operator="containsText" text="code">
      <formula>NOT(ISERROR(SEARCH("code",Q78)))</formula>
    </cfRule>
  </conditionalFormatting>
  <conditionalFormatting sqref="Q86">
    <cfRule type="containsText" dxfId="5236" priority="21" operator="containsText" text="Code">
      <formula>NOT(ISERROR(SEARCH("Code",Q86)))</formula>
    </cfRule>
  </conditionalFormatting>
  <conditionalFormatting sqref="Q91">
    <cfRule type="containsText" dxfId="5235" priority="19" operator="containsText" text="code">
      <formula>NOT(ISERROR(SEARCH("code",Q91)))</formula>
    </cfRule>
  </conditionalFormatting>
  <conditionalFormatting sqref="Q96">
    <cfRule type="containsText" dxfId="5234" priority="17" operator="containsText" text="code">
      <formula>NOT(ISERROR(SEARCH("code",Q96)))</formula>
    </cfRule>
  </conditionalFormatting>
  <conditionalFormatting sqref="Q103">
    <cfRule type="containsText" dxfId="5233" priority="15" operator="containsText" text="Code">
      <formula>NOT(ISERROR(SEARCH("Code",Q103)))</formula>
    </cfRule>
  </conditionalFormatting>
  <conditionalFormatting sqref="Q109">
    <cfRule type="containsText" dxfId="5232" priority="13" operator="containsText" text="Code">
      <formula>NOT(ISERROR(SEARCH("Code",Q109)))</formula>
    </cfRule>
  </conditionalFormatting>
  <conditionalFormatting sqref="Q114">
    <cfRule type="containsText" dxfId="5231" priority="11" operator="containsText" text="code">
      <formula>NOT(ISERROR(SEARCH("code",Q114)))</formula>
    </cfRule>
  </conditionalFormatting>
  <conditionalFormatting sqref="Q119">
    <cfRule type="containsText" dxfId="5230" priority="9" operator="containsText" text="Code">
      <formula>NOT(ISERROR(SEARCH("Code",Q119)))</formula>
    </cfRule>
  </conditionalFormatting>
  <conditionalFormatting sqref="Q126">
    <cfRule type="containsText" dxfId="5229" priority="7" operator="containsText" text="code">
      <formula>NOT(ISERROR(SEARCH("code",Q126)))</formula>
    </cfRule>
  </conditionalFormatting>
  <hyperlinks>
    <hyperlink ref="K3" location="Contents!A1" display="Back to Contents" xr:uid="{2F49C7C8-D8B0-40E6-84CE-CF6F059CFF5D}"/>
    <hyperlink ref="K5:K6" location="'All Fixtures'!A1" display="See all NW Fixtures" xr:uid="{A03F45C7-F0EB-4BC8-B0F6-407F946D28EF}"/>
  </hyperlinks>
  <pageMargins left="0.7" right="0.7" top="0.75" bottom="0.75" header="0.3" footer="0.3"/>
  <ignoredErrors>
    <ignoredError sqref="J10:J19 K10:K19" formula="1"/>
  </ignoredError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A01DF-884D-452F-9BE4-F3EC1A28D9BF}">
  <dimension ref="A2:AQ178"/>
  <sheetViews>
    <sheetView workbookViewId="0"/>
  </sheetViews>
  <sheetFormatPr defaultRowHeight="14.4" x14ac:dyDescent="0.3"/>
  <cols>
    <col min="1" max="1" width="5.21875" style="47" customWidth="1"/>
    <col min="2" max="2" width="25.6640625" style="3" customWidth="1"/>
    <col min="3" max="3" width="28.21875" style="3" customWidth="1"/>
    <col min="4" max="4" width="39.33203125" style="3" customWidth="1"/>
    <col min="5" max="5" width="16.77734375" style="3" customWidth="1"/>
    <col min="6" max="6" width="24.21875" style="4" customWidth="1"/>
    <col min="7" max="7" width="16.33203125" style="4" customWidth="1"/>
    <col min="8" max="8" width="24" style="4" customWidth="1"/>
    <col min="9" max="9" width="14.88671875" style="4" customWidth="1"/>
    <col min="10" max="10" width="3.33203125" style="3" customWidth="1"/>
    <col min="11" max="11" width="17.33203125" style="51" customWidth="1"/>
    <col min="12" max="12" width="3" style="3" customWidth="1"/>
    <col min="13" max="43" width="8.88671875" style="3"/>
  </cols>
  <sheetData>
    <row r="2" spans="1:43" ht="15" thickBot="1" x14ac:dyDescent="0.35"/>
    <row r="3" spans="1:43" ht="37.200000000000003" thickBot="1" x14ac:dyDescent="0.75">
      <c r="E3" s="16" t="s">
        <v>246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s="78" customFormat="1" ht="15" customHeight="1" x14ac:dyDescent="0.4">
      <c r="A9" s="77"/>
      <c r="B9" s="21" t="s">
        <v>85</v>
      </c>
      <c r="C9" s="77"/>
      <c r="D9" s="77"/>
      <c r="E9" s="77"/>
      <c r="F9" s="77" t="s">
        <v>436</v>
      </c>
      <c r="G9" s="77"/>
      <c r="H9" s="77" t="s">
        <v>437</v>
      </c>
      <c r="I9" s="77" t="s">
        <v>557</v>
      </c>
      <c r="J9" s="3"/>
      <c r="K9" s="77" t="s">
        <v>558</v>
      </c>
      <c r="L9" s="3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</row>
    <row r="10" spans="1:43" ht="15" customHeight="1" x14ac:dyDescent="0.3">
      <c r="A10" s="47">
        <f>COUNTIF(F$26:H$178,"Alderley Edge 2 (W)")</f>
        <v>22</v>
      </c>
      <c r="B10" s="53" t="s">
        <v>256</v>
      </c>
      <c r="C10" s="53">
        <v>3068700</v>
      </c>
      <c r="D10" s="57">
        <f>COUNTIF(F$26:I$178,"3068700")</f>
        <v>22</v>
      </c>
      <c r="F10" s="57">
        <f>COUNTIF(F$26:F$178,"Alderley Edge 2 (W)")</f>
        <v>11</v>
      </c>
      <c r="H10" s="57">
        <f>COUNTIF(H$26:H$178,"Alderley Edge 2 (W)")</f>
        <v>11</v>
      </c>
      <c r="I10" s="57">
        <f>COUNTIF(F$26:F$101,"Alderley Edge 2 (W)")</f>
        <v>5</v>
      </c>
      <c r="J10" s="57">
        <f>COUNTIF(F$102:F$178,"Alderley Edge 2 (W)")</f>
        <v>6</v>
      </c>
      <c r="K10" s="57">
        <f>COUNTIF(H$26:H$101,"Alderley Edge 2 (W)")</f>
        <v>6</v>
      </c>
      <c r="L10" s="57">
        <f>COUNTIF(H$102:H$178,"Alderley Edge 2 (W)")</f>
        <v>5</v>
      </c>
      <c r="M10" s="4"/>
    </row>
    <row r="11" spans="1:43" ht="15" customHeight="1" x14ac:dyDescent="0.3">
      <c r="A11" s="47">
        <f>COUNTIF(F$26:H$178,"Brooklands-Poynton 1 (W)")</f>
        <v>22</v>
      </c>
      <c r="B11" s="73" t="s">
        <v>439</v>
      </c>
      <c r="C11" s="4">
        <v>3023701</v>
      </c>
      <c r="D11" s="57">
        <f>COUNTIF(F$26:I$178,"3023701")</f>
        <v>22</v>
      </c>
      <c r="F11" s="57">
        <f>COUNTIF(F$26:F$178,"Brooklands-Poynton 1 (W)")</f>
        <v>11</v>
      </c>
      <c r="H11" s="57">
        <f>COUNTIF(H$26:H$178,"Brooklands-Poynton 1 (W)")</f>
        <v>11</v>
      </c>
      <c r="I11" s="57">
        <f>COUNTIF(F$26:F$101,"Brooklands-Poynton 1 (W)")</f>
        <v>6</v>
      </c>
      <c r="J11" s="57">
        <f>COUNTIF(F$102:F$178,"Brooklands-Poynton 1 (W)")</f>
        <v>5</v>
      </c>
      <c r="K11" s="57">
        <f>COUNTIF(H$26:H$101,"Brooklands-Poynton 1 (W)")</f>
        <v>5</v>
      </c>
      <c r="L11" s="57">
        <f>COUNTIF(H$102:H$178,"Brooklands-Poynton 1 (W)")</f>
        <v>6</v>
      </c>
      <c r="M11" s="4"/>
    </row>
    <row r="12" spans="1:43" ht="15" customHeight="1" x14ac:dyDescent="0.3">
      <c r="A12" s="47">
        <f>COUNTIF(F$26:H$178,"Chester 1 (W)")</f>
        <v>22</v>
      </c>
      <c r="B12" s="73" t="s">
        <v>247</v>
      </c>
      <c r="C12" s="4">
        <v>3034102</v>
      </c>
      <c r="D12" s="57">
        <f>COUNTIF(F$26:I$178,"3034102")</f>
        <v>22</v>
      </c>
      <c r="F12" s="57">
        <f>COUNTIF(F$26:F$178,"Chester 1 (W)")</f>
        <v>11</v>
      </c>
      <c r="H12" s="57">
        <f>COUNTIF(H$26:H$178,"Chester 1 (W)")</f>
        <v>11</v>
      </c>
      <c r="I12" s="57">
        <f>COUNTIF(F$26:F$101,"Chester 1 (W)")</f>
        <v>5</v>
      </c>
      <c r="J12" s="57">
        <f>COUNTIF(F$102:F$178,"Chester 1 (W)")</f>
        <v>6</v>
      </c>
      <c r="K12" s="57">
        <f>COUNTIF(H$26:H$101,"Chester 1 (W)")</f>
        <v>6</v>
      </c>
      <c r="L12" s="57">
        <f>COUNTIF(H$102:H$178,"Chester 1 (W)")</f>
        <v>5</v>
      </c>
      <c r="M12" s="4"/>
    </row>
    <row r="13" spans="1:43" ht="15" customHeight="1" x14ac:dyDescent="0.3">
      <c r="A13" s="47">
        <f>COUNTIF(F$26:H$178,"Deeside Ramblers 1 (W)")</f>
        <v>22</v>
      </c>
      <c r="B13" s="73" t="s">
        <v>248</v>
      </c>
      <c r="C13" s="4">
        <v>3207609</v>
      </c>
      <c r="D13" s="57">
        <f>COUNTIF(F$26:I$178,"3207609")</f>
        <v>22</v>
      </c>
      <c r="F13" s="57">
        <f>COUNTIF(F$26:F$178,"Deeside Ramblers 1 (W)")</f>
        <v>11</v>
      </c>
      <c r="H13" s="57">
        <f>COUNTIF(H$26:H$178,"Deeside Ramblers 1 (W)")</f>
        <v>11</v>
      </c>
      <c r="I13" s="57">
        <f>COUNTIF(F$26:F$101,"Deeside Ramblers 1 (W)")</f>
        <v>6</v>
      </c>
      <c r="J13" s="57">
        <f>COUNTIF(F$102:F$178,"Deeside Ramblers 1 (W)")</f>
        <v>5</v>
      </c>
      <c r="K13" s="57">
        <f>COUNTIF(H$26:H$101,"Deeside Ramblers 1 (W)")</f>
        <v>5</v>
      </c>
      <c r="L13" s="57">
        <f>COUNTIF(H$102:H$178,"Deeside Ramblers 1 (W)")</f>
        <v>6</v>
      </c>
      <c r="M13" s="4"/>
    </row>
    <row r="14" spans="1:43" ht="15" customHeight="1" x14ac:dyDescent="0.3">
      <c r="A14" s="47">
        <f>COUNTIF(F$26:H$178,"Garstang 1 (W)")</f>
        <v>22</v>
      </c>
      <c r="B14" s="73" t="s">
        <v>250</v>
      </c>
      <c r="C14" s="4">
        <v>3070100</v>
      </c>
      <c r="D14" s="57">
        <f>COUNTIF(F$26:I$178,"3070100")</f>
        <v>22</v>
      </c>
      <c r="F14" s="57">
        <f>COUNTIF(F$26:F$178,"Garstang 1 (W)")</f>
        <v>11</v>
      </c>
      <c r="H14" s="57">
        <f>COUNTIF(H$26:H$178,"Garstang 1 (W)")</f>
        <v>11</v>
      </c>
      <c r="I14" s="57">
        <f>COUNTIF(F$26:F$101,"Garstang 1 (W)")</f>
        <v>5</v>
      </c>
      <c r="J14" s="57">
        <f>COUNTIF(F$102:F$178,"Garstang 1 (W)")</f>
        <v>6</v>
      </c>
      <c r="K14" s="57">
        <f>COUNTIF(H$26:H$101,"Garstang 1 (W)")</f>
        <v>6</v>
      </c>
      <c r="L14" s="57">
        <f>COUNTIF(H$102:H$178,"Garstang 1 (W)")</f>
        <v>5</v>
      </c>
      <c r="M14" s="4"/>
    </row>
    <row r="15" spans="1:43" x14ac:dyDescent="0.3">
      <c r="A15" s="47">
        <f>COUNTIF(F$26:H$178,"Liverpool Sefton 1 (W)")</f>
        <v>22</v>
      </c>
      <c r="B15" s="73" t="s">
        <v>251</v>
      </c>
      <c r="C15" s="4">
        <v>3036704</v>
      </c>
      <c r="D15" s="57">
        <f>COUNTIF(F$26:I$178,"3036704")</f>
        <v>22</v>
      </c>
      <c r="F15" s="57">
        <f>COUNTIF(F$26:F$178,"Liverpool Sefton 1 (W)")</f>
        <v>11</v>
      </c>
      <c r="H15" s="57">
        <f>COUNTIF(H$26:H$178,"Liverpool Sefton 1 (W)")</f>
        <v>11</v>
      </c>
      <c r="I15" s="57">
        <f>COUNTIF(F$26:F$101,"Liverpool Sefton 1 (W)")</f>
        <v>5</v>
      </c>
      <c r="J15" s="57">
        <f>COUNTIF(F$102:F$178,"Liverpool Sefton 1 (W)")</f>
        <v>6</v>
      </c>
      <c r="K15" s="57">
        <f>COUNTIF(H$26:H$101,"Liverpool Sefton 1 (W)")</f>
        <v>6</v>
      </c>
      <c r="L15" s="57">
        <f>COUNTIF(H$102:H$178,"Liverpool Sefton 1 (W)")</f>
        <v>5</v>
      </c>
      <c r="M15" s="4"/>
    </row>
    <row r="16" spans="1:43" x14ac:dyDescent="0.3">
      <c r="A16" s="47">
        <f>COUNTIF(F$26:H$178,"Longridge 1 (W)")</f>
        <v>22</v>
      </c>
      <c r="B16" s="73" t="s">
        <v>261</v>
      </c>
      <c r="C16" s="4">
        <v>3202302</v>
      </c>
      <c r="D16" s="57">
        <f>COUNTIF(F$26:I$178,"3202302")</f>
        <v>22</v>
      </c>
      <c r="F16" s="57">
        <f>COUNTIF(F$26:F$178,"Longridge 1 (W)")</f>
        <v>11</v>
      </c>
      <c r="H16" s="57">
        <f>COUNTIF(H$26:H$178,"Longridge 1 (W)")</f>
        <v>11</v>
      </c>
      <c r="I16" s="57">
        <f>COUNTIF(F$26:F$101,"Longridge 1 (W)")</f>
        <v>6</v>
      </c>
      <c r="J16" s="57">
        <f>COUNTIF(F$102:F$178,"Longridge 1 (W)")</f>
        <v>5</v>
      </c>
      <c r="K16" s="57">
        <f>COUNTIF(H$26:H$101,"Longridge 1 (W)")</f>
        <v>5</v>
      </c>
      <c r="L16" s="57">
        <f>COUNTIF(H$102:H$178,"Longridge 1 (W)")</f>
        <v>6</v>
      </c>
      <c r="M16" s="4"/>
    </row>
    <row r="17" spans="1:13" x14ac:dyDescent="0.3">
      <c r="A17" s="47">
        <f>COUNTIF(F$26:H$178,"Lymm 1 (W)")</f>
        <v>22</v>
      </c>
      <c r="B17" s="106" t="s">
        <v>252</v>
      </c>
      <c r="C17" s="106">
        <v>3070204</v>
      </c>
      <c r="D17" s="57">
        <f>COUNTIF(F$26:I$178,"3070204")</f>
        <v>22</v>
      </c>
      <c r="F17" s="57">
        <f>COUNTIF(F$26:F$178,"Lymm 1 (W)")</f>
        <v>11</v>
      </c>
      <c r="H17" s="57">
        <f>COUNTIF(H$26:H$178,"Lymm 1 (W)")</f>
        <v>11</v>
      </c>
      <c r="I17" s="57">
        <f>COUNTIF(F$26:F$101,"Lymm 1 (W)")</f>
        <v>5</v>
      </c>
      <c r="J17" s="57">
        <f>COUNTIF(F$102:F$178,"Lymm 1 (W)")</f>
        <v>6</v>
      </c>
      <c r="K17" s="57">
        <f>COUNTIF(H$26:H$101,"Lymm 1 (W)")</f>
        <v>6</v>
      </c>
      <c r="L17" s="57">
        <f>COUNTIF(H$102:H$178,"Lymm 1 (W)")</f>
        <v>5</v>
      </c>
      <c r="M17" s="4"/>
    </row>
    <row r="18" spans="1:13" x14ac:dyDescent="0.3">
      <c r="A18" s="47">
        <f>COUNTIF(F$26:H$178,"Neston 1 (W)")</f>
        <v>22</v>
      </c>
      <c r="B18" s="73" t="s">
        <v>253</v>
      </c>
      <c r="C18" s="4">
        <v>3037109</v>
      </c>
      <c r="D18" s="57">
        <f>COUNTIF(F$26:I$178,"3037109")</f>
        <v>22</v>
      </c>
      <c r="F18" s="57">
        <f>COUNTIF(F$26:F$178,"Neston 1 (W)")</f>
        <v>11</v>
      </c>
      <c r="H18" s="57">
        <f>COUNTIF(H$26:H$178,"Neston 1 (W)")</f>
        <v>11</v>
      </c>
      <c r="I18" s="57">
        <f>COUNTIF(F$26:F$101,"Neston 1 (W)")</f>
        <v>5</v>
      </c>
      <c r="J18" s="57">
        <f>COUNTIF(F$102:F$178,"Neston 1 (W)")</f>
        <v>6</v>
      </c>
      <c r="K18" s="57">
        <f>COUNTIF(H$26:H$101,"Neston 1 (W)")</f>
        <v>6</v>
      </c>
      <c r="L18" s="57">
        <f>COUNTIF(H$102:H$178,"Neston 1 (W)")</f>
        <v>5</v>
      </c>
      <c r="M18" s="4"/>
    </row>
    <row r="19" spans="1:13" x14ac:dyDescent="0.3">
      <c r="A19" s="47">
        <f>COUNTIF(F$26:H$178,"Timperley 1 (W)")</f>
        <v>22</v>
      </c>
      <c r="B19" s="3" t="s">
        <v>441</v>
      </c>
      <c r="C19" s="4">
        <v>3023409</v>
      </c>
      <c r="D19" s="57">
        <f>COUNTIF(F$26:I$178,"3023409")</f>
        <v>22</v>
      </c>
      <c r="F19" s="57">
        <f>COUNTIF(F$26:F$178,"Timperley 1 (W)")</f>
        <v>11</v>
      </c>
      <c r="H19" s="57">
        <f>COUNTIF(H$26:H$178,"Timperley 1 (W)")</f>
        <v>11</v>
      </c>
      <c r="I19" s="57">
        <f>COUNTIF(F$26:F$101,"Timperley 1 (W)")</f>
        <v>6</v>
      </c>
      <c r="J19" s="57">
        <f>COUNTIF(F$102:F$178,"Timperley 1 (W)")</f>
        <v>5</v>
      </c>
      <c r="K19" s="57">
        <f>COUNTIF(H$26:H$101,"Timperley 1 (W)")</f>
        <v>5</v>
      </c>
      <c r="L19" s="57">
        <f>COUNTIF(H$102:H$178,"Timperley 1 (W)")</f>
        <v>6</v>
      </c>
      <c r="M19" s="4"/>
    </row>
    <row r="20" spans="1:13" x14ac:dyDescent="0.3">
      <c r="A20" s="47">
        <f>COUNTIF(F$26:H$178,"Timperley 2 (W)")</f>
        <v>22</v>
      </c>
      <c r="B20" s="73" t="s">
        <v>254</v>
      </c>
      <c r="C20" s="4">
        <v>3068908</v>
      </c>
      <c r="D20" s="57">
        <f>COUNTIF(F$26:I$178,"3068908")</f>
        <v>22</v>
      </c>
      <c r="F20" s="57">
        <f>COUNTIF(F$26:F$178,"Timperley 2 (W)")</f>
        <v>11</v>
      </c>
      <c r="H20" s="57">
        <f>COUNTIF(H$26:H$178,"Timperley 2 (W)")</f>
        <v>11</v>
      </c>
      <c r="I20" s="57">
        <f>COUNTIF(F$26:F$101,"Timperley 2 (W)")</f>
        <v>6</v>
      </c>
      <c r="J20" s="57">
        <f>COUNTIF(F$102:F$178,"Timperley 2 (W)")</f>
        <v>5</v>
      </c>
      <c r="K20" s="57">
        <f>COUNTIF(H$26:H$101,"Timperley 2 (W)")</f>
        <v>5</v>
      </c>
      <c r="L20" s="57">
        <f>COUNTIF(H$102:H$178,"Timperley 2 (W)")</f>
        <v>6</v>
      </c>
      <c r="M20" s="4"/>
    </row>
    <row r="21" spans="1:13" x14ac:dyDescent="0.3">
      <c r="A21" s="47">
        <f>COUNTIF(F$26:H$178,"Wilmslow 1 (W)")</f>
        <v>22</v>
      </c>
      <c r="B21" s="73" t="s">
        <v>264</v>
      </c>
      <c r="C21" s="4">
        <v>3055603</v>
      </c>
      <c r="D21" s="57">
        <f>COUNTIF(F$26:I$178,"3055603")</f>
        <v>22</v>
      </c>
      <c r="F21" s="57">
        <f>COUNTIF(F$26:F$178,"Wilmslow 1 (W)")</f>
        <v>11</v>
      </c>
      <c r="H21" s="57">
        <f>COUNTIF(H$26:H$178,"Wilmslow 1 (W)")</f>
        <v>11</v>
      </c>
      <c r="I21" s="57">
        <f>COUNTIF(F$26:F$101,"Wilmslow 1 (W)")</f>
        <v>6</v>
      </c>
      <c r="J21" s="57">
        <f>COUNTIF(F$102:F$178,"Wilmslow 1 (W)")</f>
        <v>5</v>
      </c>
      <c r="K21" s="57">
        <f>COUNTIF(H$26:H$101,"Wilmslow 1 (W)")</f>
        <v>5</v>
      </c>
      <c r="L21" s="57">
        <f>COUNTIF(H$102:H$178,"Wilmslow 1 (W)")</f>
        <v>6</v>
      </c>
      <c r="M21" s="4"/>
    </row>
    <row r="23" spans="1:13" s="3" customFormat="1" ht="21" x14ac:dyDescent="0.4">
      <c r="A23" s="47"/>
      <c r="B23" s="22" t="s">
        <v>93</v>
      </c>
      <c r="F23" s="4"/>
      <c r="G23" s="4"/>
      <c r="H23" s="4"/>
      <c r="I23" s="4"/>
      <c r="K23" s="51"/>
    </row>
    <row r="24" spans="1:13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K24" s="51"/>
    </row>
    <row r="25" spans="1:13" s="3" customFormat="1" x14ac:dyDescent="0.3">
      <c r="A25" s="47"/>
      <c r="B25" s="40"/>
      <c r="C25" s="14"/>
      <c r="D25" s="14"/>
      <c r="E25" s="14"/>
      <c r="F25" s="14"/>
      <c r="G25" s="14"/>
      <c r="H25" s="14"/>
      <c r="I25" s="14"/>
      <c r="K25" s="51"/>
    </row>
    <row r="26" spans="1:13" x14ac:dyDescent="0.3">
      <c r="B26" s="44">
        <v>45913</v>
      </c>
      <c r="C26" s="3" t="s">
        <v>416</v>
      </c>
      <c r="D26" s="3" t="s">
        <v>56</v>
      </c>
      <c r="E26" s="101"/>
      <c r="F26" s="73" t="s">
        <v>253</v>
      </c>
      <c r="G26" s="4">
        <v>3037109</v>
      </c>
      <c r="H26" s="3" t="s">
        <v>256</v>
      </c>
      <c r="I26" s="4">
        <v>3068700</v>
      </c>
    </row>
    <row r="27" spans="1:13" x14ac:dyDescent="0.3">
      <c r="B27" s="44">
        <v>45913</v>
      </c>
      <c r="C27" s="3" t="s">
        <v>416</v>
      </c>
      <c r="D27" s="3" t="s">
        <v>56</v>
      </c>
      <c r="E27" s="101"/>
      <c r="F27" s="4" t="s">
        <v>264</v>
      </c>
      <c r="G27" s="4">
        <v>3055603</v>
      </c>
      <c r="H27" s="106" t="s">
        <v>252</v>
      </c>
      <c r="I27" s="106">
        <v>3070204</v>
      </c>
    </row>
    <row r="28" spans="1:13" x14ac:dyDescent="0.3">
      <c r="B28" s="44">
        <v>45913</v>
      </c>
      <c r="C28" s="3" t="s">
        <v>416</v>
      </c>
      <c r="D28" s="3" t="s">
        <v>56</v>
      </c>
      <c r="E28" s="101"/>
      <c r="F28" s="4" t="s">
        <v>248</v>
      </c>
      <c r="G28" s="4">
        <v>3207609</v>
      </c>
      <c r="H28" s="3" t="s">
        <v>250</v>
      </c>
      <c r="I28" s="4">
        <v>3070100</v>
      </c>
    </row>
    <row r="29" spans="1:13" x14ac:dyDescent="0.3">
      <c r="B29" s="44">
        <v>45913</v>
      </c>
      <c r="C29" s="3" t="s">
        <v>416</v>
      </c>
      <c r="D29" s="3" t="s">
        <v>56</v>
      </c>
      <c r="E29" s="101"/>
      <c r="F29" s="4" t="s">
        <v>261</v>
      </c>
      <c r="G29" s="4">
        <v>3202302</v>
      </c>
      <c r="H29" s="73" t="s">
        <v>247</v>
      </c>
      <c r="I29" s="4">
        <v>3034102</v>
      </c>
      <c r="J29" s="4"/>
    </row>
    <row r="30" spans="1:13" x14ac:dyDescent="0.3">
      <c r="B30" s="44">
        <v>45913</v>
      </c>
      <c r="C30" s="3" t="s">
        <v>416</v>
      </c>
      <c r="D30" s="3" t="s">
        <v>56</v>
      </c>
      <c r="E30" s="101"/>
      <c r="F30" s="4" t="s">
        <v>439</v>
      </c>
      <c r="G30" s="4">
        <v>3023701</v>
      </c>
      <c r="H30" s="3" t="s">
        <v>251</v>
      </c>
      <c r="I30" s="4">
        <v>3036704</v>
      </c>
    </row>
    <row r="31" spans="1:13" x14ac:dyDescent="0.3">
      <c r="B31" s="44">
        <v>45913</v>
      </c>
      <c r="C31" s="3" t="s">
        <v>416</v>
      </c>
      <c r="D31" s="3" t="s">
        <v>56</v>
      </c>
      <c r="E31" s="101"/>
      <c r="F31" s="4" t="s">
        <v>441</v>
      </c>
      <c r="G31" s="4">
        <v>3023409</v>
      </c>
      <c r="H31" s="3" t="s">
        <v>254</v>
      </c>
      <c r="I31" s="4">
        <v>3068908</v>
      </c>
    </row>
    <row r="32" spans="1:13" x14ac:dyDescent="0.3">
      <c r="B32" s="4"/>
      <c r="E32" s="101"/>
      <c r="G32" s="3"/>
      <c r="H32" s="3"/>
      <c r="I32" s="3"/>
    </row>
    <row r="33" spans="2:10" x14ac:dyDescent="0.3">
      <c r="B33" s="44">
        <v>45920</v>
      </c>
      <c r="C33" s="3" t="s">
        <v>416</v>
      </c>
      <c r="D33" s="3" t="s">
        <v>56</v>
      </c>
      <c r="E33" s="101"/>
      <c r="F33" s="3" t="s">
        <v>254</v>
      </c>
      <c r="G33" s="4">
        <v>3068908</v>
      </c>
      <c r="H33" s="73" t="s">
        <v>253</v>
      </c>
      <c r="I33" s="4">
        <v>3037109</v>
      </c>
    </row>
    <row r="34" spans="2:10" x14ac:dyDescent="0.3">
      <c r="B34" s="44">
        <v>45920</v>
      </c>
      <c r="C34" s="3" t="s">
        <v>416</v>
      </c>
      <c r="D34" s="3" t="s">
        <v>56</v>
      </c>
      <c r="E34" s="101"/>
      <c r="F34" s="3" t="s">
        <v>251</v>
      </c>
      <c r="G34" s="4">
        <v>3036704</v>
      </c>
      <c r="H34" s="4" t="s">
        <v>441</v>
      </c>
      <c r="I34" s="4">
        <v>3023409</v>
      </c>
    </row>
    <row r="35" spans="2:10" x14ac:dyDescent="0.3">
      <c r="B35" s="44">
        <v>45920</v>
      </c>
      <c r="C35" s="3" t="s">
        <v>416</v>
      </c>
      <c r="D35" s="3" t="s">
        <v>56</v>
      </c>
      <c r="E35" s="101"/>
      <c r="F35" s="73" t="s">
        <v>247</v>
      </c>
      <c r="G35" s="4">
        <v>3034102</v>
      </c>
      <c r="H35" s="4" t="s">
        <v>439</v>
      </c>
      <c r="I35" s="4">
        <v>3023701</v>
      </c>
      <c r="J35" s="73"/>
    </row>
    <row r="36" spans="2:10" x14ac:dyDescent="0.3">
      <c r="B36" s="44">
        <v>45920</v>
      </c>
      <c r="C36" s="3" t="s">
        <v>416</v>
      </c>
      <c r="D36" s="3" t="s">
        <v>56</v>
      </c>
      <c r="E36" s="101"/>
      <c r="F36" s="3" t="s">
        <v>256</v>
      </c>
      <c r="G36" s="4">
        <v>3068700</v>
      </c>
      <c r="H36" s="4" t="s">
        <v>264</v>
      </c>
      <c r="I36" s="4">
        <v>3055603</v>
      </c>
    </row>
    <row r="37" spans="2:10" x14ac:dyDescent="0.3">
      <c r="B37" s="44">
        <v>45920</v>
      </c>
      <c r="C37" s="3" t="s">
        <v>416</v>
      </c>
      <c r="D37" s="3" t="s">
        <v>56</v>
      </c>
      <c r="E37" s="101"/>
      <c r="F37" s="3" t="s">
        <v>250</v>
      </c>
      <c r="G37" s="4">
        <v>3070100</v>
      </c>
      <c r="H37" s="4" t="s">
        <v>261</v>
      </c>
      <c r="I37" s="4">
        <v>3202302</v>
      </c>
    </row>
    <row r="38" spans="2:10" x14ac:dyDescent="0.3">
      <c r="B38" s="44">
        <v>45920</v>
      </c>
      <c r="C38" s="3" t="s">
        <v>416</v>
      </c>
      <c r="D38" s="3" t="s">
        <v>56</v>
      </c>
      <c r="E38" s="101"/>
      <c r="F38" s="106" t="s">
        <v>252</v>
      </c>
      <c r="G38" s="106">
        <v>3070204</v>
      </c>
      <c r="H38" s="4" t="s">
        <v>248</v>
      </c>
      <c r="I38" s="4">
        <v>3207609</v>
      </c>
    </row>
    <row r="39" spans="2:10" x14ac:dyDescent="0.3">
      <c r="B39" s="4"/>
      <c r="E39" s="101"/>
      <c r="G39" s="3"/>
      <c r="H39" s="3"/>
      <c r="I39" s="3"/>
    </row>
    <row r="40" spans="2:10" x14ac:dyDescent="0.3">
      <c r="B40" s="44">
        <v>45927</v>
      </c>
      <c r="C40" s="3" t="s">
        <v>416</v>
      </c>
      <c r="D40" s="3" t="s">
        <v>56</v>
      </c>
      <c r="E40" s="101"/>
      <c r="F40" s="3" t="s">
        <v>254</v>
      </c>
      <c r="G40" s="4">
        <v>3068908</v>
      </c>
      <c r="H40" s="3" t="s">
        <v>251</v>
      </c>
      <c r="I40" s="4">
        <v>3036704</v>
      </c>
    </row>
    <row r="41" spans="2:10" x14ac:dyDescent="0.3">
      <c r="B41" s="44">
        <v>45927</v>
      </c>
      <c r="C41" s="3" t="s">
        <v>416</v>
      </c>
      <c r="D41" s="3" t="s">
        <v>56</v>
      </c>
      <c r="E41" s="101"/>
      <c r="F41" s="4" t="s">
        <v>264</v>
      </c>
      <c r="G41" s="4">
        <v>3055603</v>
      </c>
      <c r="H41" s="73" t="s">
        <v>253</v>
      </c>
      <c r="I41" s="4">
        <v>3037109</v>
      </c>
    </row>
    <row r="42" spans="2:10" x14ac:dyDescent="0.3">
      <c r="B42" s="44">
        <v>45927</v>
      </c>
      <c r="C42" s="3" t="s">
        <v>416</v>
      </c>
      <c r="D42" s="3" t="s">
        <v>56</v>
      </c>
      <c r="E42" s="101"/>
      <c r="F42" s="4" t="s">
        <v>248</v>
      </c>
      <c r="G42" s="4">
        <v>3207609</v>
      </c>
      <c r="H42" s="3" t="s">
        <v>256</v>
      </c>
      <c r="I42" s="4">
        <v>3068700</v>
      </c>
    </row>
    <row r="43" spans="2:10" x14ac:dyDescent="0.3">
      <c r="B43" s="44">
        <v>45927</v>
      </c>
      <c r="C43" s="3" t="s">
        <v>416</v>
      </c>
      <c r="D43" s="3" t="s">
        <v>56</v>
      </c>
      <c r="E43" s="101"/>
      <c r="F43" s="4" t="s">
        <v>261</v>
      </c>
      <c r="G43" s="4">
        <v>3202302</v>
      </c>
      <c r="H43" s="106" t="s">
        <v>252</v>
      </c>
      <c r="I43" s="106">
        <v>3070204</v>
      </c>
    </row>
    <row r="44" spans="2:10" x14ac:dyDescent="0.3">
      <c r="B44" s="44">
        <v>45927</v>
      </c>
      <c r="C44" s="3" t="s">
        <v>416</v>
      </c>
      <c r="D44" s="3" t="s">
        <v>56</v>
      </c>
      <c r="E44" s="101"/>
      <c r="F44" s="4" t="s">
        <v>439</v>
      </c>
      <c r="G44" s="4">
        <v>3023701</v>
      </c>
      <c r="H44" s="3" t="s">
        <v>250</v>
      </c>
      <c r="I44" s="4">
        <v>3070100</v>
      </c>
      <c r="J44" s="73"/>
    </row>
    <row r="45" spans="2:10" x14ac:dyDescent="0.3">
      <c r="B45" s="44">
        <v>45927</v>
      </c>
      <c r="C45" s="3" t="s">
        <v>416</v>
      </c>
      <c r="D45" s="3" t="s">
        <v>56</v>
      </c>
      <c r="E45" s="101"/>
      <c r="F45" s="4" t="s">
        <v>441</v>
      </c>
      <c r="G45" s="4">
        <v>3023409</v>
      </c>
      <c r="H45" s="73" t="s">
        <v>247</v>
      </c>
      <c r="I45" s="4">
        <v>3034102</v>
      </c>
    </row>
    <row r="46" spans="2:10" x14ac:dyDescent="0.3">
      <c r="B46" s="4"/>
      <c r="E46" s="101"/>
      <c r="G46" s="3"/>
      <c r="H46" s="3"/>
      <c r="I46" s="3"/>
    </row>
    <row r="47" spans="2:10" x14ac:dyDescent="0.3">
      <c r="B47" s="44">
        <v>45934</v>
      </c>
      <c r="C47" s="3" t="s">
        <v>416</v>
      </c>
      <c r="D47" s="3" t="s">
        <v>56</v>
      </c>
      <c r="E47" s="101"/>
      <c r="F47" s="73" t="s">
        <v>253</v>
      </c>
      <c r="G47" s="4">
        <v>3037109</v>
      </c>
      <c r="H47" s="4" t="s">
        <v>248</v>
      </c>
      <c r="I47" s="4">
        <v>3207609</v>
      </c>
    </row>
    <row r="48" spans="2:10" x14ac:dyDescent="0.3">
      <c r="B48" s="44">
        <v>45934</v>
      </c>
      <c r="C48" s="3" t="s">
        <v>416</v>
      </c>
      <c r="D48" s="3" t="s">
        <v>56</v>
      </c>
      <c r="E48" s="101"/>
      <c r="F48" s="4" t="s">
        <v>264</v>
      </c>
      <c r="G48" s="4">
        <v>3055603</v>
      </c>
      <c r="H48" s="3" t="s">
        <v>254</v>
      </c>
      <c r="I48" s="4">
        <v>3068908</v>
      </c>
      <c r="J48" s="73"/>
    </row>
    <row r="49" spans="2:13" x14ac:dyDescent="0.3">
      <c r="B49" s="44">
        <v>45934</v>
      </c>
      <c r="C49" s="3" t="s">
        <v>416</v>
      </c>
      <c r="D49" s="3" t="s">
        <v>56</v>
      </c>
      <c r="E49" s="101"/>
      <c r="F49" s="73" t="s">
        <v>247</v>
      </c>
      <c r="G49" s="4">
        <v>3034102</v>
      </c>
      <c r="H49" s="3" t="s">
        <v>251</v>
      </c>
      <c r="I49" s="4">
        <v>3036704</v>
      </c>
    </row>
    <row r="50" spans="2:13" x14ac:dyDescent="0.3">
      <c r="B50" s="44">
        <v>45934</v>
      </c>
      <c r="C50" s="3" t="s">
        <v>416</v>
      </c>
      <c r="D50" s="3" t="s">
        <v>56</v>
      </c>
      <c r="E50" s="101"/>
      <c r="F50" s="3" t="s">
        <v>256</v>
      </c>
      <c r="G50" s="4">
        <v>3068700</v>
      </c>
      <c r="H50" s="4" t="s">
        <v>261</v>
      </c>
      <c r="I50" s="4">
        <v>3202302</v>
      </c>
    </row>
    <row r="51" spans="2:13" x14ac:dyDescent="0.3">
      <c r="B51" s="44">
        <v>45934</v>
      </c>
      <c r="C51" s="3" t="s">
        <v>416</v>
      </c>
      <c r="D51" s="3" t="s">
        <v>56</v>
      </c>
      <c r="E51" s="101"/>
      <c r="F51" s="3" t="s">
        <v>250</v>
      </c>
      <c r="G51" s="4">
        <v>3070100</v>
      </c>
      <c r="H51" s="4" t="s">
        <v>441</v>
      </c>
      <c r="I51" s="4">
        <v>3023409</v>
      </c>
    </row>
    <row r="52" spans="2:13" x14ac:dyDescent="0.3">
      <c r="B52" s="44">
        <v>45934</v>
      </c>
      <c r="C52" s="3" t="s">
        <v>416</v>
      </c>
      <c r="D52" s="3" t="s">
        <v>56</v>
      </c>
      <c r="E52" s="101"/>
      <c r="F52" s="106" t="s">
        <v>252</v>
      </c>
      <c r="G52" s="106">
        <v>3070204</v>
      </c>
      <c r="H52" s="4" t="s">
        <v>439</v>
      </c>
      <c r="I52" s="4">
        <v>3023701</v>
      </c>
    </row>
    <row r="53" spans="2:13" x14ac:dyDescent="0.3">
      <c r="B53" s="4"/>
      <c r="E53" s="101"/>
      <c r="G53" s="3"/>
      <c r="H53" s="3"/>
      <c r="I53" s="3"/>
    </row>
    <row r="54" spans="2:13" x14ac:dyDescent="0.3">
      <c r="B54" s="44">
        <v>45941</v>
      </c>
      <c r="C54" s="3" t="s">
        <v>416</v>
      </c>
      <c r="D54" s="3" t="s">
        <v>56</v>
      </c>
      <c r="E54" s="101"/>
      <c r="F54" s="3" t="s">
        <v>254</v>
      </c>
      <c r="G54" s="4">
        <v>3068908</v>
      </c>
      <c r="H54" s="73" t="s">
        <v>247</v>
      </c>
      <c r="I54" s="4">
        <v>3034102</v>
      </c>
      <c r="L54" s="4"/>
      <c r="M54" s="4"/>
    </row>
    <row r="55" spans="2:13" x14ac:dyDescent="0.3">
      <c r="B55" s="44">
        <v>45941</v>
      </c>
      <c r="C55" s="3" t="s">
        <v>416</v>
      </c>
      <c r="D55" s="3" t="s">
        <v>56</v>
      </c>
      <c r="E55" s="101"/>
      <c r="F55" s="3" t="s">
        <v>251</v>
      </c>
      <c r="G55" s="4">
        <v>3036704</v>
      </c>
      <c r="H55" s="3" t="s">
        <v>250</v>
      </c>
      <c r="I55" s="4">
        <v>3070100</v>
      </c>
      <c r="L55" s="4"/>
      <c r="M55" s="32"/>
    </row>
    <row r="56" spans="2:13" x14ac:dyDescent="0.3">
      <c r="B56" s="44">
        <v>45941</v>
      </c>
      <c r="C56" s="3" t="s">
        <v>416</v>
      </c>
      <c r="D56" s="3" t="s">
        <v>56</v>
      </c>
      <c r="E56" s="101"/>
      <c r="F56" s="4" t="s">
        <v>248</v>
      </c>
      <c r="G56" s="4">
        <v>3207609</v>
      </c>
      <c r="H56" s="4" t="s">
        <v>264</v>
      </c>
      <c r="I56" s="4">
        <v>3055603</v>
      </c>
      <c r="L56" s="4"/>
      <c r="M56" s="4"/>
    </row>
    <row r="57" spans="2:13" x14ac:dyDescent="0.3">
      <c r="B57" s="44">
        <v>45941</v>
      </c>
      <c r="C57" s="3" t="s">
        <v>416</v>
      </c>
      <c r="D57" s="3" t="s">
        <v>56</v>
      </c>
      <c r="E57" s="101"/>
      <c r="F57" s="4" t="s">
        <v>261</v>
      </c>
      <c r="G57" s="4">
        <v>3202302</v>
      </c>
      <c r="H57" s="73" t="s">
        <v>253</v>
      </c>
      <c r="I57" s="4">
        <v>3037109</v>
      </c>
      <c r="L57" s="4"/>
      <c r="M57" s="4"/>
    </row>
    <row r="58" spans="2:13" x14ac:dyDescent="0.3">
      <c r="B58" s="44">
        <v>45941</v>
      </c>
      <c r="C58" s="3" t="s">
        <v>416</v>
      </c>
      <c r="D58" s="3" t="s">
        <v>56</v>
      </c>
      <c r="E58" s="101"/>
      <c r="F58" s="4" t="s">
        <v>439</v>
      </c>
      <c r="G58" s="4">
        <v>3023701</v>
      </c>
      <c r="H58" s="3" t="s">
        <v>256</v>
      </c>
      <c r="I58" s="4">
        <v>3068700</v>
      </c>
      <c r="L58" s="4"/>
      <c r="M58" s="4"/>
    </row>
    <row r="59" spans="2:13" x14ac:dyDescent="0.3">
      <c r="B59" s="44">
        <v>45941</v>
      </c>
      <c r="C59" s="3" t="s">
        <v>416</v>
      </c>
      <c r="D59" s="3" t="s">
        <v>56</v>
      </c>
      <c r="E59" s="101"/>
      <c r="F59" s="4" t="s">
        <v>441</v>
      </c>
      <c r="G59" s="4">
        <v>3023409</v>
      </c>
      <c r="H59" s="106" t="s">
        <v>252</v>
      </c>
      <c r="I59" s="106">
        <v>3070204</v>
      </c>
      <c r="J59" s="4"/>
      <c r="L59" s="4"/>
      <c r="M59" s="4"/>
    </row>
    <row r="60" spans="2:13" x14ac:dyDescent="0.3">
      <c r="B60" s="4"/>
      <c r="E60" s="101"/>
      <c r="G60" s="3"/>
      <c r="H60" s="3"/>
      <c r="I60" s="3"/>
    </row>
    <row r="61" spans="2:13" x14ac:dyDescent="0.3">
      <c r="B61" s="44">
        <v>45948</v>
      </c>
      <c r="C61" s="3" t="s">
        <v>416</v>
      </c>
      <c r="D61" s="3" t="s">
        <v>56</v>
      </c>
      <c r="E61" s="101"/>
      <c r="F61" s="73" t="s">
        <v>253</v>
      </c>
      <c r="G61" s="4">
        <v>3037109</v>
      </c>
      <c r="H61" s="4" t="s">
        <v>439</v>
      </c>
      <c r="I61" s="4">
        <v>3023701</v>
      </c>
    </row>
    <row r="62" spans="2:13" x14ac:dyDescent="0.3">
      <c r="B62" s="44">
        <v>45948</v>
      </c>
      <c r="C62" s="3" t="s">
        <v>416</v>
      </c>
      <c r="D62" s="3" t="s">
        <v>56</v>
      </c>
      <c r="E62" s="101"/>
      <c r="F62" s="4" t="s">
        <v>264</v>
      </c>
      <c r="G62" s="4">
        <v>3055603</v>
      </c>
      <c r="H62" s="4" t="s">
        <v>261</v>
      </c>
      <c r="I62" s="4">
        <v>3202302</v>
      </c>
      <c r="J62" s="73"/>
    </row>
    <row r="63" spans="2:13" x14ac:dyDescent="0.3">
      <c r="B63" s="44">
        <v>45948</v>
      </c>
      <c r="C63" s="3" t="s">
        <v>416</v>
      </c>
      <c r="D63" s="3" t="s">
        <v>56</v>
      </c>
      <c r="E63" s="101"/>
      <c r="F63" s="4" t="s">
        <v>248</v>
      </c>
      <c r="G63" s="4">
        <v>3207609</v>
      </c>
      <c r="H63" s="3" t="s">
        <v>254</v>
      </c>
      <c r="I63" s="4">
        <v>3068908</v>
      </c>
    </row>
    <row r="64" spans="2:13" x14ac:dyDescent="0.3">
      <c r="B64" s="44">
        <v>45948</v>
      </c>
      <c r="C64" s="3" t="s">
        <v>416</v>
      </c>
      <c r="D64" s="3" t="s">
        <v>56</v>
      </c>
      <c r="E64" s="101"/>
      <c r="F64" s="3" t="s">
        <v>256</v>
      </c>
      <c r="G64" s="4">
        <v>3068700</v>
      </c>
      <c r="H64" s="4" t="s">
        <v>441</v>
      </c>
      <c r="I64" s="4">
        <v>3023409</v>
      </c>
    </row>
    <row r="65" spans="2:10" x14ac:dyDescent="0.3">
      <c r="B65" s="44">
        <v>45948</v>
      </c>
      <c r="C65" s="3" t="s">
        <v>416</v>
      </c>
      <c r="D65" s="3" t="s">
        <v>56</v>
      </c>
      <c r="E65" s="101"/>
      <c r="F65" s="3" t="s">
        <v>250</v>
      </c>
      <c r="G65" s="4">
        <v>3070100</v>
      </c>
      <c r="H65" s="73" t="s">
        <v>247</v>
      </c>
      <c r="I65" s="4">
        <v>3034102</v>
      </c>
    </row>
    <row r="66" spans="2:10" x14ac:dyDescent="0.3">
      <c r="B66" s="44">
        <v>45948</v>
      </c>
      <c r="C66" s="3" t="s">
        <v>416</v>
      </c>
      <c r="D66" s="3" t="s">
        <v>56</v>
      </c>
      <c r="E66" s="101"/>
      <c r="F66" s="106" t="s">
        <v>252</v>
      </c>
      <c r="G66" s="106">
        <v>3070204</v>
      </c>
      <c r="H66" s="3" t="s">
        <v>251</v>
      </c>
      <c r="I66" s="4">
        <v>3036704</v>
      </c>
    </row>
    <row r="67" spans="2:10" x14ac:dyDescent="0.3">
      <c r="B67" s="4"/>
      <c r="E67" s="101"/>
      <c r="G67" s="3"/>
      <c r="H67" s="3"/>
      <c r="I67" s="3"/>
    </row>
    <row r="68" spans="2:10" x14ac:dyDescent="0.3">
      <c r="B68" s="44">
        <v>45962</v>
      </c>
      <c r="C68" s="3" t="s">
        <v>416</v>
      </c>
      <c r="D68" s="3" t="s">
        <v>56</v>
      </c>
      <c r="E68" s="101"/>
      <c r="F68" s="3" t="s">
        <v>254</v>
      </c>
      <c r="G68" s="4">
        <v>3068908</v>
      </c>
      <c r="H68" s="3" t="s">
        <v>250</v>
      </c>
      <c r="I68" s="4">
        <v>3070100</v>
      </c>
      <c r="J68" s="73"/>
    </row>
    <row r="69" spans="2:10" x14ac:dyDescent="0.3">
      <c r="B69" s="44">
        <v>45962</v>
      </c>
      <c r="C69" s="3" t="s">
        <v>416</v>
      </c>
      <c r="D69" s="3" t="s">
        <v>56</v>
      </c>
      <c r="E69" s="101"/>
      <c r="F69" s="3" t="s">
        <v>251</v>
      </c>
      <c r="G69" s="4">
        <v>3036704</v>
      </c>
      <c r="H69" s="3" t="s">
        <v>256</v>
      </c>
      <c r="I69" s="4">
        <v>3068700</v>
      </c>
    </row>
    <row r="70" spans="2:10" x14ac:dyDescent="0.3">
      <c r="B70" s="44">
        <v>45962</v>
      </c>
      <c r="C70" s="3" t="s">
        <v>416</v>
      </c>
      <c r="D70" s="3" t="s">
        <v>56</v>
      </c>
      <c r="E70" s="101"/>
      <c r="F70" s="73" t="s">
        <v>247</v>
      </c>
      <c r="G70" s="4">
        <v>3034102</v>
      </c>
      <c r="H70" s="106" t="s">
        <v>252</v>
      </c>
      <c r="I70" s="106">
        <v>3070204</v>
      </c>
    </row>
    <row r="71" spans="2:10" x14ac:dyDescent="0.3">
      <c r="B71" s="44">
        <v>45962</v>
      </c>
      <c r="C71" s="3" t="s">
        <v>416</v>
      </c>
      <c r="D71" s="3" t="s">
        <v>56</v>
      </c>
      <c r="E71" s="101"/>
      <c r="F71" s="4" t="s">
        <v>261</v>
      </c>
      <c r="G71" s="4">
        <v>3202302</v>
      </c>
      <c r="H71" s="4" t="s">
        <v>248</v>
      </c>
      <c r="I71" s="4">
        <v>3207609</v>
      </c>
      <c r="J71" s="4"/>
    </row>
    <row r="72" spans="2:10" x14ac:dyDescent="0.3">
      <c r="B72" s="44">
        <v>45962</v>
      </c>
      <c r="C72" s="3" t="s">
        <v>416</v>
      </c>
      <c r="D72" s="3" t="s">
        <v>56</v>
      </c>
      <c r="E72" s="101"/>
      <c r="F72" s="4" t="s">
        <v>439</v>
      </c>
      <c r="G72" s="4">
        <v>3023701</v>
      </c>
      <c r="H72" s="4" t="s">
        <v>264</v>
      </c>
      <c r="I72" s="4">
        <v>3055603</v>
      </c>
    </row>
    <row r="73" spans="2:10" x14ac:dyDescent="0.3">
      <c r="B73" s="44">
        <v>45962</v>
      </c>
      <c r="C73" s="3" t="s">
        <v>416</v>
      </c>
      <c r="D73" s="3" t="s">
        <v>56</v>
      </c>
      <c r="E73" s="101"/>
      <c r="F73" s="4" t="s">
        <v>441</v>
      </c>
      <c r="G73" s="4">
        <v>3023409</v>
      </c>
      <c r="H73" s="73" t="s">
        <v>253</v>
      </c>
      <c r="I73" s="4">
        <v>3037109</v>
      </c>
    </row>
    <row r="74" spans="2:10" x14ac:dyDescent="0.3">
      <c r="B74" s="4"/>
      <c r="E74" s="101"/>
      <c r="G74" s="3"/>
      <c r="H74" s="3"/>
      <c r="I74" s="3"/>
    </row>
    <row r="75" spans="2:10" x14ac:dyDescent="0.3">
      <c r="B75" s="44">
        <v>45969</v>
      </c>
      <c r="C75" s="3" t="s">
        <v>416</v>
      </c>
      <c r="D75" s="3" t="s">
        <v>56</v>
      </c>
      <c r="E75" s="101"/>
      <c r="F75" s="73" t="s">
        <v>253</v>
      </c>
      <c r="G75" s="4">
        <v>3037109</v>
      </c>
      <c r="H75" s="3" t="s">
        <v>251</v>
      </c>
      <c r="I75" s="4">
        <v>3036704</v>
      </c>
    </row>
    <row r="76" spans="2:10" x14ac:dyDescent="0.3">
      <c r="B76" s="44">
        <v>45969</v>
      </c>
      <c r="C76" s="3" t="s">
        <v>416</v>
      </c>
      <c r="D76" s="3" t="s">
        <v>56</v>
      </c>
      <c r="E76" s="101"/>
      <c r="F76" s="4" t="s">
        <v>264</v>
      </c>
      <c r="G76" s="4">
        <v>3055603</v>
      </c>
      <c r="H76" s="4" t="s">
        <v>441</v>
      </c>
      <c r="I76" s="4">
        <v>3023409</v>
      </c>
      <c r="J76" s="73"/>
    </row>
    <row r="77" spans="2:10" x14ac:dyDescent="0.3">
      <c r="B77" s="44">
        <v>45969</v>
      </c>
      <c r="C77" s="3" t="s">
        <v>416</v>
      </c>
      <c r="D77" s="3" t="s">
        <v>56</v>
      </c>
      <c r="E77" s="101"/>
      <c r="F77" s="4" t="s">
        <v>248</v>
      </c>
      <c r="G77" s="4">
        <v>3207609</v>
      </c>
      <c r="H77" s="4" t="s">
        <v>439</v>
      </c>
      <c r="I77" s="4">
        <v>3023701</v>
      </c>
    </row>
    <row r="78" spans="2:10" x14ac:dyDescent="0.3">
      <c r="B78" s="44">
        <v>45969</v>
      </c>
      <c r="C78" s="3" t="s">
        <v>416</v>
      </c>
      <c r="D78" s="3" t="s">
        <v>56</v>
      </c>
      <c r="E78" s="101"/>
      <c r="F78" s="4" t="s">
        <v>261</v>
      </c>
      <c r="G78" s="4">
        <v>3202302</v>
      </c>
      <c r="H78" s="3" t="s">
        <v>254</v>
      </c>
      <c r="I78" s="4">
        <v>3068908</v>
      </c>
    </row>
    <row r="79" spans="2:10" x14ac:dyDescent="0.3">
      <c r="B79" s="44">
        <v>45969</v>
      </c>
      <c r="C79" s="3" t="s">
        <v>416</v>
      </c>
      <c r="D79" s="3" t="s">
        <v>56</v>
      </c>
      <c r="E79" s="101"/>
      <c r="F79" s="3" t="s">
        <v>256</v>
      </c>
      <c r="G79" s="4">
        <v>3068700</v>
      </c>
      <c r="H79" s="73" t="s">
        <v>247</v>
      </c>
      <c r="I79" s="4">
        <v>3034102</v>
      </c>
    </row>
    <row r="80" spans="2:10" x14ac:dyDescent="0.3">
      <c r="B80" s="44">
        <v>45969</v>
      </c>
      <c r="C80" s="3" t="s">
        <v>416</v>
      </c>
      <c r="D80" s="3" t="s">
        <v>56</v>
      </c>
      <c r="E80" s="101"/>
      <c r="F80" s="106" t="s">
        <v>252</v>
      </c>
      <c r="G80" s="106">
        <v>3070204</v>
      </c>
      <c r="H80" s="3" t="s">
        <v>250</v>
      </c>
      <c r="I80" s="4">
        <v>3070100</v>
      </c>
      <c r="J80" s="4"/>
    </row>
    <row r="81" spans="2:10" x14ac:dyDescent="0.3">
      <c r="B81" s="4"/>
      <c r="E81" s="101"/>
      <c r="G81" s="3"/>
      <c r="H81" s="3"/>
      <c r="I81" s="3"/>
    </row>
    <row r="82" spans="2:10" x14ac:dyDescent="0.3">
      <c r="B82" s="44">
        <v>45976</v>
      </c>
      <c r="C82" s="3" t="s">
        <v>416</v>
      </c>
      <c r="D82" s="3" t="s">
        <v>56</v>
      </c>
      <c r="E82" s="101"/>
      <c r="F82" s="3" t="s">
        <v>254</v>
      </c>
      <c r="G82" s="4">
        <v>3068908</v>
      </c>
      <c r="H82" s="106" t="s">
        <v>252</v>
      </c>
      <c r="I82" s="106">
        <v>3070204</v>
      </c>
    </row>
    <row r="83" spans="2:10" x14ac:dyDescent="0.3">
      <c r="B83" s="44">
        <v>45976</v>
      </c>
      <c r="C83" s="3" t="s">
        <v>416</v>
      </c>
      <c r="D83" s="3" t="s">
        <v>56</v>
      </c>
      <c r="E83" s="101"/>
      <c r="F83" s="3" t="s">
        <v>251</v>
      </c>
      <c r="G83" s="4">
        <v>3036704</v>
      </c>
      <c r="H83" s="4" t="s">
        <v>264</v>
      </c>
      <c r="I83" s="4">
        <v>3055603</v>
      </c>
    </row>
    <row r="84" spans="2:10" x14ac:dyDescent="0.3">
      <c r="B84" s="44">
        <v>45976</v>
      </c>
      <c r="C84" s="3" t="s">
        <v>416</v>
      </c>
      <c r="D84" s="3" t="s">
        <v>56</v>
      </c>
      <c r="E84" s="101"/>
      <c r="F84" s="73" t="s">
        <v>247</v>
      </c>
      <c r="G84" s="4">
        <v>3034102</v>
      </c>
      <c r="H84" s="73" t="s">
        <v>253</v>
      </c>
      <c r="I84" s="4">
        <v>3037109</v>
      </c>
      <c r="J84" s="4"/>
    </row>
    <row r="85" spans="2:10" x14ac:dyDescent="0.3">
      <c r="B85" s="44">
        <v>45976</v>
      </c>
      <c r="C85" s="3" t="s">
        <v>416</v>
      </c>
      <c r="D85" s="3" t="s">
        <v>56</v>
      </c>
      <c r="E85" s="101"/>
      <c r="F85" s="4" t="s">
        <v>439</v>
      </c>
      <c r="G85" s="4">
        <v>3023701</v>
      </c>
      <c r="H85" s="4" t="s">
        <v>261</v>
      </c>
      <c r="I85" s="4">
        <v>3202302</v>
      </c>
      <c r="J85" s="73"/>
    </row>
    <row r="86" spans="2:10" x14ac:dyDescent="0.3">
      <c r="B86" s="44">
        <v>45976</v>
      </c>
      <c r="C86" s="3" t="s">
        <v>416</v>
      </c>
      <c r="D86" s="3" t="s">
        <v>56</v>
      </c>
      <c r="E86" s="101"/>
      <c r="F86" s="4" t="s">
        <v>441</v>
      </c>
      <c r="G86" s="4">
        <v>3023409</v>
      </c>
      <c r="H86" s="4" t="s">
        <v>248</v>
      </c>
      <c r="I86" s="4">
        <v>3207609</v>
      </c>
    </row>
    <row r="87" spans="2:10" x14ac:dyDescent="0.3">
      <c r="B87" s="44">
        <v>45976</v>
      </c>
      <c r="C87" s="3" t="s">
        <v>416</v>
      </c>
      <c r="D87" s="3" t="s">
        <v>56</v>
      </c>
      <c r="E87" s="101"/>
      <c r="F87" s="3" t="s">
        <v>250</v>
      </c>
      <c r="G87" s="4">
        <v>3070100</v>
      </c>
      <c r="H87" s="3" t="s">
        <v>256</v>
      </c>
      <c r="I87" s="4">
        <v>3068700</v>
      </c>
    </row>
    <row r="88" spans="2:10" x14ac:dyDescent="0.3">
      <c r="B88" s="4"/>
      <c r="E88" s="101"/>
      <c r="G88" s="3"/>
      <c r="H88" s="3"/>
      <c r="I88" s="3"/>
    </row>
    <row r="89" spans="2:10" x14ac:dyDescent="0.3">
      <c r="B89" s="44">
        <v>45983</v>
      </c>
      <c r="C89" s="3" t="s">
        <v>416</v>
      </c>
      <c r="D89" s="3" t="s">
        <v>56</v>
      </c>
      <c r="E89" s="101"/>
      <c r="F89" s="73" t="s">
        <v>253</v>
      </c>
      <c r="G89" s="4">
        <v>3037109</v>
      </c>
      <c r="H89" s="3" t="s">
        <v>250</v>
      </c>
      <c r="I89" s="4">
        <v>3070100</v>
      </c>
    </row>
    <row r="90" spans="2:10" x14ac:dyDescent="0.3">
      <c r="B90" s="44">
        <v>45983</v>
      </c>
      <c r="C90" s="3" t="s">
        <v>416</v>
      </c>
      <c r="D90" s="3" t="s">
        <v>56</v>
      </c>
      <c r="E90" s="101"/>
      <c r="F90" s="4" t="s">
        <v>264</v>
      </c>
      <c r="G90" s="4">
        <v>3055603</v>
      </c>
      <c r="H90" s="73" t="s">
        <v>247</v>
      </c>
      <c r="I90" s="4">
        <v>3034102</v>
      </c>
    </row>
    <row r="91" spans="2:10" x14ac:dyDescent="0.3">
      <c r="B91" s="44">
        <v>45983</v>
      </c>
      <c r="C91" s="3" t="s">
        <v>416</v>
      </c>
      <c r="D91" s="3" t="s">
        <v>56</v>
      </c>
      <c r="E91" s="101"/>
      <c r="F91" s="4" t="s">
        <v>248</v>
      </c>
      <c r="G91" s="4">
        <v>3207609</v>
      </c>
      <c r="H91" s="3" t="s">
        <v>251</v>
      </c>
      <c r="I91" s="4">
        <v>3036704</v>
      </c>
    </row>
    <row r="92" spans="2:10" x14ac:dyDescent="0.3">
      <c r="B92" s="44">
        <v>45983</v>
      </c>
      <c r="C92" s="3" t="s">
        <v>416</v>
      </c>
      <c r="D92" s="3" t="s">
        <v>56</v>
      </c>
      <c r="E92" s="101"/>
      <c r="F92" s="4" t="s">
        <v>261</v>
      </c>
      <c r="G92" s="4">
        <v>3202302</v>
      </c>
      <c r="H92" s="4" t="s">
        <v>441</v>
      </c>
      <c r="I92" s="4">
        <v>3023409</v>
      </c>
      <c r="J92" s="73"/>
    </row>
    <row r="93" spans="2:10" x14ac:dyDescent="0.3">
      <c r="B93" s="44">
        <v>45983</v>
      </c>
      <c r="C93" s="3" t="s">
        <v>416</v>
      </c>
      <c r="D93" s="3" t="s">
        <v>56</v>
      </c>
      <c r="E93" s="101"/>
      <c r="F93" s="4" t="s">
        <v>439</v>
      </c>
      <c r="G93" s="4">
        <v>3023701</v>
      </c>
      <c r="H93" s="3" t="s">
        <v>254</v>
      </c>
      <c r="I93" s="4">
        <v>3068908</v>
      </c>
      <c r="J93" s="32"/>
    </row>
    <row r="94" spans="2:10" x14ac:dyDescent="0.3">
      <c r="B94" s="44">
        <v>45983</v>
      </c>
      <c r="C94" s="3" t="s">
        <v>416</v>
      </c>
      <c r="D94" s="3" t="s">
        <v>56</v>
      </c>
      <c r="E94" s="101"/>
      <c r="F94" s="3" t="s">
        <v>256</v>
      </c>
      <c r="G94" s="4">
        <v>3068700</v>
      </c>
      <c r="H94" s="106" t="s">
        <v>252</v>
      </c>
      <c r="I94" s="106">
        <v>3070204</v>
      </c>
    </row>
    <row r="95" spans="2:10" x14ac:dyDescent="0.3">
      <c r="B95" s="4"/>
      <c r="E95" s="101"/>
      <c r="G95" s="3"/>
      <c r="H95" s="3"/>
      <c r="I95" s="3"/>
    </row>
    <row r="96" spans="2:10" x14ac:dyDescent="0.3">
      <c r="B96" s="44">
        <v>45990</v>
      </c>
      <c r="C96" s="3" t="s">
        <v>416</v>
      </c>
      <c r="D96" s="3" t="s">
        <v>56</v>
      </c>
      <c r="E96" s="101"/>
      <c r="F96" s="3" t="s">
        <v>254</v>
      </c>
      <c r="G96" s="4">
        <v>3068908</v>
      </c>
      <c r="H96" s="3" t="s">
        <v>256</v>
      </c>
      <c r="I96" s="4">
        <v>3068700</v>
      </c>
      <c r="J96" s="4"/>
    </row>
    <row r="97" spans="2:10" x14ac:dyDescent="0.3">
      <c r="B97" s="44">
        <v>45990</v>
      </c>
      <c r="C97" s="3" t="s">
        <v>416</v>
      </c>
      <c r="D97" s="3" t="s">
        <v>56</v>
      </c>
      <c r="E97" s="101"/>
      <c r="F97" s="3" t="s">
        <v>251</v>
      </c>
      <c r="G97" s="4">
        <v>3036704</v>
      </c>
      <c r="H97" s="4" t="s">
        <v>261</v>
      </c>
      <c r="I97" s="4">
        <v>3202302</v>
      </c>
    </row>
    <row r="98" spans="2:10" x14ac:dyDescent="0.3">
      <c r="B98" s="44">
        <v>45990</v>
      </c>
      <c r="C98" s="3" t="s">
        <v>416</v>
      </c>
      <c r="D98" s="3" t="s">
        <v>56</v>
      </c>
      <c r="E98" s="101"/>
      <c r="F98" s="73" t="s">
        <v>247</v>
      </c>
      <c r="G98" s="4">
        <v>3034102</v>
      </c>
      <c r="H98" s="4" t="s">
        <v>248</v>
      </c>
      <c r="I98" s="4">
        <v>3207609</v>
      </c>
      <c r="J98" s="73"/>
    </row>
    <row r="99" spans="2:10" x14ac:dyDescent="0.3">
      <c r="B99" s="44">
        <v>45990</v>
      </c>
      <c r="C99" s="3" t="s">
        <v>416</v>
      </c>
      <c r="D99" s="3" t="s">
        <v>56</v>
      </c>
      <c r="E99" s="101"/>
      <c r="F99" s="4" t="s">
        <v>441</v>
      </c>
      <c r="G99" s="4">
        <v>3023409</v>
      </c>
      <c r="H99" s="4" t="s">
        <v>439</v>
      </c>
      <c r="I99" s="4">
        <v>3023701</v>
      </c>
    </row>
    <row r="100" spans="2:10" x14ac:dyDescent="0.3">
      <c r="B100" s="44">
        <v>45990</v>
      </c>
      <c r="C100" s="3" t="s">
        <v>416</v>
      </c>
      <c r="D100" s="3" t="s">
        <v>56</v>
      </c>
      <c r="E100" s="101"/>
      <c r="F100" s="3" t="s">
        <v>250</v>
      </c>
      <c r="G100" s="4">
        <v>3070100</v>
      </c>
      <c r="H100" s="4" t="s">
        <v>264</v>
      </c>
      <c r="I100" s="4">
        <v>3055603</v>
      </c>
    </row>
    <row r="101" spans="2:10" x14ac:dyDescent="0.3">
      <c r="B101" s="44">
        <v>45990</v>
      </c>
      <c r="C101" s="3" t="s">
        <v>416</v>
      </c>
      <c r="D101" s="3" t="s">
        <v>56</v>
      </c>
      <c r="E101" s="101"/>
      <c r="F101" s="106" t="s">
        <v>252</v>
      </c>
      <c r="G101" s="106">
        <v>3070204</v>
      </c>
      <c r="H101" s="73" t="s">
        <v>253</v>
      </c>
      <c r="I101" s="4">
        <v>3037109</v>
      </c>
    </row>
    <row r="102" spans="2:10" x14ac:dyDescent="0.3">
      <c r="B102" s="4"/>
      <c r="E102" s="101"/>
      <c r="G102" s="3"/>
      <c r="H102" s="3"/>
      <c r="I102" s="3"/>
    </row>
    <row r="103" spans="2:10" x14ac:dyDescent="0.3">
      <c r="B103" s="44">
        <v>46032</v>
      </c>
      <c r="C103" s="3" t="s">
        <v>416</v>
      </c>
      <c r="D103" s="3" t="s">
        <v>56</v>
      </c>
      <c r="E103" s="101"/>
      <c r="F103" s="3" t="s">
        <v>254</v>
      </c>
      <c r="G103" s="4">
        <v>3068908</v>
      </c>
      <c r="H103" s="4" t="s">
        <v>441</v>
      </c>
      <c r="I103" s="4">
        <v>3023409</v>
      </c>
      <c r="J103" s="73"/>
    </row>
    <row r="104" spans="2:10" x14ac:dyDescent="0.3">
      <c r="B104" s="44">
        <v>46032</v>
      </c>
      <c r="C104" s="3" t="s">
        <v>416</v>
      </c>
      <c r="D104" s="3" t="s">
        <v>56</v>
      </c>
      <c r="E104" s="101"/>
      <c r="F104" s="3" t="s">
        <v>251</v>
      </c>
      <c r="G104" s="4">
        <v>3036704</v>
      </c>
      <c r="H104" s="4" t="s">
        <v>439</v>
      </c>
      <c r="I104" s="4">
        <v>3023701</v>
      </c>
    </row>
    <row r="105" spans="2:10" x14ac:dyDescent="0.3">
      <c r="B105" s="44">
        <v>46032</v>
      </c>
      <c r="C105" s="3" t="s">
        <v>416</v>
      </c>
      <c r="D105" s="3" t="s">
        <v>56</v>
      </c>
      <c r="E105" s="101"/>
      <c r="F105" s="73" t="s">
        <v>247</v>
      </c>
      <c r="G105" s="4">
        <v>3034102</v>
      </c>
      <c r="H105" s="4" t="s">
        <v>261</v>
      </c>
      <c r="I105" s="4">
        <v>3202302</v>
      </c>
    </row>
    <row r="106" spans="2:10" x14ac:dyDescent="0.3">
      <c r="B106" s="44">
        <v>46032</v>
      </c>
      <c r="C106" s="3" t="s">
        <v>416</v>
      </c>
      <c r="D106" s="3" t="s">
        <v>56</v>
      </c>
      <c r="E106" s="101"/>
      <c r="F106" s="3" t="s">
        <v>256</v>
      </c>
      <c r="G106" s="4">
        <v>3068700</v>
      </c>
      <c r="H106" s="73" t="s">
        <v>253</v>
      </c>
      <c r="I106" s="4">
        <v>3037109</v>
      </c>
    </row>
    <row r="107" spans="2:10" x14ac:dyDescent="0.3">
      <c r="B107" s="44">
        <v>46032</v>
      </c>
      <c r="C107" s="3" t="s">
        <v>416</v>
      </c>
      <c r="D107" s="3" t="s">
        <v>56</v>
      </c>
      <c r="E107" s="101"/>
      <c r="F107" s="3" t="s">
        <v>250</v>
      </c>
      <c r="G107" s="4">
        <v>3070100</v>
      </c>
      <c r="H107" s="4" t="s">
        <v>248</v>
      </c>
      <c r="I107" s="4">
        <v>3207609</v>
      </c>
    </row>
    <row r="108" spans="2:10" x14ac:dyDescent="0.3">
      <c r="B108" s="44">
        <v>46032</v>
      </c>
      <c r="C108" s="3" t="s">
        <v>416</v>
      </c>
      <c r="D108" s="3" t="s">
        <v>56</v>
      </c>
      <c r="E108" s="101"/>
      <c r="F108" s="106" t="s">
        <v>252</v>
      </c>
      <c r="G108" s="106">
        <v>3070204</v>
      </c>
      <c r="H108" s="4" t="s">
        <v>264</v>
      </c>
      <c r="I108" s="4">
        <v>3055603</v>
      </c>
    </row>
    <row r="109" spans="2:10" x14ac:dyDescent="0.3">
      <c r="B109" s="4"/>
      <c r="E109" s="101"/>
      <c r="G109" s="3"/>
      <c r="H109" s="3"/>
      <c r="I109" s="3"/>
    </row>
    <row r="110" spans="2:10" x14ac:dyDescent="0.3">
      <c r="B110" s="44">
        <v>46039</v>
      </c>
      <c r="C110" s="3" t="s">
        <v>416</v>
      </c>
      <c r="D110" s="3" t="s">
        <v>56</v>
      </c>
      <c r="E110" s="101"/>
      <c r="F110" s="73" t="s">
        <v>253</v>
      </c>
      <c r="G110" s="4">
        <v>3037109</v>
      </c>
      <c r="H110" s="3" t="s">
        <v>254</v>
      </c>
      <c r="I110" s="4">
        <v>3068908</v>
      </c>
    </row>
    <row r="111" spans="2:10" x14ac:dyDescent="0.3">
      <c r="B111" s="44">
        <v>46039</v>
      </c>
      <c r="C111" s="3" t="s">
        <v>416</v>
      </c>
      <c r="D111" s="3" t="s">
        <v>56</v>
      </c>
      <c r="E111" s="101"/>
      <c r="F111" s="4" t="s">
        <v>264</v>
      </c>
      <c r="G111" s="4">
        <v>3055603</v>
      </c>
      <c r="H111" s="3" t="s">
        <v>256</v>
      </c>
      <c r="I111" s="4">
        <v>3068700</v>
      </c>
      <c r="J111" s="73"/>
    </row>
    <row r="112" spans="2:10" x14ac:dyDescent="0.3">
      <c r="B112" s="44">
        <v>46039</v>
      </c>
      <c r="C112" s="3" t="s">
        <v>416</v>
      </c>
      <c r="D112" s="3" t="s">
        <v>56</v>
      </c>
      <c r="E112" s="101"/>
      <c r="F112" s="4" t="s">
        <v>248</v>
      </c>
      <c r="G112" s="4">
        <v>3207609</v>
      </c>
      <c r="H112" s="106" t="s">
        <v>252</v>
      </c>
      <c r="I112" s="106">
        <v>3070204</v>
      </c>
    </row>
    <row r="113" spans="2:10" x14ac:dyDescent="0.3">
      <c r="B113" s="44">
        <v>46039</v>
      </c>
      <c r="C113" s="3" t="s">
        <v>416</v>
      </c>
      <c r="D113" s="3" t="s">
        <v>56</v>
      </c>
      <c r="E113" s="101"/>
      <c r="F113" s="4" t="s">
        <v>261</v>
      </c>
      <c r="G113" s="4">
        <v>3202302</v>
      </c>
      <c r="H113" s="3" t="s">
        <v>250</v>
      </c>
      <c r="I113" s="4">
        <v>3070100</v>
      </c>
      <c r="J113" s="4"/>
    </row>
    <row r="114" spans="2:10" x14ac:dyDescent="0.3">
      <c r="B114" s="44">
        <v>46039</v>
      </c>
      <c r="C114" s="3" t="s">
        <v>416</v>
      </c>
      <c r="D114" s="3" t="s">
        <v>56</v>
      </c>
      <c r="E114" s="101"/>
      <c r="F114" s="4" t="s">
        <v>439</v>
      </c>
      <c r="G114" s="4">
        <v>3023701</v>
      </c>
      <c r="H114" s="73" t="s">
        <v>247</v>
      </c>
      <c r="I114" s="4">
        <v>3034102</v>
      </c>
      <c r="J114" s="73"/>
    </row>
    <row r="115" spans="2:10" x14ac:dyDescent="0.3">
      <c r="B115" s="44">
        <v>46039</v>
      </c>
      <c r="C115" s="3" t="s">
        <v>416</v>
      </c>
      <c r="D115" s="3" t="s">
        <v>56</v>
      </c>
      <c r="E115" s="101"/>
      <c r="F115" s="4" t="s">
        <v>441</v>
      </c>
      <c r="G115" s="4">
        <v>3023409</v>
      </c>
      <c r="H115" s="3" t="s">
        <v>251</v>
      </c>
      <c r="I115" s="4">
        <v>3036704</v>
      </c>
    </row>
    <row r="116" spans="2:10" x14ac:dyDescent="0.3">
      <c r="B116" s="4"/>
      <c r="E116" s="101"/>
      <c r="G116" s="3"/>
      <c r="H116" s="3"/>
      <c r="I116" s="3"/>
    </row>
    <row r="117" spans="2:10" x14ac:dyDescent="0.3">
      <c r="B117" s="44">
        <v>46046</v>
      </c>
      <c r="C117" s="3" t="s">
        <v>416</v>
      </c>
      <c r="D117" s="3" t="s">
        <v>56</v>
      </c>
      <c r="E117" s="101"/>
      <c r="F117" s="73" t="s">
        <v>253</v>
      </c>
      <c r="G117" s="4">
        <v>3037109</v>
      </c>
      <c r="H117" s="4" t="s">
        <v>264</v>
      </c>
      <c r="I117" s="4">
        <v>3055603</v>
      </c>
    </row>
    <row r="118" spans="2:10" x14ac:dyDescent="0.3">
      <c r="B118" s="44">
        <v>46046</v>
      </c>
      <c r="C118" s="3" t="s">
        <v>416</v>
      </c>
      <c r="D118" s="3" t="s">
        <v>56</v>
      </c>
      <c r="E118" s="101"/>
      <c r="F118" s="3" t="s">
        <v>251</v>
      </c>
      <c r="G118" s="4">
        <v>3036704</v>
      </c>
      <c r="H118" s="3" t="s">
        <v>254</v>
      </c>
      <c r="I118" s="4">
        <v>3068908</v>
      </c>
    </row>
    <row r="119" spans="2:10" x14ac:dyDescent="0.3">
      <c r="B119" s="44">
        <v>46046</v>
      </c>
      <c r="C119" s="3" t="s">
        <v>416</v>
      </c>
      <c r="D119" s="3" t="s">
        <v>56</v>
      </c>
      <c r="E119" s="101"/>
      <c r="F119" s="73" t="s">
        <v>247</v>
      </c>
      <c r="G119" s="4">
        <v>3034102</v>
      </c>
      <c r="H119" s="4" t="s">
        <v>441</v>
      </c>
      <c r="I119" s="4">
        <v>3023409</v>
      </c>
    </row>
    <row r="120" spans="2:10" x14ac:dyDescent="0.3">
      <c r="B120" s="44">
        <v>46046</v>
      </c>
      <c r="C120" s="3" t="s">
        <v>416</v>
      </c>
      <c r="D120" s="3" t="s">
        <v>56</v>
      </c>
      <c r="E120" s="101"/>
      <c r="F120" s="3" t="s">
        <v>256</v>
      </c>
      <c r="G120" s="4">
        <v>3068700</v>
      </c>
      <c r="H120" s="4" t="s">
        <v>248</v>
      </c>
      <c r="I120" s="4">
        <v>3207609</v>
      </c>
    </row>
    <row r="121" spans="2:10" x14ac:dyDescent="0.3">
      <c r="B121" s="44">
        <v>46046</v>
      </c>
      <c r="C121" s="3" t="s">
        <v>416</v>
      </c>
      <c r="D121" s="3" t="s">
        <v>56</v>
      </c>
      <c r="E121" s="101"/>
      <c r="F121" s="3" t="s">
        <v>250</v>
      </c>
      <c r="G121" s="4">
        <v>3070100</v>
      </c>
      <c r="H121" s="4" t="s">
        <v>439</v>
      </c>
      <c r="I121" s="4">
        <v>3023701</v>
      </c>
    </row>
    <row r="122" spans="2:10" x14ac:dyDescent="0.3">
      <c r="B122" s="44">
        <v>46046</v>
      </c>
      <c r="C122" s="3" t="s">
        <v>416</v>
      </c>
      <c r="D122" s="3" t="s">
        <v>56</v>
      </c>
      <c r="E122" s="101"/>
      <c r="F122" s="106" t="s">
        <v>252</v>
      </c>
      <c r="G122" s="106">
        <v>3070204</v>
      </c>
      <c r="H122" s="4" t="s">
        <v>261</v>
      </c>
      <c r="I122" s="4">
        <v>3202302</v>
      </c>
    </row>
    <row r="123" spans="2:10" x14ac:dyDescent="0.3">
      <c r="B123" s="4"/>
      <c r="E123" s="101"/>
      <c r="G123" s="3"/>
      <c r="H123" s="3"/>
      <c r="I123" s="3"/>
    </row>
    <row r="124" spans="2:10" x14ac:dyDescent="0.3">
      <c r="B124" s="44">
        <v>46053</v>
      </c>
      <c r="C124" s="3" t="s">
        <v>416</v>
      </c>
      <c r="D124" s="3" t="s">
        <v>56</v>
      </c>
      <c r="E124" s="101"/>
      <c r="F124" s="3" t="s">
        <v>254</v>
      </c>
      <c r="G124" s="4">
        <v>3068908</v>
      </c>
      <c r="H124" s="4" t="s">
        <v>264</v>
      </c>
      <c r="I124" s="4">
        <v>3055603</v>
      </c>
    </row>
    <row r="125" spans="2:10" x14ac:dyDescent="0.3">
      <c r="B125" s="44">
        <v>46053</v>
      </c>
      <c r="C125" s="3" t="s">
        <v>416</v>
      </c>
      <c r="D125" s="3" t="s">
        <v>56</v>
      </c>
      <c r="E125" s="101"/>
      <c r="F125" s="3" t="s">
        <v>251</v>
      </c>
      <c r="G125" s="4">
        <v>3036704</v>
      </c>
      <c r="H125" s="73" t="s">
        <v>247</v>
      </c>
      <c r="I125" s="4">
        <v>3034102</v>
      </c>
    </row>
    <row r="126" spans="2:10" x14ac:dyDescent="0.3">
      <c r="B126" s="44">
        <v>46053</v>
      </c>
      <c r="C126" s="3" t="s">
        <v>416</v>
      </c>
      <c r="D126" s="3" t="s">
        <v>56</v>
      </c>
      <c r="E126" s="101"/>
      <c r="F126" s="4" t="s">
        <v>248</v>
      </c>
      <c r="G126" s="4">
        <v>3207609</v>
      </c>
      <c r="H126" s="73" t="s">
        <v>253</v>
      </c>
      <c r="I126" s="4">
        <v>3037109</v>
      </c>
    </row>
    <row r="127" spans="2:10" x14ac:dyDescent="0.3">
      <c r="B127" s="44">
        <v>46053</v>
      </c>
      <c r="C127" s="3" t="s">
        <v>416</v>
      </c>
      <c r="D127" s="3" t="s">
        <v>56</v>
      </c>
      <c r="E127" s="101"/>
      <c r="F127" s="4" t="s">
        <v>261</v>
      </c>
      <c r="G127" s="4">
        <v>3202302</v>
      </c>
      <c r="H127" s="3" t="s">
        <v>256</v>
      </c>
      <c r="I127" s="4">
        <v>3068700</v>
      </c>
    </row>
    <row r="128" spans="2:10" x14ac:dyDescent="0.3">
      <c r="B128" s="44">
        <v>46053</v>
      </c>
      <c r="C128" s="3" t="s">
        <v>416</v>
      </c>
      <c r="D128" s="3" t="s">
        <v>56</v>
      </c>
      <c r="E128" s="101"/>
      <c r="F128" s="4" t="s">
        <v>439</v>
      </c>
      <c r="G128" s="4">
        <v>3023701</v>
      </c>
      <c r="H128" s="106" t="s">
        <v>252</v>
      </c>
      <c r="I128" s="106">
        <v>3070204</v>
      </c>
    </row>
    <row r="129" spans="2:12" x14ac:dyDescent="0.3">
      <c r="B129" s="44">
        <v>46053</v>
      </c>
      <c r="C129" s="3" t="s">
        <v>416</v>
      </c>
      <c r="D129" s="3" t="s">
        <v>56</v>
      </c>
      <c r="E129" s="101"/>
      <c r="F129" s="4" t="s">
        <v>441</v>
      </c>
      <c r="G129" s="4">
        <v>3023409</v>
      </c>
      <c r="H129" s="3" t="s">
        <v>250</v>
      </c>
      <c r="I129" s="4">
        <v>3070100</v>
      </c>
    </row>
    <row r="130" spans="2:12" x14ac:dyDescent="0.3">
      <c r="B130" s="4"/>
      <c r="E130" s="101"/>
      <c r="G130" s="3"/>
      <c r="H130" s="3"/>
      <c r="I130" s="3"/>
    </row>
    <row r="131" spans="2:12" x14ac:dyDescent="0.3">
      <c r="B131" s="44">
        <v>46060</v>
      </c>
      <c r="C131" s="3" t="s">
        <v>416</v>
      </c>
      <c r="D131" s="3" t="s">
        <v>56</v>
      </c>
      <c r="E131" s="101"/>
      <c r="F131" s="73" t="s">
        <v>253</v>
      </c>
      <c r="G131" s="4">
        <v>3037109</v>
      </c>
      <c r="H131" s="4" t="s">
        <v>261</v>
      </c>
      <c r="I131" s="4">
        <v>3202302</v>
      </c>
      <c r="J131" s="4"/>
      <c r="L131" s="4"/>
    </row>
    <row r="132" spans="2:12" x14ac:dyDescent="0.3">
      <c r="B132" s="44">
        <v>46060</v>
      </c>
      <c r="C132" s="3" t="s">
        <v>416</v>
      </c>
      <c r="D132" s="3" t="s">
        <v>56</v>
      </c>
      <c r="E132" s="101"/>
      <c r="F132" s="4" t="s">
        <v>264</v>
      </c>
      <c r="G132" s="4">
        <v>3055603</v>
      </c>
      <c r="H132" s="4" t="s">
        <v>248</v>
      </c>
      <c r="I132" s="4">
        <v>3207609</v>
      </c>
      <c r="J132" s="4"/>
      <c r="L132" s="4"/>
    </row>
    <row r="133" spans="2:12" x14ac:dyDescent="0.3">
      <c r="B133" s="44">
        <v>46060</v>
      </c>
      <c r="C133" s="3" t="s">
        <v>416</v>
      </c>
      <c r="D133" s="3" t="s">
        <v>56</v>
      </c>
      <c r="E133" s="101"/>
      <c r="F133" s="73" t="s">
        <v>247</v>
      </c>
      <c r="G133" s="4">
        <v>3034102</v>
      </c>
      <c r="H133" s="3" t="s">
        <v>254</v>
      </c>
      <c r="I133" s="4">
        <v>3068908</v>
      </c>
      <c r="J133" s="32"/>
      <c r="L133" s="4"/>
    </row>
    <row r="134" spans="2:12" x14ac:dyDescent="0.3">
      <c r="B134" s="44">
        <v>46060</v>
      </c>
      <c r="C134" s="3" t="s">
        <v>416</v>
      </c>
      <c r="D134" s="3" t="s">
        <v>56</v>
      </c>
      <c r="E134" s="101"/>
      <c r="F134" s="3" t="s">
        <v>256</v>
      </c>
      <c r="G134" s="4">
        <v>3068700</v>
      </c>
      <c r="H134" s="4" t="s">
        <v>439</v>
      </c>
      <c r="I134" s="4">
        <v>3023701</v>
      </c>
      <c r="J134" s="4"/>
      <c r="L134" s="4"/>
    </row>
    <row r="135" spans="2:12" x14ac:dyDescent="0.3">
      <c r="B135" s="44">
        <v>46060</v>
      </c>
      <c r="C135" s="3" t="s">
        <v>416</v>
      </c>
      <c r="D135" s="3" t="s">
        <v>56</v>
      </c>
      <c r="E135" s="101"/>
      <c r="F135" s="3" t="s">
        <v>250</v>
      </c>
      <c r="G135" s="4">
        <v>3070100</v>
      </c>
      <c r="H135" s="3" t="s">
        <v>251</v>
      </c>
      <c r="I135" s="4">
        <v>3036704</v>
      </c>
      <c r="J135" s="4"/>
      <c r="L135" s="4"/>
    </row>
    <row r="136" spans="2:12" x14ac:dyDescent="0.3">
      <c r="B136" s="44">
        <v>46060</v>
      </c>
      <c r="C136" s="3" t="s">
        <v>416</v>
      </c>
      <c r="D136" s="3" t="s">
        <v>56</v>
      </c>
      <c r="E136" s="101"/>
      <c r="F136" s="106" t="s">
        <v>252</v>
      </c>
      <c r="G136" s="106">
        <v>3070204</v>
      </c>
      <c r="H136" s="4" t="s">
        <v>441</v>
      </c>
      <c r="I136" s="4">
        <v>3023409</v>
      </c>
      <c r="J136" s="4"/>
      <c r="L136" s="4"/>
    </row>
    <row r="137" spans="2:12" x14ac:dyDescent="0.3">
      <c r="B137" s="4"/>
      <c r="E137" s="101"/>
      <c r="G137" s="3"/>
      <c r="H137" s="3"/>
      <c r="I137" s="3"/>
    </row>
    <row r="138" spans="2:12" x14ac:dyDescent="0.3">
      <c r="B138" s="44">
        <v>46074</v>
      </c>
      <c r="C138" s="3" t="s">
        <v>416</v>
      </c>
      <c r="D138" s="3" t="s">
        <v>56</v>
      </c>
      <c r="E138" s="101"/>
      <c r="F138" s="3" t="s">
        <v>254</v>
      </c>
      <c r="G138" s="4">
        <v>3068908</v>
      </c>
      <c r="H138" s="4" t="s">
        <v>248</v>
      </c>
      <c r="I138" s="4">
        <v>3207609</v>
      </c>
    </row>
    <row r="139" spans="2:12" x14ac:dyDescent="0.3">
      <c r="B139" s="44">
        <v>46074</v>
      </c>
      <c r="C139" s="3" t="s">
        <v>416</v>
      </c>
      <c r="D139" s="3" t="s">
        <v>56</v>
      </c>
      <c r="E139" s="101"/>
      <c r="F139" s="3" t="s">
        <v>251</v>
      </c>
      <c r="G139" s="4">
        <v>3036704</v>
      </c>
      <c r="H139" s="106" t="s">
        <v>252</v>
      </c>
      <c r="I139" s="106">
        <v>3070204</v>
      </c>
    </row>
    <row r="140" spans="2:12" x14ac:dyDescent="0.3">
      <c r="B140" s="44">
        <v>46074</v>
      </c>
      <c r="C140" s="3" t="s">
        <v>416</v>
      </c>
      <c r="D140" s="3" t="s">
        <v>56</v>
      </c>
      <c r="E140" s="101"/>
      <c r="F140" s="73" t="s">
        <v>247</v>
      </c>
      <c r="G140" s="4">
        <v>3034102</v>
      </c>
      <c r="H140" s="3" t="s">
        <v>250</v>
      </c>
      <c r="I140" s="4">
        <v>3070100</v>
      </c>
    </row>
    <row r="141" spans="2:12" x14ac:dyDescent="0.3">
      <c r="B141" s="44">
        <v>46074</v>
      </c>
      <c r="C141" s="3" t="s">
        <v>416</v>
      </c>
      <c r="D141" s="3" t="s">
        <v>56</v>
      </c>
      <c r="E141" s="101"/>
      <c r="F141" s="4" t="s">
        <v>261</v>
      </c>
      <c r="G141" s="4">
        <v>3202302</v>
      </c>
      <c r="H141" s="4" t="s">
        <v>264</v>
      </c>
      <c r="I141" s="4">
        <v>3055603</v>
      </c>
    </row>
    <row r="142" spans="2:12" x14ac:dyDescent="0.3">
      <c r="B142" s="44">
        <v>46074</v>
      </c>
      <c r="C142" s="3" t="s">
        <v>416</v>
      </c>
      <c r="D142" s="3" t="s">
        <v>56</v>
      </c>
      <c r="E142" s="101"/>
      <c r="F142" s="4" t="s">
        <v>439</v>
      </c>
      <c r="G142" s="4">
        <v>3023701</v>
      </c>
      <c r="H142" s="73" t="s">
        <v>253</v>
      </c>
      <c r="I142" s="4">
        <v>3037109</v>
      </c>
    </row>
    <row r="143" spans="2:12" x14ac:dyDescent="0.3">
      <c r="B143" s="44">
        <v>46074</v>
      </c>
      <c r="C143" s="3" t="s">
        <v>416</v>
      </c>
      <c r="D143" s="3" t="s">
        <v>56</v>
      </c>
      <c r="E143" s="101"/>
      <c r="F143" s="4" t="s">
        <v>441</v>
      </c>
      <c r="G143" s="4">
        <v>3023409</v>
      </c>
      <c r="H143" s="3" t="s">
        <v>256</v>
      </c>
      <c r="I143" s="4">
        <v>3068700</v>
      </c>
    </row>
    <row r="144" spans="2:12" x14ac:dyDescent="0.3">
      <c r="B144" s="4"/>
      <c r="E144" s="101"/>
      <c r="G144" s="3"/>
      <c r="H144" s="3"/>
      <c r="I144" s="3"/>
    </row>
    <row r="145" spans="2:14" x14ac:dyDescent="0.3">
      <c r="B145" s="44">
        <v>46081</v>
      </c>
      <c r="C145" s="3" t="s">
        <v>416</v>
      </c>
      <c r="D145" s="3" t="s">
        <v>56</v>
      </c>
      <c r="E145" s="101"/>
      <c r="F145" s="73" t="s">
        <v>253</v>
      </c>
      <c r="G145" s="4">
        <v>3037109</v>
      </c>
      <c r="H145" s="4" t="s">
        <v>441</v>
      </c>
      <c r="I145" s="4">
        <v>3023409</v>
      </c>
    </row>
    <row r="146" spans="2:14" x14ac:dyDescent="0.3">
      <c r="B146" s="44">
        <v>46081</v>
      </c>
      <c r="C146" s="3" t="s">
        <v>416</v>
      </c>
      <c r="D146" s="3" t="s">
        <v>56</v>
      </c>
      <c r="E146" s="101"/>
      <c r="F146" s="4" t="s">
        <v>264</v>
      </c>
      <c r="G146" s="4">
        <v>3055603</v>
      </c>
      <c r="H146" s="4" t="s">
        <v>439</v>
      </c>
      <c r="I146" s="4">
        <v>3023701</v>
      </c>
    </row>
    <row r="147" spans="2:14" x14ac:dyDescent="0.3">
      <c r="B147" s="44">
        <v>46081</v>
      </c>
      <c r="C147" s="3" t="s">
        <v>416</v>
      </c>
      <c r="D147" s="3" t="s">
        <v>56</v>
      </c>
      <c r="E147" s="101"/>
      <c r="F147" s="4" t="s">
        <v>248</v>
      </c>
      <c r="G147" s="4">
        <v>3207609</v>
      </c>
      <c r="H147" s="4" t="s">
        <v>261</v>
      </c>
      <c r="I147" s="4">
        <v>3202302</v>
      </c>
    </row>
    <row r="148" spans="2:14" x14ac:dyDescent="0.3">
      <c r="B148" s="44">
        <v>46081</v>
      </c>
      <c r="C148" s="3" t="s">
        <v>416</v>
      </c>
      <c r="D148" s="3" t="s">
        <v>56</v>
      </c>
      <c r="E148" s="101"/>
      <c r="F148" s="3" t="s">
        <v>256</v>
      </c>
      <c r="G148" s="4">
        <v>3068700</v>
      </c>
      <c r="H148" s="3" t="s">
        <v>251</v>
      </c>
      <c r="I148" s="4">
        <v>3036704</v>
      </c>
    </row>
    <row r="149" spans="2:14" x14ac:dyDescent="0.3">
      <c r="B149" s="44">
        <v>46081</v>
      </c>
      <c r="C149" s="3" t="s">
        <v>416</v>
      </c>
      <c r="D149" s="3" t="s">
        <v>56</v>
      </c>
      <c r="E149" s="101"/>
      <c r="F149" s="3" t="s">
        <v>250</v>
      </c>
      <c r="G149" s="4">
        <v>3070100</v>
      </c>
      <c r="H149" s="3" t="s">
        <v>254</v>
      </c>
      <c r="I149" s="4">
        <v>3068908</v>
      </c>
    </row>
    <row r="150" spans="2:14" x14ac:dyDescent="0.3">
      <c r="B150" s="44">
        <v>46081</v>
      </c>
      <c r="C150" s="3" t="s">
        <v>416</v>
      </c>
      <c r="D150" s="3" t="s">
        <v>56</v>
      </c>
      <c r="E150" s="101"/>
      <c r="F150" s="106" t="s">
        <v>252</v>
      </c>
      <c r="G150" s="106">
        <v>3070204</v>
      </c>
      <c r="H150" s="73" t="s">
        <v>247</v>
      </c>
      <c r="I150" s="4">
        <v>3034102</v>
      </c>
    </row>
    <row r="151" spans="2:14" x14ac:dyDescent="0.3">
      <c r="B151" s="4"/>
      <c r="E151" s="101"/>
      <c r="G151" s="3"/>
      <c r="H151" s="3"/>
      <c r="I151" s="3"/>
    </row>
    <row r="152" spans="2:14" x14ac:dyDescent="0.3">
      <c r="B152" s="44">
        <v>46088</v>
      </c>
      <c r="C152" s="3" t="s">
        <v>416</v>
      </c>
      <c r="D152" s="3" t="s">
        <v>56</v>
      </c>
      <c r="E152" s="101"/>
      <c r="F152" s="3" t="s">
        <v>254</v>
      </c>
      <c r="G152" s="4">
        <v>3068908</v>
      </c>
      <c r="H152" s="4" t="s">
        <v>261</v>
      </c>
      <c r="I152" s="4">
        <v>3202302</v>
      </c>
    </row>
    <row r="153" spans="2:14" x14ac:dyDescent="0.3">
      <c r="B153" s="44">
        <v>46088</v>
      </c>
      <c r="C153" s="3" t="s">
        <v>416</v>
      </c>
      <c r="D153" s="3" t="s">
        <v>56</v>
      </c>
      <c r="E153" s="101"/>
      <c r="F153" s="3" t="s">
        <v>251</v>
      </c>
      <c r="G153" s="4">
        <v>3036704</v>
      </c>
      <c r="H153" s="73" t="s">
        <v>253</v>
      </c>
      <c r="I153" s="4">
        <v>3037109</v>
      </c>
    </row>
    <row r="154" spans="2:14" x14ac:dyDescent="0.3">
      <c r="B154" s="44">
        <v>46088</v>
      </c>
      <c r="C154" s="3" t="s">
        <v>416</v>
      </c>
      <c r="D154" s="3" t="s">
        <v>56</v>
      </c>
      <c r="E154" s="101"/>
      <c r="F154" s="73" t="s">
        <v>247</v>
      </c>
      <c r="G154" s="4">
        <v>3034102</v>
      </c>
      <c r="H154" s="3" t="s">
        <v>256</v>
      </c>
      <c r="I154" s="4">
        <v>3068700</v>
      </c>
    </row>
    <row r="155" spans="2:14" x14ac:dyDescent="0.3">
      <c r="B155" s="44">
        <v>46088</v>
      </c>
      <c r="C155" s="3" t="s">
        <v>416</v>
      </c>
      <c r="D155" s="3" t="s">
        <v>56</v>
      </c>
      <c r="E155" s="101"/>
      <c r="F155" s="4" t="s">
        <v>439</v>
      </c>
      <c r="G155" s="4">
        <v>3023701</v>
      </c>
      <c r="H155" s="4" t="s">
        <v>248</v>
      </c>
      <c r="I155" s="4">
        <v>3207609</v>
      </c>
    </row>
    <row r="156" spans="2:14" x14ac:dyDescent="0.3">
      <c r="B156" s="44">
        <v>46088</v>
      </c>
      <c r="C156" s="3" t="s">
        <v>416</v>
      </c>
      <c r="D156" s="3" t="s">
        <v>56</v>
      </c>
      <c r="E156" s="101"/>
      <c r="F156" s="4" t="s">
        <v>441</v>
      </c>
      <c r="G156" s="4">
        <v>3023409</v>
      </c>
      <c r="H156" s="4" t="s">
        <v>264</v>
      </c>
      <c r="I156" s="4">
        <v>3055603</v>
      </c>
    </row>
    <row r="157" spans="2:14" x14ac:dyDescent="0.3">
      <c r="B157" s="44">
        <v>46088</v>
      </c>
      <c r="C157" s="3" t="s">
        <v>416</v>
      </c>
      <c r="D157" s="3" t="s">
        <v>56</v>
      </c>
      <c r="E157" s="101"/>
      <c r="F157" s="3" t="s">
        <v>250</v>
      </c>
      <c r="G157" s="4">
        <v>3070100</v>
      </c>
      <c r="H157" s="106" t="s">
        <v>252</v>
      </c>
      <c r="I157" s="106">
        <v>3070204</v>
      </c>
    </row>
    <row r="158" spans="2:14" x14ac:dyDescent="0.3">
      <c r="B158" s="4"/>
      <c r="E158" s="101"/>
      <c r="G158" s="3"/>
      <c r="H158" s="3"/>
      <c r="I158" s="3"/>
    </row>
    <row r="159" spans="2:14" x14ac:dyDescent="0.3">
      <c r="B159" s="44">
        <v>46095</v>
      </c>
      <c r="C159" s="3" t="s">
        <v>416</v>
      </c>
      <c r="D159" s="3" t="s">
        <v>56</v>
      </c>
      <c r="E159" s="101"/>
      <c r="F159" s="73" t="s">
        <v>253</v>
      </c>
      <c r="G159" s="4">
        <v>3037109</v>
      </c>
      <c r="H159" s="73" t="s">
        <v>247</v>
      </c>
      <c r="I159" s="4">
        <v>3034102</v>
      </c>
      <c r="L159" s="15"/>
      <c r="M159" s="4"/>
      <c r="N159" s="4"/>
    </row>
    <row r="160" spans="2:14" x14ac:dyDescent="0.3">
      <c r="B160" s="44">
        <v>46095</v>
      </c>
      <c r="C160" s="3" t="s">
        <v>416</v>
      </c>
      <c r="D160" s="3" t="s">
        <v>56</v>
      </c>
      <c r="E160" s="101"/>
      <c r="F160" s="4" t="s">
        <v>264</v>
      </c>
      <c r="G160" s="4">
        <v>3055603</v>
      </c>
      <c r="H160" s="3" t="s">
        <v>251</v>
      </c>
      <c r="I160" s="4">
        <v>3036704</v>
      </c>
      <c r="L160" s="4"/>
      <c r="M160" s="32"/>
      <c r="N160" s="32"/>
    </row>
    <row r="161" spans="2:14" x14ac:dyDescent="0.3">
      <c r="B161" s="44">
        <v>46095</v>
      </c>
      <c r="C161" s="3" t="s">
        <v>416</v>
      </c>
      <c r="D161" s="3" t="s">
        <v>56</v>
      </c>
      <c r="E161" s="101"/>
      <c r="F161" s="4" t="s">
        <v>248</v>
      </c>
      <c r="G161" s="4">
        <v>3207609</v>
      </c>
      <c r="H161" s="4" t="s">
        <v>441</v>
      </c>
      <c r="I161" s="4">
        <v>3023409</v>
      </c>
      <c r="L161" s="15"/>
      <c r="M161" s="4"/>
      <c r="N161" s="4"/>
    </row>
    <row r="162" spans="2:14" x14ac:dyDescent="0.3">
      <c r="B162" s="44">
        <v>46095</v>
      </c>
      <c r="C162" s="3" t="s">
        <v>416</v>
      </c>
      <c r="D162" s="3" t="s">
        <v>56</v>
      </c>
      <c r="E162" s="101"/>
      <c r="F162" s="4" t="s">
        <v>261</v>
      </c>
      <c r="G162" s="4">
        <v>3202302</v>
      </c>
      <c r="H162" s="4" t="s">
        <v>439</v>
      </c>
      <c r="I162" s="4">
        <v>3023701</v>
      </c>
      <c r="L162" s="4"/>
      <c r="M162" s="32"/>
      <c r="N162" s="15"/>
    </row>
    <row r="163" spans="2:14" x14ac:dyDescent="0.3">
      <c r="B163" s="44">
        <v>46095</v>
      </c>
      <c r="C163" s="3" t="s">
        <v>416</v>
      </c>
      <c r="D163" s="3" t="s">
        <v>56</v>
      </c>
      <c r="E163" s="101"/>
      <c r="F163" s="3" t="s">
        <v>256</v>
      </c>
      <c r="G163" s="4">
        <v>3068700</v>
      </c>
      <c r="H163" s="3" t="s">
        <v>250</v>
      </c>
      <c r="I163" s="4">
        <v>3070100</v>
      </c>
      <c r="L163" s="4"/>
      <c r="M163" s="4"/>
      <c r="N163" s="4"/>
    </row>
    <row r="164" spans="2:14" x14ac:dyDescent="0.3">
      <c r="B164" s="44">
        <v>46095</v>
      </c>
      <c r="C164" s="3" t="s">
        <v>416</v>
      </c>
      <c r="D164" s="3" t="s">
        <v>56</v>
      </c>
      <c r="E164" s="101"/>
      <c r="F164" s="106" t="s">
        <v>252</v>
      </c>
      <c r="G164" s="106">
        <v>3070204</v>
      </c>
      <c r="H164" s="3" t="s">
        <v>254</v>
      </c>
      <c r="I164" s="4">
        <v>3068908</v>
      </c>
      <c r="L164" s="4"/>
      <c r="M164" s="4"/>
      <c r="N164" s="4"/>
    </row>
    <row r="165" spans="2:14" x14ac:dyDescent="0.3">
      <c r="B165" s="4"/>
      <c r="E165" s="101"/>
      <c r="G165" s="3"/>
      <c r="H165" s="3"/>
      <c r="I165" s="3"/>
    </row>
    <row r="166" spans="2:14" x14ac:dyDescent="0.3">
      <c r="B166" s="44">
        <v>46102</v>
      </c>
      <c r="C166" s="3" t="s">
        <v>416</v>
      </c>
      <c r="D166" s="3" t="s">
        <v>56</v>
      </c>
      <c r="E166" s="101"/>
      <c r="F166" s="3" t="s">
        <v>254</v>
      </c>
      <c r="G166" s="4">
        <v>3068908</v>
      </c>
      <c r="H166" s="4" t="s">
        <v>439</v>
      </c>
      <c r="I166" s="4">
        <v>3023701</v>
      </c>
    </row>
    <row r="167" spans="2:14" x14ac:dyDescent="0.3">
      <c r="B167" s="44">
        <v>46102</v>
      </c>
      <c r="C167" s="3" t="s">
        <v>416</v>
      </c>
      <c r="D167" s="3" t="s">
        <v>56</v>
      </c>
      <c r="E167" s="101"/>
      <c r="F167" s="3" t="s">
        <v>251</v>
      </c>
      <c r="G167" s="4">
        <v>3036704</v>
      </c>
      <c r="H167" s="4" t="s">
        <v>248</v>
      </c>
      <c r="I167" s="4">
        <v>3207609</v>
      </c>
    </row>
    <row r="168" spans="2:14" x14ac:dyDescent="0.3">
      <c r="B168" s="44">
        <v>46102</v>
      </c>
      <c r="C168" s="3" t="s">
        <v>416</v>
      </c>
      <c r="D168" s="3" t="s">
        <v>56</v>
      </c>
      <c r="E168" s="101"/>
      <c r="F168" s="73" t="s">
        <v>247</v>
      </c>
      <c r="G168" s="4">
        <v>3034102</v>
      </c>
      <c r="H168" s="4" t="s">
        <v>264</v>
      </c>
      <c r="I168" s="4">
        <v>3055603</v>
      </c>
    </row>
    <row r="169" spans="2:14" x14ac:dyDescent="0.3">
      <c r="B169" s="44">
        <v>46102</v>
      </c>
      <c r="C169" s="3" t="s">
        <v>416</v>
      </c>
      <c r="D169" s="3" t="s">
        <v>56</v>
      </c>
      <c r="E169" s="101"/>
      <c r="F169" s="4" t="s">
        <v>441</v>
      </c>
      <c r="G169" s="4">
        <v>3023409</v>
      </c>
      <c r="H169" s="4" t="s">
        <v>261</v>
      </c>
      <c r="I169" s="4">
        <v>3202302</v>
      </c>
    </row>
    <row r="170" spans="2:14" x14ac:dyDescent="0.3">
      <c r="B170" s="44">
        <v>46102</v>
      </c>
      <c r="C170" s="3" t="s">
        <v>416</v>
      </c>
      <c r="D170" s="3" t="s">
        <v>56</v>
      </c>
      <c r="E170" s="101"/>
      <c r="F170" s="3" t="s">
        <v>250</v>
      </c>
      <c r="G170" s="4">
        <v>3070100</v>
      </c>
      <c r="H170" s="73" t="s">
        <v>253</v>
      </c>
      <c r="I170" s="4">
        <v>3037109</v>
      </c>
    </row>
    <row r="171" spans="2:14" x14ac:dyDescent="0.3">
      <c r="B171" s="44">
        <v>46102</v>
      </c>
      <c r="C171" s="3" t="s">
        <v>416</v>
      </c>
      <c r="D171" s="3" t="s">
        <v>56</v>
      </c>
      <c r="E171" s="101"/>
      <c r="F171" s="106" t="s">
        <v>252</v>
      </c>
      <c r="G171" s="106">
        <v>3070204</v>
      </c>
      <c r="H171" s="3" t="s">
        <v>256</v>
      </c>
      <c r="I171" s="4">
        <v>3068700</v>
      </c>
    </row>
    <row r="172" spans="2:14" x14ac:dyDescent="0.3">
      <c r="B172" s="4"/>
      <c r="E172" s="101"/>
      <c r="G172" s="3"/>
      <c r="H172" s="3"/>
      <c r="I172" s="3"/>
    </row>
    <row r="173" spans="2:14" x14ac:dyDescent="0.3">
      <c r="B173" s="44">
        <v>46109</v>
      </c>
      <c r="C173" s="3" t="s">
        <v>416</v>
      </c>
      <c r="D173" s="3" t="s">
        <v>56</v>
      </c>
      <c r="E173" s="101"/>
      <c r="F173" s="73" t="s">
        <v>253</v>
      </c>
      <c r="G173" s="4">
        <v>3037109</v>
      </c>
      <c r="H173" s="106" t="s">
        <v>252</v>
      </c>
      <c r="I173" s="106">
        <v>3070204</v>
      </c>
      <c r="J173" s="73"/>
    </row>
    <row r="174" spans="2:14" x14ac:dyDescent="0.3">
      <c r="B174" s="44">
        <v>46109</v>
      </c>
      <c r="C174" s="3" t="s">
        <v>416</v>
      </c>
      <c r="D174" s="3" t="s">
        <v>56</v>
      </c>
      <c r="E174" s="101"/>
      <c r="F174" s="4" t="s">
        <v>264</v>
      </c>
      <c r="G174" s="4">
        <v>3055603</v>
      </c>
      <c r="H174" s="3" t="s">
        <v>250</v>
      </c>
      <c r="I174" s="4">
        <v>3070100</v>
      </c>
    </row>
    <row r="175" spans="2:14" x14ac:dyDescent="0.3">
      <c r="B175" s="44">
        <v>46109</v>
      </c>
      <c r="C175" s="3" t="s">
        <v>416</v>
      </c>
      <c r="D175" s="3" t="s">
        <v>56</v>
      </c>
      <c r="E175" s="101"/>
      <c r="F175" s="4" t="s">
        <v>248</v>
      </c>
      <c r="G175" s="4">
        <v>3207609</v>
      </c>
      <c r="H175" s="73" t="s">
        <v>247</v>
      </c>
      <c r="I175" s="4">
        <v>3034102</v>
      </c>
    </row>
    <row r="176" spans="2:14" x14ac:dyDescent="0.3">
      <c r="B176" s="44">
        <v>46109</v>
      </c>
      <c r="C176" s="3" t="s">
        <v>416</v>
      </c>
      <c r="D176" s="3" t="s">
        <v>56</v>
      </c>
      <c r="E176" s="101"/>
      <c r="F176" s="4" t="s">
        <v>261</v>
      </c>
      <c r="G176" s="4">
        <v>3202302</v>
      </c>
      <c r="H176" s="3" t="s">
        <v>251</v>
      </c>
      <c r="I176" s="4">
        <v>3036704</v>
      </c>
    </row>
    <row r="177" spans="2:9" x14ac:dyDescent="0.3">
      <c r="B177" s="44">
        <v>46109</v>
      </c>
      <c r="C177" s="3" t="s">
        <v>416</v>
      </c>
      <c r="D177" s="3" t="s">
        <v>56</v>
      </c>
      <c r="E177" s="101"/>
      <c r="F177" s="4" t="s">
        <v>439</v>
      </c>
      <c r="G177" s="4">
        <v>3023701</v>
      </c>
      <c r="H177" s="4" t="s">
        <v>441</v>
      </c>
      <c r="I177" s="4">
        <v>3023409</v>
      </c>
    </row>
    <row r="178" spans="2:9" x14ac:dyDescent="0.3">
      <c r="B178" s="44">
        <v>46109</v>
      </c>
      <c r="C178" s="3" t="s">
        <v>416</v>
      </c>
      <c r="D178" s="3" t="s">
        <v>56</v>
      </c>
      <c r="E178" s="101"/>
      <c r="F178" s="3" t="s">
        <v>256</v>
      </c>
      <c r="G178" s="4">
        <v>3068700</v>
      </c>
      <c r="H178" s="3" t="s">
        <v>254</v>
      </c>
      <c r="I178" s="4">
        <v>3068908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F1:I25 H26:I26 F27:I28 F29:G29 F30:I32 F33:G33 F34:I34 H35:I35 F36:I40 F41:G41 F42:I44 F45:G45 F46:I46 H47:I47 F48:I48 H49:I49 F50:I53 F54:G54 F55:I56 F57:G57 F58:I60 H61:I61 F62:I64 F65:G65 F66:I69 H70:I70 F71:I72 F73:G73 F74:I74 H75:I75 F76:I78 F79:G79 F80:I83 F85:I88 H89:I89 F90:G90 F91:I97 H98:I98 F99:I100 F101:G101 F102:I104 H105:I105 F106:G106 F107:I109 H110:I110 F111:I113 F114:G114 F115:I116 H117:I117 F118:I118 H119:I119 F120:I124 F125:G126 F127:I130 H131:I131 F132:I132 H133:I133 F134:I139 H140:I140 F141:I141 F142:G142 F143:I144 H145:I145 F146:I149 F150:G150 F151:I152 F153:G153 H154:I154 F155:I158 F160:I167 H168:I168 F169:I169 F170:G170 F171:I172 H173:I173 F174:I174 F175:G175 F176:I1048576">
    <cfRule type="containsText" dxfId="5228" priority="1" operator="containsText" text="Chester 1">
      <formula>NOT(ISERROR(SEARCH("Chester 1",F1)))</formula>
    </cfRule>
  </conditionalFormatting>
  <conditionalFormatting sqref="H26:I26 F27:G27 F28:I28 F29:G29 F30:I32 F33:G33 F34:I34 H35:I35 F36:I37 H38:I38 F39:I40 F41:G41 F42:I42 F43:G43 F44:I44 F45:G45 F46:I46 H47:I47 F48:I48 H49:I49 F50:I51 H52:I52 F53:I53 F54:G54 F55:I56 F57:G57 F58:I58 F59:G59 F60:I60 H61:I61 F62:I64 F65:G65 H66:I66 F67:I69 F71:I72 F73:G73 F74:I74 H75:I75 F76:I78 F79:G79 H80:I80 F81:I81 F82:G82 F83:I83 F85:I88 H89:I89 F90:G90 F91:I93 F94:G94 F95:I97 H98:I98 F99:I100 F102:I104 H105:I105 F106:G106 F107:I107 H108:I108 F109:I109 H110:I110 F111:I111 F112:G112 F113:I113 F114:G114 F115:I116 H117:I117 F118:I118 H119:I119 F120:I121 H122:I122 F123:I124 F125:G126 F127:I127 F128:G128 F129:I130 H131:I131 F132:I132 H133:I133 F134:I135 H136:I136 F137:I138 F139:G139 H140:I140 F141:I141 F142:G142 F143:I144 H145:I145 F146:I149 F151:I152 F153:G153 H154:I154 F155:I156 F157:G157 F158:I158 F160:I163 H164:I164 F165:I167 H168:I168 F169:I169 F170:G170 H171:I171 F172:I172 F174:I174 F175:G175 F176:I178">
    <cfRule type="containsText" dxfId="5227" priority="5" operator="containsText" text="Code">
      <formula>NOT(ISERROR(SEARCH("Code",F26)))</formula>
    </cfRule>
    <cfRule type="containsText" dxfId="5226" priority="6" operator="containsText" text="c'[Fixtures All.xlsx]Women Filtered'!$F$2">
      <formula>NOT(ISERROR(SEARCH("c'[Fixtures All.xlsx]Women Filtered'!$F$2",F26)))</formula>
    </cfRule>
  </conditionalFormatting>
  <conditionalFormatting sqref="I10:L21">
    <cfRule type="cellIs" dxfId="5225" priority="2" operator="lessThan">
      <formula>5</formula>
    </cfRule>
    <cfRule type="cellIs" dxfId="5224" priority="3" operator="greaterThan">
      <formula>6</formula>
    </cfRule>
  </conditionalFormatting>
  <conditionalFormatting sqref="J10:J21">
    <cfRule type="containsText" dxfId="5223" priority="4" operator="containsText" text="c'[Fixtures All.xlsx]Women Filtered'!$F$2">
      <formula>NOT(ISERROR(SEARCH("c'[Fixtures All.xlsx]Women Filtered'!$F$2",J10)))</formula>
    </cfRule>
  </conditionalFormatting>
  <conditionalFormatting sqref="K9">
    <cfRule type="containsText" dxfId="5222" priority="12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5221" priority="11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AFF8DC87-F1E3-4380-8A68-D77EA584BA01}"/>
    <hyperlink ref="K5:K6" location="'All Fixtures'!A1" display="See all NW Fixtures" xr:uid="{68A061A4-C2E7-4CFE-AD07-2EDDBAE530E2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3185A-918C-4DDC-B814-5E6EEEA0682E}">
  <dimension ref="A2:Y178"/>
  <sheetViews>
    <sheetView zoomScaleNormal="100" workbookViewId="0"/>
  </sheetViews>
  <sheetFormatPr defaultRowHeight="14.4" x14ac:dyDescent="0.3"/>
  <cols>
    <col min="1" max="1" width="3.5546875" style="47" customWidth="1"/>
    <col min="2" max="2" width="31.5546875" style="3" customWidth="1"/>
    <col min="3" max="3" width="27.6640625" style="3" customWidth="1"/>
    <col min="4" max="4" width="28.77734375" style="3" customWidth="1"/>
    <col min="5" max="5" width="14.109375" style="3" customWidth="1"/>
    <col min="6" max="6" width="31.5546875" style="3" customWidth="1"/>
    <col min="7" max="7" width="9.44140625" style="4" customWidth="1"/>
    <col min="8" max="8" width="32.44140625" style="3" customWidth="1"/>
    <col min="9" max="9" width="8.88671875" style="3" customWidth="1"/>
    <col min="10" max="10" width="6" style="3" customWidth="1"/>
    <col min="11" max="11" width="17.77734375" style="51" customWidth="1"/>
    <col min="12" max="12" width="3.5546875" style="3" customWidth="1"/>
    <col min="13" max="25" width="8.88671875" style="3"/>
  </cols>
  <sheetData>
    <row r="2" spans="1:25" ht="15" thickBot="1" x14ac:dyDescent="0.35"/>
    <row r="3" spans="1:25" ht="37.200000000000003" thickBot="1" x14ac:dyDescent="0.75">
      <c r="E3" s="16" t="s">
        <v>57</v>
      </c>
      <c r="I3" s="16"/>
      <c r="K3" s="45" t="s">
        <v>86</v>
      </c>
    </row>
    <row r="4" spans="1:25" ht="15" customHeight="1" thickBot="1" x14ac:dyDescent="0.35"/>
    <row r="5" spans="1:25" ht="15" customHeight="1" x14ac:dyDescent="0.3">
      <c r="K5" s="185" t="s">
        <v>417</v>
      </c>
    </row>
    <row r="6" spans="1:25" ht="15" customHeight="1" thickBot="1" x14ac:dyDescent="0.35">
      <c r="K6" s="186"/>
    </row>
    <row r="7" spans="1:25" ht="15" customHeight="1" x14ac:dyDescent="0.3"/>
    <row r="8" spans="1:25" ht="15" customHeight="1" x14ac:dyDescent="0.7">
      <c r="B8" s="16"/>
    </row>
    <row r="9" spans="1:25" s="76" customFormat="1" ht="15" customHeight="1" x14ac:dyDescent="0.4">
      <c r="A9" s="59"/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J9" s="3"/>
      <c r="K9" s="77" t="s">
        <v>558</v>
      </c>
      <c r="L9" s="3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</row>
    <row r="10" spans="1:25" ht="15" customHeight="1" x14ac:dyDescent="0.3">
      <c r="A10" s="47">
        <f>COUNTIF(F$26:H$178,"Carlisle 1 (W)")</f>
        <v>22</v>
      </c>
      <c r="B10" s="73" t="s">
        <v>257</v>
      </c>
      <c r="C10" s="15">
        <v>3209805</v>
      </c>
      <c r="D10" s="57">
        <f>COUNTIF(F$26:I$178,"3209805")</f>
        <v>22</v>
      </c>
      <c r="F10" s="57">
        <f>COUNTIF(F$26:F$178,"Carlisle 1 (W)")</f>
        <v>11</v>
      </c>
      <c r="G10" s="57"/>
      <c r="H10" s="57">
        <f>COUNTIF(H$26:H$178,"Carlisle 1 (W)")</f>
        <v>11</v>
      </c>
      <c r="I10" s="57">
        <f>COUNTIF(F$26:F$101,"Carlisle 1 (W)")</f>
        <v>5</v>
      </c>
      <c r="J10" s="57">
        <f>COUNTIF(F$102:F$178,"Carlisle 1 (W)")</f>
        <v>6</v>
      </c>
      <c r="K10" s="57">
        <f>COUNTIF(H$26:H$101,"Carlisle 1 (W)")</f>
        <v>6</v>
      </c>
      <c r="L10" s="57">
        <f>COUNTIF(H$102:H$178,"Carlisle 1 (W)")</f>
        <v>5</v>
      </c>
    </row>
    <row r="11" spans="1:25" ht="15" customHeight="1" x14ac:dyDescent="0.3">
      <c r="A11" s="47">
        <f>COUNTIF(F$26:H$178,"Clitheroe Blackburn Northern 1 (W)")</f>
        <v>22</v>
      </c>
      <c r="B11" s="73" t="s">
        <v>266</v>
      </c>
      <c r="C11" s="106">
        <v>3208306</v>
      </c>
      <c r="D11" s="57">
        <f>COUNTIF(F$26:I$178,"3208306")</f>
        <v>22</v>
      </c>
      <c r="F11" s="57">
        <f>COUNTIF(F$26:F$178,"Clitheroe Blackburn Northern 1 (W)")</f>
        <v>11</v>
      </c>
      <c r="G11" s="57"/>
      <c r="H11" s="57">
        <f>COUNTIF(H$26:H$178,"Clitheroe Blackburn Northern 1 (W)")</f>
        <v>11</v>
      </c>
      <c r="I11" s="57">
        <f>COUNTIF(F$26:F$101,"Clitheroe Blackburn Northern 1 (W)")</f>
        <v>6</v>
      </c>
      <c r="J11" s="57">
        <f>COUNTIF(F$102:F$178,"Clitheroe Blackburn Northern 1 (W)")</f>
        <v>5</v>
      </c>
      <c r="K11" s="57">
        <f>COUNTIF(H$26:H$101,"Clitheroe Blackburn Northern 1 (W)")</f>
        <v>5</v>
      </c>
      <c r="L11" s="57">
        <f>COUNTIF(H$102:H$178,"Clitheroe Blackburn Northern 1 (W)")</f>
        <v>6</v>
      </c>
    </row>
    <row r="12" spans="1:25" ht="15" customHeight="1" x14ac:dyDescent="0.3">
      <c r="A12" s="47">
        <f>COUNTIF(F$26:H$178,"Didsbury Greys 1 (W)")</f>
        <v>22</v>
      </c>
      <c r="B12" s="73" t="s">
        <v>258</v>
      </c>
      <c r="C12" s="15">
        <v>3207109</v>
      </c>
      <c r="D12" s="57">
        <f>COUNTIF(F$26:I$178,"3207109")</f>
        <v>22</v>
      </c>
      <c r="F12" s="57">
        <f>COUNTIF(F$26:F$178,"Didsbury Greys 1 (W)")</f>
        <v>11</v>
      </c>
      <c r="G12" s="57"/>
      <c r="H12" s="57">
        <f>COUNTIF(H$26:H$178,"Didsbury Greys 1 (W)")</f>
        <v>11</v>
      </c>
      <c r="I12" s="57">
        <f>COUNTIF(F$26:F$101,"Didsbury Greys 1 (W)")</f>
        <v>5</v>
      </c>
      <c r="J12" s="57">
        <f>COUNTIF(F$102:F$178,"Didsbury Greys 1 (W)")</f>
        <v>6</v>
      </c>
      <c r="K12" s="57">
        <f>COUNTIF(H$26:H$101,"Didsbury Greys 1 (W)")</f>
        <v>6</v>
      </c>
      <c r="L12" s="57">
        <f>COUNTIF(H$102:H$178,"Didsbury Greys 1 (W)")</f>
        <v>5</v>
      </c>
    </row>
    <row r="13" spans="1:25" ht="15" customHeight="1" x14ac:dyDescent="0.3">
      <c r="A13" s="47">
        <f>COUNTIF(F$26:H$178,"Didsbury Northern 2 (W)")</f>
        <v>22</v>
      </c>
      <c r="B13" s="32" t="s">
        <v>249</v>
      </c>
      <c r="C13" s="15">
        <v>3038202</v>
      </c>
      <c r="D13" s="57">
        <f>COUNTIF(F$26:I$178,"3038202")</f>
        <v>22</v>
      </c>
      <c r="F13" s="57">
        <f>COUNTIF(F$26:F$178,"Didsbury Northern 2 (W)")</f>
        <v>11</v>
      </c>
      <c r="G13" s="57"/>
      <c r="H13" s="57">
        <f>COUNTIF(H$26:H$178,"Didsbury Northern 2 (W)")</f>
        <v>11</v>
      </c>
      <c r="I13" s="57">
        <f>COUNTIF(F$26:F$101,"Didsbury Northern 2 (W)")</f>
        <v>6</v>
      </c>
      <c r="J13" s="57">
        <f>COUNTIF(F$102:F$178,"Didsbury Northern 2 (W)")</f>
        <v>5</v>
      </c>
      <c r="K13" s="57">
        <f>COUNTIF(H$26:H$101,"Didsbury Northern 2 (W)")</f>
        <v>5</v>
      </c>
      <c r="L13" s="57">
        <f>COUNTIF(H$102:H$178,"Didsbury Northern 2 (W)")</f>
        <v>6</v>
      </c>
    </row>
    <row r="14" spans="1:25" ht="15" customHeight="1" x14ac:dyDescent="0.3">
      <c r="A14" s="47">
        <f>COUNTIF(F$26:H$178,"Formby 1 (W)")</f>
        <v>22</v>
      </c>
      <c r="B14" s="73" t="s">
        <v>259</v>
      </c>
      <c r="C14" s="15">
        <v>3205809</v>
      </c>
      <c r="D14" s="57">
        <f>COUNTIF(F$26:I$178,"3205809")</f>
        <v>22</v>
      </c>
      <c r="F14" s="57">
        <f>COUNTIF(F$26:F$178,"Formby 1 (W)")</f>
        <v>11</v>
      </c>
      <c r="G14" s="57"/>
      <c r="H14" s="57">
        <f>COUNTIF(H$26:H$178,"Formby 1 (W)")</f>
        <v>11</v>
      </c>
      <c r="I14" s="57">
        <f>COUNTIF(F$26:F$101,"Formby 1 (W)")</f>
        <v>6</v>
      </c>
      <c r="J14" s="57">
        <f>COUNTIF(F$102:F$178,"Formby 1 (W)")</f>
        <v>5</v>
      </c>
      <c r="K14" s="57">
        <f>COUNTIF(H$26:H$101,"Formby 1 (W)")</f>
        <v>5</v>
      </c>
      <c r="L14" s="57">
        <f>COUNTIF(H$102:H$178,"Formby 1 (W)")</f>
        <v>6</v>
      </c>
    </row>
    <row r="15" spans="1:25" ht="15" customHeight="1" x14ac:dyDescent="0.3">
      <c r="A15" s="47">
        <f>COUNTIF(F$26:H$178,"Fylde 2 (W)")</f>
        <v>22</v>
      </c>
      <c r="B15" s="73" t="s">
        <v>260</v>
      </c>
      <c r="C15" s="15">
        <v>3205705</v>
      </c>
      <c r="D15" s="57">
        <f>COUNTIF(F$26:I$178,"3205705")</f>
        <v>22</v>
      </c>
      <c r="F15" s="57">
        <f>COUNTIF(F$26:F$178,"Fylde 2 (W)")</f>
        <v>11</v>
      </c>
      <c r="G15" s="57"/>
      <c r="H15" s="57">
        <f>COUNTIF(H$26:H$178,"Fylde 2 (W)")</f>
        <v>11</v>
      </c>
      <c r="I15" s="57">
        <f>COUNTIF(F$26:F$101,"Fylde 2 (W)")</f>
        <v>5</v>
      </c>
      <c r="J15" s="57">
        <f>COUNTIF(F$102:F$178,"Fylde 2 (W)")</f>
        <v>6</v>
      </c>
      <c r="K15" s="57">
        <f>COUNTIF(H$26:H$101,"Fylde 2 (W)")</f>
        <v>6</v>
      </c>
      <c r="L15" s="57">
        <f>COUNTIF(H$102:H$178,"Fylde 2 (W)")</f>
        <v>5</v>
      </c>
    </row>
    <row r="16" spans="1:25" ht="15" customHeight="1" x14ac:dyDescent="0.3">
      <c r="A16" s="47">
        <f>COUNTIF(F$26:H$178,"Golborne &amp; Prescot 1 (W)")</f>
        <v>22</v>
      </c>
      <c r="B16" s="53" t="s">
        <v>584</v>
      </c>
      <c r="C16" s="74">
        <v>3069303</v>
      </c>
      <c r="D16" s="57">
        <f>COUNTIF(F$26:I$178,"3069303")</f>
        <v>22</v>
      </c>
      <c r="F16" s="57">
        <f>COUNTIF(F$26:F$178,"Golborne &amp; Prescot 1 (W)")</f>
        <v>11</v>
      </c>
      <c r="G16" s="57"/>
      <c r="H16" s="57">
        <f>COUNTIF(H$26:H$178,"Golborne &amp; Prescot 1 (W)")</f>
        <v>11</v>
      </c>
      <c r="I16" s="57">
        <f>COUNTIF(F$26:F$101,"Golborne &amp; Prescot 1 (W)")</f>
        <v>5</v>
      </c>
      <c r="J16" s="57">
        <f>COUNTIF(F$102:F$178,"Golborne &amp; Prescot 1 (W)")</f>
        <v>6</v>
      </c>
      <c r="K16" s="57">
        <f>COUNTIF(H$26:H$101,"Golborne &amp; Prescot 1 (W)")</f>
        <v>6</v>
      </c>
      <c r="L16" s="57">
        <f>COUNTIF(H$102:H$178,"Golborne &amp; Prescot 1 (W)")</f>
        <v>5</v>
      </c>
    </row>
    <row r="17" spans="1:12" x14ac:dyDescent="0.3">
      <c r="A17" s="47">
        <f>COUNTIF(F$26:H$178,"Lancaster &amp; District 1 (W)")</f>
        <v>22</v>
      </c>
      <c r="B17" s="81" t="s">
        <v>585</v>
      </c>
      <c r="C17" s="97" t="s">
        <v>556</v>
      </c>
      <c r="D17" s="57">
        <f>COUNTIF(F$26:I$178,"Code")</f>
        <v>22</v>
      </c>
      <c r="F17" s="57">
        <f>COUNTIF(F$26:F$178,"Lancaster &amp; District 1 (W)")</f>
        <v>11</v>
      </c>
      <c r="G17" s="57"/>
      <c r="H17" s="57">
        <f>COUNTIF(H$26:H$178,"Lancaster &amp; District 1 (W)")</f>
        <v>11</v>
      </c>
      <c r="I17" s="57">
        <f>COUNTIF(F$26:F$101,"Lancaster &amp; District 1 (W)")</f>
        <v>5</v>
      </c>
      <c r="J17" s="57">
        <f>COUNTIF(F$102:F$178,"Lancaster &amp; District 1 (W)")</f>
        <v>6</v>
      </c>
      <c r="K17" s="57">
        <f>COUNTIF(H$26:H$101,"Lancaster &amp; District 1 (W)")</f>
        <v>6</v>
      </c>
      <c r="L17" s="57">
        <f>COUNTIF(H$102:H$178,"Lancaster &amp; District 1 (W)")</f>
        <v>5</v>
      </c>
    </row>
    <row r="18" spans="1:12" x14ac:dyDescent="0.3">
      <c r="A18" s="47">
        <f>COUNTIF(F$26:H$178,"Lancaster University 1 (W)")</f>
        <v>22</v>
      </c>
      <c r="B18" s="32" t="s">
        <v>268</v>
      </c>
      <c r="C18" s="15">
        <v>3203103</v>
      </c>
      <c r="D18" s="57">
        <f>COUNTIF(F$26:I$178,"3203103")</f>
        <v>22</v>
      </c>
      <c r="F18" s="57">
        <f>COUNTIF(F$26:F$178,"Lancaster University 1 (W)")</f>
        <v>11</v>
      </c>
      <c r="G18" s="57"/>
      <c r="H18" s="57">
        <f>COUNTIF(H$26:H$178,"Lancaster University 1 (W)")</f>
        <v>11</v>
      </c>
      <c r="I18" s="57">
        <f>COUNTIF(F$26:F$101,"Lancaster University 1 (W)")</f>
        <v>6</v>
      </c>
      <c r="J18" s="57">
        <f>COUNTIF(F$102:F$178,"Lancaster University 1 (W)")</f>
        <v>5</v>
      </c>
      <c r="K18" s="57">
        <f>COUNTIF(H$26:H$101,"Lancaster University 1 (W)")</f>
        <v>5</v>
      </c>
      <c r="L18" s="57">
        <f>COUNTIF(H$102:H$178,"Lancaster University 1 (W)")</f>
        <v>6</v>
      </c>
    </row>
    <row r="19" spans="1:12" x14ac:dyDescent="0.3">
      <c r="A19" s="47">
        <f>COUNTIF(F$26:H$178,"Macclesfield 1 (W)")</f>
        <v>22</v>
      </c>
      <c r="B19" s="53" t="s">
        <v>276</v>
      </c>
      <c r="C19" s="53">
        <v>3201709</v>
      </c>
      <c r="D19" s="57">
        <f>COUNTIF(F$26:I$178,"3070204")</f>
        <v>0</v>
      </c>
      <c r="F19" s="57">
        <f>COUNTIF(F$26:F$178,"Macclesfield 1 (W)")</f>
        <v>11</v>
      </c>
      <c r="G19" s="57"/>
      <c r="H19" s="57">
        <f>COUNTIF(H$26:H$178,"Macclesfield 1 (W)")</f>
        <v>11</v>
      </c>
      <c r="I19" s="57">
        <f>COUNTIF(F$26:F$101,"Macclesfield 1 (W)")</f>
        <v>5</v>
      </c>
      <c r="J19" s="57">
        <f>COUNTIF(F$102:F$178,"Macclesfield 1 (W)")</f>
        <v>6</v>
      </c>
      <c r="K19" s="57">
        <f>COUNTIF(H$26:H$101,"Macclesfield 1 (W)")</f>
        <v>6</v>
      </c>
      <c r="L19" s="57">
        <f>COUNTIF(H$102:H$178,"Macclesfield 1 (W)")</f>
        <v>5</v>
      </c>
    </row>
    <row r="20" spans="1:12" x14ac:dyDescent="0.3">
      <c r="A20" s="47">
        <f>COUNTIF(F$26:H$178,"Preston 1 (W)")</f>
        <v>22</v>
      </c>
      <c r="B20" s="73" t="s">
        <v>263</v>
      </c>
      <c r="C20" s="15">
        <v>3198707</v>
      </c>
      <c r="D20" s="57">
        <f>COUNTIF(F$26:I$178,"3198707")</f>
        <v>22</v>
      </c>
      <c r="F20" s="57">
        <f>COUNTIF(F$26:F$178,"Preston 1 (W)")</f>
        <v>11</v>
      </c>
      <c r="G20" s="57"/>
      <c r="H20" s="57">
        <f>COUNTIF(H$26:H$178,"Preston 1 (W)")</f>
        <v>11</v>
      </c>
      <c r="I20" s="57">
        <f>COUNTIF(F$26:F$101,"Preston 1 (W)")</f>
        <v>6</v>
      </c>
      <c r="J20" s="57">
        <f>COUNTIF(F$102:F$178,"Preston 1 (W)")</f>
        <v>5</v>
      </c>
      <c r="K20" s="57">
        <f>COUNTIF(H$26:H$101,"Preston 1 (W)")</f>
        <v>5</v>
      </c>
      <c r="L20" s="57">
        <f>COUNTIF(H$102:H$178,"Preston 1 (W)")</f>
        <v>6</v>
      </c>
    </row>
    <row r="21" spans="1:12" x14ac:dyDescent="0.3">
      <c r="A21" s="47">
        <f>COUNTIF(F$26:H$178,"Winnington Park 1 (W)")</f>
        <v>22</v>
      </c>
      <c r="B21" s="4" t="s">
        <v>282</v>
      </c>
      <c r="C21" s="74">
        <v>3193900</v>
      </c>
      <c r="D21" s="57">
        <f>COUNTIF(F$26:I$178,"3193900")</f>
        <v>22</v>
      </c>
      <c r="F21" s="57">
        <f>COUNTIF(F$26:F$178,"Winnington Park 1 (W)")</f>
        <v>11</v>
      </c>
      <c r="G21" s="57"/>
      <c r="H21" s="57">
        <f>COUNTIF(H$26:H$178,"Winnington Park 1 (W)")</f>
        <v>11</v>
      </c>
      <c r="I21" s="57">
        <f>COUNTIF(F$26:F$101,"Winnington Park 1 (W)")</f>
        <v>6</v>
      </c>
      <c r="J21" s="57">
        <f>COUNTIF(F$102:F$178,"Winnington Park 1 (W)")</f>
        <v>5</v>
      </c>
      <c r="K21" s="57">
        <f>COUNTIF(H$26:H$101,"Winnington Park 1 (W)")</f>
        <v>5</v>
      </c>
      <c r="L21" s="57">
        <f>COUNTIF(H$102:H$178,"Winnington Park 1 (W)")</f>
        <v>6</v>
      </c>
    </row>
    <row r="23" spans="1:12" ht="21" x14ac:dyDescent="0.4">
      <c r="B23" s="22" t="s">
        <v>93</v>
      </c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12" x14ac:dyDescent="0.3">
      <c r="B25" s="40"/>
      <c r="C25" s="14"/>
      <c r="D25" s="14"/>
      <c r="E25" s="14"/>
      <c r="F25" s="14"/>
      <c r="G25" s="14"/>
      <c r="H25" s="13"/>
      <c r="I25" s="14"/>
    </row>
    <row r="26" spans="1:12" x14ac:dyDescent="0.3">
      <c r="B26" s="44">
        <v>45913</v>
      </c>
      <c r="C26" s="3" t="s">
        <v>416</v>
      </c>
      <c r="D26" s="3" t="s">
        <v>57</v>
      </c>
      <c r="E26" s="101"/>
      <c r="F26" s="53" t="s">
        <v>276</v>
      </c>
      <c r="G26" s="74">
        <v>3201709</v>
      </c>
      <c r="H26" s="3" t="s">
        <v>257</v>
      </c>
      <c r="I26" s="4">
        <v>3209805</v>
      </c>
      <c r="J26" s="73"/>
      <c r="K26" s="4"/>
      <c r="L26" s="74"/>
    </row>
    <row r="27" spans="1:12" x14ac:dyDescent="0.3">
      <c r="B27" s="44">
        <v>45913</v>
      </c>
      <c r="C27" s="3" t="s">
        <v>416</v>
      </c>
      <c r="D27" s="3" t="s">
        <v>57</v>
      </c>
      <c r="E27" s="101"/>
      <c r="F27" s="32" t="s">
        <v>268</v>
      </c>
      <c r="G27" s="15">
        <v>3203103</v>
      </c>
      <c r="H27" s="15" t="s">
        <v>585</v>
      </c>
      <c r="I27" s="74" t="s">
        <v>556</v>
      </c>
      <c r="K27" s="4"/>
      <c r="L27" s="15"/>
    </row>
    <row r="28" spans="1:12" x14ac:dyDescent="0.3">
      <c r="B28" s="44">
        <v>45913</v>
      </c>
      <c r="C28" s="3" t="s">
        <v>416</v>
      </c>
      <c r="D28" s="3" t="s">
        <v>57</v>
      </c>
      <c r="E28" s="101"/>
      <c r="F28" s="4" t="s">
        <v>266</v>
      </c>
      <c r="G28" s="4">
        <v>3208306</v>
      </c>
      <c r="H28" s="3" t="s">
        <v>584</v>
      </c>
      <c r="I28" s="4">
        <v>3069303</v>
      </c>
      <c r="K28" s="4"/>
      <c r="L28" s="15"/>
    </row>
    <row r="29" spans="1:12" x14ac:dyDescent="0.3">
      <c r="B29" s="44">
        <v>45913</v>
      </c>
      <c r="C29" s="3" t="s">
        <v>416</v>
      </c>
      <c r="D29" s="3" t="s">
        <v>57</v>
      </c>
      <c r="E29" s="101"/>
      <c r="F29" s="4" t="s">
        <v>282</v>
      </c>
      <c r="G29" s="4">
        <v>3193900</v>
      </c>
      <c r="H29" s="3" t="s">
        <v>258</v>
      </c>
      <c r="I29" s="4">
        <v>3207109</v>
      </c>
      <c r="J29" s="73"/>
      <c r="K29" s="4"/>
      <c r="L29" s="74"/>
    </row>
    <row r="30" spans="1:12" x14ac:dyDescent="0.3">
      <c r="B30" s="44">
        <v>45913</v>
      </c>
      <c r="C30" s="3" t="s">
        <v>416</v>
      </c>
      <c r="D30" s="3" t="s">
        <v>57</v>
      </c>
      <c r="E30" s="101"/>
      <c r="F30" s="32" t="s">
        <v>249</v>
      </c>
      <c r="G30" s="15">
        <v>3038202</v>
      </c>
      <c r="H30" s="73" t="s">
        <v>260</v>
      </c>
      <c r="I30" s="15">
        <v>3205705</v>
      </c>
      <c r="K30" s="4"/>
      <c r="L30" s="15"/>
    </row>
    <row r="31" spans="1:12" x14ac:dyDescent="0.3">
      <c r="B31" s="44">
        <v>45913</v>
      </c>
      <c r="C31" s="3" t="s">
        <v>416</v>
      </c>
      <c r="D31" s="3" t="s">
        <v>57</v>
      </c>
      <c r="E31" s="101"/>
      <c r="F31" s="4" t="s">
        <v>259</v>
      </c>
      <c r="G31" s="4">
        <v>3205809</v>
      </c>
      <c r="H31" s="3" t="s">
        <v>263</v>
      </c>
      <c r="I31" s="4">
        <v>3198707</v>
      </c>
      <c r="K31" s="4"/>
      <c r="L31" s="74"/>
    </row>
    <row r="32" spans="1:12" x14ac:dyDescent="0.3">
      <c r="B32" s="4"/>
      <c r="E32" s="101"/>
      <c r="F32" s="4"/>
      <c r="G32" s="3"/>
      <c r="K32" s="4"/>
      <c r="L32" s="4"/>
    </row>
    <row r="33" spans="2:12" x14ac:dyDescent="0.3">
      <c r="B33" s="44">
        <v>45920</v>
      </c>
      <c r="C33" s="3" t="s">
        <v>416</v>
      </c>
      <c r="D33" s="3" t="s">
        <v>57</v>
      </c>
      <c r="E33" s="101"/>
      <c r="F33" s="3" t="s">
        <v>263</v>
      </c>
      <c r="G33" s="4">
        <v>3198707</v>
      </c>
      <c r="H33" s="74" t="s">
        <v>276</v>
      </c>
      <c r="I33" s="74">
        <v>3201709</v>
      </c>
      <c r="K33" s="4"/>
      <c r="L33" s="15"/>
    </row>
    <row r="34" spans="2:12" x14ac:dyDescent="0.3">
      <c r="B34" s="44">
        <v>45920</v>
      </c>
      <c r="C34" s="3" t="s">
        <v>416</v>
      </c>
      <c r="D34" s="3" t="s">
        <v>57</v>
      </c>
      <c r="E34" s="101"/>
      <c r="F34" s="73" t="s">
        <v>260</v>
      </c>
      <c r="G34" s="15">
        <v>3205705</v>
      </c>
      <c r="H34" s="4" t="s">
        <v>259</v>
      </c>
      <c r="I34" s="4">
        <v>3205809</v>
      </c>
      <c r="J34" s="4"/>
      <c r="K34" s="4"/>
      <c r="L34" s="15"/>
    </row>
    <row r="35" spans="2:12" x14ac:dyDescent="0.3">
      <c r="B35" s="44">
        <v>45920</v>
      </c>
      <c r="C35" s="3" t="s">
        <v>416</v>
      </c>
      <c r="D35" s="3" t="s">
        <v>57</v>
      </c>
      <c r="E35" s="101"/>
      <c r="F35" s="3" t="s">
        <v>258</v>
      </c>
      <c r="G35" s="4">
        <v>3207109</v>
      </c>
      <c r="H35" s="32" t="s">
        <v>249</v>
      </c>
      <c r="I35" s="15">
        <v>3038202</v>
      </c>
      <c r="K35" s="4"/>
      <c r="L35" s="15"/>
    </row>
    <row r="36" spans="2:12" x14ac:dyDescent="0.3">
      <c r="B36" s="44">
        <v>45920</v>
      </c>
      <c r="C36" s="3" t="s">
        <v>416</v>
      </c>
      <c r="D36" s="3" t="s">
        <v>57</v>
      </c>
      <c r="E36" s="101"/>
      <c r="F36" s="3" t="s">
        <v>257</v>
      </c>
      <c r="G36" s="4">
        <v>3209805</v>
      </c>
      <c r="H36" s="32" t="s">
        <v>268</v>
      </c>
      <c r="I36" s="15">
        <v>3203103</v>
      </c>
      <c r="K36" s="4"/>
      <c r="L36" s="74"/>
    </row>
    <row r="37" spans="2:12" x14ac:dyDescent="0.3">
      <c r="B37" s="44">
        <v>45920</v>
      </c>
      <c r="C37" s="3" t="s">
        <v>416</v>
      </c>
      <c r="D37" s="3" t="s">
        <v>57</v>
      </c>
      <c r="E37" s="101"/>
      <c r="F37" s="3" t="s">
        <v>584</v>
      </c>
      <c r="G37" s="4">
        <v>3069303</v>
      </c>
      <c r="H37" s="4" t="s">
        <v>282</v>
      </c>
      <c r="I37" s="4">
        <v>3193900</v>
      </c>
      <c r="K37" s="4"/>
      <c r="L37" s="15"/>
    </row>
    <row r="38" spans="2:12" x14ac:dyDescent="0.3">
      <c r="B38" s="44">
        <v>45920</v>
      </c>
      <c r="C38" s="3" t="s">
        <v>416</v>
      </c>
      <c r="D38" s="3" t="s">
        <v>57</v>
      </c>
      <c r="E38" s="101"/>
      <c r="F38" s="81" t="s">
        <v>585</v>
      </c>
      <c r="G38" s="74" t="s">
        <v>556</v>
      </c>
      <c r="H38" s="4" t="s">
        <v>266</v>
      </c>
      <c r="I38" s="4">
        <v>3208306</v>
      </c>
      <c r="K38" s="4"/>
      <c r="L38" s="15"/>
    </row>
    <row r="39" spans="2:12" x14ac:dyDescent="0.3">
      <c r="B39" s="4"/>
      <c r="E39" s="101"/>
      <c r="F39" s="4"/>
      <c r="G39" s="3"/>
      <c r="K39" s="4"/>
      <c r="L39" s="4"/>
    </row>
    <row r="40" spans="2:12" x14ac:dyDescent="0.3">
      <c r="B40" s="44">
        <v>45927</v>
      </c>
      <c r="C40" s="3" t="s">
        <v>416</v>
      </c>
      <c r="D40" s="3" t="s">
        <v>57</v>
      </c>
      <c r="E40" s="101"/>
      <c r="F40" s="3" t="s">
        <v>263</v>
      </c>
      <c r="G40" s="4">
        <v>3198707</v>
      </c>
      <c r="H40" s="73" t="s">
        <v>260</v>
      </c>
      <c r="I40" s="15">
        <v>3205705</v>
      </c>
      <c r="K40" s="4"/>
      <c r="L40" s="74"/>
    </row>
    <row r="41" spans="2:12" x14ac:dyDescent="0.3">
      <c r="B41" s="44">
        <v>45927</v>
      </c>
      <c r="C41" s="3" t="s">
        <v>416</v>
      </c>
      <c r="D41" s="3" t="s">
        <v>57</v>
      </c>
      <c r="E41" s="101"/>
      <c r="F41" s="32" t="s">
        <v>268</v>
      </c>
      <c r="G41" s="15">
        <v>3203103</v>
      </c>
      <c r="H41" s="74" t="s">
        <v>276</v>
      </c>
      <c r="I41" s="74">
        <v>3201709</v>
      </c>
      <c r="K41" s="4"/>
      <c r="L41" s="15"/>
    </row>
    <row r="42" spans="2:12" x14ac:dyDescent="0.3">
      <c r="B42" s="44">
        <v>45927</v>
      </c>
      <c r="C42" s="3" t="s">
        <v>416</v>
      </c>
      <c r="D42" s="3" t="s">
        <v>57</v>
      </c>
      <c r="E42" s="101"/>
      <c r="F42" s="4" t="s">
        <v>266</v>
      </c>
      <c r="G42" s="4">
        <v>3208306</v>
      </c>
      <c r="H42" s="3" t="s">
        <v>257</v>
      </c>
      <c r="I42" s="4">
        <v>3209805</v>
      </c>
      <c r="K42" s="4"/>
      <c r="L42" s="15"/>
    </row>
    <row r="43" spans="2:12" x14ac:dyDescent="0.3">
      <c r="B43" s="44">
        <v>45927</v>
      </c>
      <c r="C43" s="3" t="s">
        <v>416</v>
      </c>
      <c r="D43" s="3" t="s">
        <v>57</v>
      </c>
      <c r="E43" s="101"/>
      <c r="F43" s="4" t="s">
        <v>282</v>
      </c>
      <c r="G43" s="4">
        <v>3193900</v>
      </c>
      <c r="H43" s="15" t="s">
        <v>585</v>
      </c>
      <c r="I43" s="74" t="s">
        <v>556</v>
      </c>
      <c r="K43" s="4"/>
      <c r="L43" s="15"/>
    </row>
    <row r="44" spans="2:12" x14ac:dyDescent="0.3">
      <c r="B44" s="44">
        <v>45927</v>
      </c>
      <c r="C44" s="3" t="s">
        <v>416</v>
      </c>
      <c r="D44" s="3" t="s">
        <v>57</v>
      </c>
      <c r="E44" s="101"/>
      <c r="F44" s="32" t="s">
        <v>249</v>
      </c>
      <c r="G44" s="15">
        <v>3038202</v>
      </c>
      <c r="H44" s="3" t="s">
        <v>584</v>
      </c>
      <c r="I44" s="4">
        <v>3069303</v>
      </c>
      <c r="J44" s="73"/>
      <c r="K44" s="4"/>
      <c r="L44" s="15"/>
    </row>
    <row r="45" spans="2:12" x14ac:dyDescent="0.3">
      <c r="B45" s="44">
        <v>45927</v>
      </c>
      <c r="C45" s="3" t="s">
        <v>416</v>
      </c>
      <c r="D45" s="3" t="s">
        <v>57</v>
      </c>
      <c r="E45" s="101"/>
      <c r="F45" s="4" t="s">
        <v>259</v>
      </c>
      <c r="G45" s="4">
        <v>3205809</v>
      </c>
      <c r="H45" s="3" t="s">
        <v>258</v>
      </c>
      <c r="I45" s="4">
        <v>3207109</v>
      </c>
      <c r="K45" s="4"/>
      <c r="L45" s="74"/>
    </row>
    <row r="46" spans="2:12" x14ac:dyDescent="0.3">
      <c r="B46" s="4"/>
      <c r="E46" s="101"/>
      <c r="F46" s="4"/>
      <c r="G46" s="3"/>
      <c r="K46" s="4"/>
      <c r="L46" s="4"/>
    </row>
    <row r="47" spans="2:12" x14ac:dyDescent="0.3">
      <c r="B47" s="44">
        <v>45934</v>
      </c>
      <c r="C47" s="3" t="s">
        <v>416</v>
      </c>
      <c r="D47" s="3" t="s">
        <v>57</v>
      </c>
      <c r="E47" s="101"/>
      <c r="F47" s="53" t="s">
        <v>276</v>
      </c>
      <c r="G47" s="74">
        <v>3201709</v>
      </c>
      <c r="H47" s="4" t="s">
        <v>266</v>
      </c>
      <c r="I47" s="4">
        <v>3208306</v>
      </c>
      <c r="K47" s="4"/>
      <c r="L47" s="15"/>
    </row>
    <row r="48" spans="2:12" x14ac:dyDescent="0.3">
      <c r="B48" s="44">
        <v>45934</v>
      </c>
      <c r="C48" s="3" t="s">
        <v>416</v>
      </c>
      <c r="D48" s="3" t="s">
        <v>57</v>
      </c>
      <c r="E48" s="101"/>
      <c r="F48" s="32" t="s">
        <v>268</v>
      </c>
      <c r="G48" s="15">
        <v>3203103</v>
      </c>
      <c r="H48" s="3" t="s">
        <v>263</v>
      </c>
      <c r="I48" s="4">
        <v>3198707</v>
      </c>
      <c r="J48" s="73"/>
      <c r="K48" s="4"/>
      <c r="L48" s="15"/>
    </row>
    <row r="49" spans="2:12" x14ac:dyDescent="0.3">
      <c r="B49" s="44">
        <v>45934</v>
      </c>
      <c r="C49" s="3" t="s">
        <v>416</v>
      </c>
      <c r="D49" s="3" t="s">
        <v>57</v>
      </c>
      <c r="E49" s="101"/>
      <c r="F49" s="3" t="s">
        <v>258</v>
      </c>
      <c r="G49" s="4">
        <v>3207109</v>
      </c>
      <c r="H49" s="73" t="s">
        <v>260</v>
      </c>
      <c r="I49" s="15">
        <v>3205705</v>
      </c>
      <c r="K49" s="4"/>
      <c r="L49" s="15"/>
    </row>
    <row r="50" spans="2:12" x14ac:dyDescent="0.3">
      <c r="B50" s="44">
        <v>45934</v>
      </c>
      <c r="C50" s="3" t="s">
        <v>416</v>
      </c>
      <c r="D50" s="3" t="s">
        <v>57</v>
      </c>
      <c r="E50" s="101"/>
      <c r="F50" s="3" t="s">
        <v>257</v>
      </c>
      <c r="G50" s="4">
        <v>3209805</v>
      </c>
      <c r="H50" s="4" t="s">
        <v>282</v>
      </c>
      <c r="I50" s="4">
        <v>3193900</v>
      </c>
      <c r="K50" s="4"/>
      <c r="L50" s="15"/>
    </row>
    <row r="51" spans="2:12" x14ac:dyDescent="0.3">
      <c r="B51" s="44">
        <v>45934</v>
      </c>
      <c r="C51" s="3" t="s">
        <v>416</v>
      </c>
      <c r="D51" s="3" t="s">
        <v>57</v>
      </c>
      <c r="E51" s="101"/>
      <c r="F51" s="3" t="s">
        <v>584</v>
      </c>
      <c r="G51" s="4">
        <v>3069303</v>
      </c>
      <c r="H51" s="4" t="s">
        <v>259</v>
      </c>
      <c r="I51" s="4">
        <v>3205809</v>
      </c>
      <c r="K51" s="4"/>
      <c r="L51" s="15"/>
    </row>
    <row r="52" spans="2:12" x14ac:dyDescent="0.3">
      <c r="B52" s="44">
        <v>45934</v>
      </c>
      <c r="C52" s="3" t="s">
        <v>416</v>
      </c>
      <c r="D52" s="3" t="s">
        <v>57</v>
      </c>
      <c r="E52" s="101"/>
      <c r="F52" s="81" t="s">
        <v>585</v>
      </c>
      <c r="G52" s="74" t="s">
        <v>556</v>
      </c>
      <c r="H52" s="32" t="s">
        <v>249</v>
      </c>
      <c r="I52" s="15">
        <v>3038202</v>
      </c>
      <c r="K52" s="4"/>
      <c r="L52" s="15"/>
    </row>
    <row r="53" spans="2:12" x14ac:dyDescent="0.3">
      <c r="B53" s="4"/>
      <c r="E53" s="101"/>
      <c r="F53" s="4"/>
      <c r="G53" s="3"/>
      <c r="K53" s="4"/>
      <c r="L53" s="4"/>
    </row>
    <row r="54" spans="2:12" x14ac:dyDescent="0.3">
      <c r="B54" s="44">
        <v>45941</v>
      </c>
      <c r="C54" s="3" t="s">
        <v>416</v>
      </c>
      <c r="D54" s="3" t="s">
        <v>57</v>
      </c>
      <c r="E54" s="101"/>
      <c r="F54" s="3" t="s">
        <v>263</v>
      </c>
      <c r="G54" s="4">
        <v>3198707</v>
      </c>
      <c r="H54" s="3" t="s">
        <v>258</v>
      </c>
      <c r="I54" s="4">
        <v>3207109</v>
      </c>
      <c r="K54" s="4"/>
      <c r="L54" s="74"/>
    </row>
    <row r="55" spans="2:12" x14ac:dyDescent="0.3">
      <c r="B55" s="44">
        <v>45941</v>
      </c>
      <c r="C55" s="3" t="s">
        <v>416</v>
      </c>
      <c r="D55" s="3" t="s">
        <v>57</v>
      </c>
      <c r="E55" s="101"/>
      <c r="F55" s="73" t="s">
        <v>260</v>
      </c>
      <c r="G55" s="15">
        <v>3205705</v>
      </c>
      <c r="H55" s="3" t="s">
        <v>584</v>
      </c>
      <c r="I55" s="4">
        <v>3069303</v>
      </c>
      <c r="K55" s="4"/>
      <c r="L55" s="15"/>
    </row>
    <row r="56" spans="2:12" x14ac:dyDescent="0.3">
      <c r="B56" s="44">
        <v>45941</v>
      </c>
      <c r="C56" s="3" t="s">
        <v>416</v>
      </c>
      <c r="D56" s="3" t="s">
        <v>57</v>
      </c>
      <c r="E56" s="101"/>
      <c r="F56" s="4" t="s">
        <v>266</v>
      </c>
      <c r="G56" s="4">
        <v>3208306</v>
      </c>
      <c r="H56" s="32" t="s">
        <v>268</v>
      </c>
      <c r="I56" s="15">
        <v>3203103</v>
      </c>
      <c r="K56" s="4"/>
      <c r="L56" s="15"/>
    </row>
    <row r="57" spans="2:12" x14ac:dyDescent="0.3">
      <c r="B57" s="44">
        <v>45941</v>
      </c>
      <c r="C57" s="3" t="s">
        <v>416</v>
      </c>
      <c r="D57" s="3" t="s">
        <v>57</v>
      </c>
      <c r="E57" s="101"/>
      <c r="F57" s="4" t="s">
        <v>282</v>
      </c>
      <c r="G57" s="4">
        <v>3193900</v>
      </c>
      <c r="H57" s="74" t="s">
        <v>276</v>
      </c>
      <c r="I57" s="74">
        <v>3201709</v>
      </c>
      <c r="K57" s="4"/>
      <c r="L57" s="15"/>
    </row>
    <row r="58" spans="2:12" x14ac:dyDescent="0.3">
      <c r="B58" s="44">
        <v>45941</v>
      </c>
      <c r="C58" s="3" t="s">
        <v>416</v>
      </c>
      <c r="D58" s="3" t="s">
        <v>57</v>
      </c>
      <c r="E58" s="101"/>
      <c r="F58" s="32" t="s">
        <v>249</v>
      </c>
      <c r="G58" s="15">
        <v>3038202</v>
      </c>
      <c r="H58" s="3" t="s">
        <v>257</v>
      </c>
      <c r="I58" s="4">
        <v>3209805</v>
      </c>
      <c r="K58" s="4"/>
      <c r="L58" s="15"/>
    </row>
    <row r="59" spans="2:12" x14ac:dyDescent="0.3">
      <c r="B59" s="44">
        <v>45941</v>
      </c>
      <c r="C59" s="3" t="s">
        <v>416</v>
      </c>
      <c r="D59" s="3" t="s">
        <v>57</v>
      </c>
      <c r="E59" s="101"/>
      <c r="F59" s="4" t="s">
        <v>259</v>
      </c>
      <c r="G59" s="4">
        <v>3205809</v>
      </c>
      <c r="H59" s="15" t="s">
        <v>585</v>
      </c>
      <c r="I59" s="74" t="s">
        <v>556</v>
      </c>
      <c r="K59" s="4"/>
      <c r="L59" s="74"/>
    </row>
    <row r="60" spans="2:12" x14ac:dyDescent="0.3">
      <c r="B60" s="4"/>
      <c r="E60" s="101"/>
      <c r="F60" s="4"/>
      <c r="G60" s="3"/>
      <c r="K60" s="4"/>
      <c r="L60" s="4"/>
    </row>
    <row r="61" spans="2:12" x14ac:dyDescent="0.3">
      <c r="B61" s="44">
        <v>45948</v>
      </c>
      <c r="C61" s="3" t="s">
        <v>416</v>
      </c>
      <c r="D61" s="3" t="s">
        <v>57</v>
      </c>
      <c r="E61" s="101"/>
      <c r="F61" s="53" t="s">
        <v>276</v>
      </c>
      <c r="G61" s="74">
        <v>3201709</v>
      </c>
      <c r="H61" s="32" t="s">
        <v>249</v>
      </c>
      <c r="I61" s="15">
        <v>3038202</v>
      </c>
      <c r="K61" s="4"/>
      <c r="L61" s="15"/>
    </row>
    <row r="62" spans="2:12" x14ac:dyDescent="0.3">
      <c r="B62" s="44">
        <v>45948</v>
      </c>
      <c r="C62" s="3" t="s">
        <v>416</v>
      </c>
      <c r="D62" s="3" t="s">
        <v>57</v>
      </c>
      <c r="E62" s="101"/>
      <c r="F62" s="32" t="s">
        <v>268</v>
      </c>
      <c r="G62" s="15">
        <v>3203103</v>
      </c>
      <c r="H62" s="4" t="s">
        <v>282</v>
      </c>
      <c r="I62" s="4">
        <v>3193900</v>
      </c>
      <c r="K62" s="4"/>
      <c r="L62" s="15"/>
    </row>
    <row r="63" spans="2:12" x14ac:dyDescent="0.3">
      <c r="B63" s="44">
        <v>45948</v>
      </c>
      <c r="C63" s="3" t="s">
        <v>416</v>
      </c>
      <c r="D63" s="3" t="s">
        <v>57</v>
      </c>
      <c r="E63" s="101"/>
      <c r="F63" s="4" t="s">
        <v>266</v>
      </c>
      <c r="G63" s="4">
        <v>3208306</v>
      </c>
      <c r="H63" s="3" t="s">
        <v>263</v>
      </c>
      <c r="I63" s="4">
        <v>3198707</v>
      </c>
      <c r="K63" s="4"/>
      <c r="L63" s="15"/>
    </row>
    <row r="64" spans="2:12" x14ac:dyDescent="0.3">
      <c r="B64" s="44">
        <v>45948</v>
      </c>
      <c r="C64" s="3" t="s">
        <v>416</v>
      </c>
      <c r="D64" s="3" t="s">
        <v>57</v>
      </c>
      <c r="E64" s="101"/>
      <c r="F64" s="3" t="s">
        <v>257</v>
      </c>
      <c r="G64" s="4">
        <v>3209805</v>
      </c>
      <c r="H64" s="4" t="s">
        <v>259</v>
      </c>
      <c r="I64" s="4">
        <v>3205809</v>
      </c>
      <c r="K64" s="4"/>
      <c r="L64" s="15"/>
    </row>
    <row r="65" spans="2:12" x14ac:dyDescent="0.3">
      <c r="B65" s="44">
        <v>45948</v>
      </c>
      <c r="C65" s="3" t="s">
        <v>416</v>
      </c>
      <c r="D65" s="3" t="s">
        <v>57</v>
      </c>
      <c r="E65" s="101"/>
      <c r="F65" s="3" t="s">
        <v>584</v>
      </c>
      <c r="G65" s="4">
        <v>3069303</v>
      </c>
      <c r="H65" s="3" t="s">
        <v>258</v>
      </c>
      <c r="I65" s="4">
        <v>3207109</v>
      </c>
      <c r="K65" s="4"/>
      <c r="L65" s="15"/>
    </row>
    <row r="66" spans="2:12" x14ac:dyDescent="0.3">
      <c r="B66" s="44">
        <v>45948</v>
      </c>
      <c r="C66" s="3" t="s">
        <v>416</v>
      </c>
      <c r="D66" s="3" t="s">
        <v>57</v>
      </c>
      <c r="E66" s="101"/>
      <c r="F66" s="81" t="s">
        <v>585</v>
      </c>
      <c r="G66" s="74" t="s">
        <v>556</v>
      </c>
      <c r="H66" s="73" t="s">
        <v>260</v>
      </c>
      <c r="I66" s="15">
        <v>3205705</v>
      </c>
      <c r="K66" s="4"/>
      <c r="L66" s="74"/>
    </row>
    <row r="67" spans="2:12" x14ac:dyDescent="0.3">
      <c r="B67" s="4"/>
      <c r="E67" s="101"/>
      <c r="F67" s="4"/>
      <c r="G67" s="3"/>
      <c r="K67" s="4"/>
      <c r="L67" s="4"/>
    </row>
    <row r="68" spans="2:12" x14ac:dyDescent="0.3">
      <c r="B68" s="44">
        <v>45962</v>
      </c>
      <c r="C68" s="3" t="s">
        <v>416</v>
      </c>
      <c r="D68" s="3" t="s">
        <v>57</v>
      </c>
      <c r="E68" s="101"/>
      <c r="F68" s="3" t="s">
        <v>263</v>
      </c>
      <c r="G68" s="4">
        <v>3198707</v>
      </c>
      <c r="H68" s="3" t="s">
        <v>584</v>
      </c>
      <c r="I68" s="4">
        <v>3069303</v>
      </c>
      <c r="K68" s="4"/>
      <c r="L68" s="74"/>
    </row>
    <row r="69" spans="2:12" x14ac:dyDescent="0.3">
      <c r="B69" s="44">
        <v>45962</v>
      </c>
      <c r="C69" s="3" t="s">
        <v>416</v>
      </c>
      <c r="D69" s="3" t="s">
        <v>57</v>
      </c>
      <c r="E69" s="101"/>
      <c r="F69" s="73" t="s">
        <v>260</v>
      </c>
      <c r="G69" s="15">
        <v>3205705</v>
      </c>
      <c r="H69" s="3" t="s">
        <v>257</v>
      </c>
      <c r="I69" s="4">
        <v>3209805</v>
      </c>
      <c r="K69" s="4"/>
      <c r="L69" s="15"/>
    </row>
    <row r="70" spans="2:12" x14ac:dyDescent="0.3">
      <c r="B70" s="44">
        <v>45962</v>
      </c>
      <c r="C70" s="3" t="s">
        <v>416</v>
      </c>
      <c r="D70" s="3" t="s">
        <v>57</v>
      </c>
      <c r="E70" s="101"/>
      <c r="F70" s="3" t="s">
        <v>258</v>
      </c>
      <c r="G70" s="4">
        <v>3207109</v>
      </c>
      <c r="H70" s="15" t="s">
        <v>585</v>
      </c>
      <c r="I70" s="74" t="s">
        <v>556</v>
      </c>
      <c r="K70" s="4"/>
      <c r="L70" s="15"/>
    </row>
    <row r="71" spans="2:12" x14ac:dyDescent="0.3">
      <c r="B71" s="44">
        <v>45962</v>
      </c>
      <c r="C71" s="3" t="s">
        <v>416</v>
      </c>
      <c r="D71" s="3" t="s">
        <v>57</v>
      </c>
      <c r="E71" s="101"/>
      <c r="F71" s="4" t="s">
        <v>282</v>
      </c>
      <c r="G71" s="4">
        <v>3193900</v>
      </c>
      <c r="H71" s="4" t="s">
        <v>266</v>
      </c>
      <c r="I71" s="4">
        <v>3208306</v>
      </c>
      <c r="K71" s="4"/>
      <c r="L71" s="15"/>
    </row>
    <row r="72" spans="2:12" x14ac:dyDescent="0.3">
      <c r="B72" s="44">
        <v>45962</v>
      </c>
      <c r="C72" s="3" t="s">
        <v>416</v>
      </c>
      <c r="D72" s="3" t="s">
        <v>57</v>
      </c>
      <c r="E72" s="101"/>
      <c r="F72" s="32" t="s">
        <v>249</v>
      </c>
      <c r="G72" s="15">
        <v>3038202</v>
      </c>
      <c r="H72" s="32" t="s">
        <v>268</v>
      </c>
      <c r="I72" s="15">
        <v>3203103</v>
      </c>
      <c r="K72" s="4"/>
      <c r="L72" s="74"/>
    </row>
    <row r="73" spans="2:12" x14ac:dyDescent="0.3">
      <c r="B73" s="44">
        <v>45962</v>
      </c>
      <c r="C73" s="3" t="s">
        <v>416</v>
      </c>
      <c r="D73" s="3" t="s">
        <v>57</v>
      </c>
      <c r="E73" s="101"/>
      <c r="F73" s="4" t="s">
        <v>259</v>
      </c>
      <c r="G73" s="4">
        <v>3205809</v>
      </c>
      <c r="H73" s="74" t="s">
        <v>276</v>
      </c>
      <c r="I73" s="74">
        <v>3201709</v>
      </c>
      <c r="K73" s="4"/>
      <c r="L73" s="74"/>
    </row>
    <row r="74" spans="2:12" x14ac:dyDescent="0.3">
      <c r="B74" s="4"/>
      <c r="E74" s="101"/>
      <c r="F74" s="4"/>
      <c r="G74" s="3"/>
      <c r="K74" s="4"/>
      <c r="L74" s="4"/>
    </row>
    <row r="75" spans="2:12" x14ac:dyDescent="0.3">
      <c r="B75" s="44">
        <v>45969</v>
      </c>
      <c r="C75" s="3" t="s">
        <v>416</v>
      </c>
      <c r="D75" s="3" t="s">
        <v>57</v>
      </c>
      <c r="E75" s="101"/>
      <c r="F75" s="53" t="s">
        <v>276</v>
      </c>
      <c r="G75" s="74">
        <v>3201709</v>
      </c>
      <c r="H75" s="73" t="s">
        <v>260</v>
      </c>
      <c r="I75" s="15">
        <v>3205705</v>
      </c>
      <c r="J75" s="73"/>
      <c r="K75" s="4"/>
      <c r="L75" s="15"/>
    </row>
    <row r="76" spans="2:12" x14ac:dyDescent="0.3">
      <c r="B76" s="44">
        <v>45969</v>
      </c>
      <c r="C76" s="3" t="s">
        <v>416</v>
      </c>
      <c r="D76" s="3" t="s">
        <v>57</v>
      </c>
      <c r="E76" s="101"/>
      <c r="F76" s="32" t="s">
        <v>268</v>
      </c>
      <c r="G76" s="15">
        <v>3203103</v>
      </c>
      <c r="H76" s="4" t="s">
        <v>259</v>
      </c>
      <c r="I76" s="4">
        <v>3205809</v>
      </c>
      <c r="K76" s="4"/>
      <c r="L76" s="15"/>
    </row>
    <row r="77" spans="2:12" x14ac:dyDescent="0.3">
      <c r="B77" s="44">
        <v>45969</v>
      </c>
      <c r="C77" s="3" t="s">
        <v>416</v>
      </c>
      <c r="D77" s="3" t="s">
        <v>57</v>
      </c>
      <c r="E77" s="101"/>
      <c r="F77" s="4" t="s">
        <v>266</v>
      </c>
      <c r="G77" s="4">
        <v>3208306</v>
      </c>
      <c r="H77" s="32" t="s">
        <v>249</v>
      </c>
      <c r="I77" s="15">
        <v>3038202</v>
      </c>
      <c r="K77" s="4"/>
      <c r="L77" s="15"/>
    </row>
    <row r="78" spans="2:12" x14ac:dyDescent="0.3">
      <c r="B78" s="44">
        <v>45969</v>
      </c>
      <c r="C78" s="3" t="s">
        <v>416</v>
      </c>
      <c r="D78" s="3" t="s">
        <v>57</v>
      </c>
      <c r="E78" s="101"/>
      <c r="F78" s="4" t="s">
        <v>282</v>
      </c>
      <c r="G78" s="4">
        <v>3193900</v>
      </c>
      <c r="H78" s="3" t="s">
        <v>263</v>
      </c>
      <c r="I78" s="4">
        <v>3198707</v>
      </c>
      <c r="J78" s="73"/>
      <c r="K78" s="4"/>
      <c r="L78" s="15"/>
    </row>
    <row r="79" spans="2:12" x14ac:dyDescent="0.3">
      <c r="B79" s="44">
        <v>45969</v>
      </c>
      <c r="C79" s="3" t="s">
        <v>416</v>
      </c>
      <c r="D79" s="3" t="s">
        <v>57</v>
      </c>
      <c r="E79" s="101"/>
      <c r="F79" s="3" t="s">
        <v>257</v>
      </c>
      <c r="G79" s="4">
        <v>3209805</v>
      </c>
      <c r="H79" s="3" t="s">
        <v>258</v>
      </c>
      <c r="I79" s="4">
        <v>3207109</v>
      </c>
      <c r="K79" s="4"/>
      <c r="L79" s="15"/>
    </row>
    <row r="80" spans="2:12" x14ac:dyDescent="0.3">
      <c r="B80" s="44">
        <v>45969</v>
      </c>
      <c r="C80" s="3" t="s">
        <v>416</v>
      </c>
      <c r="D80" s="3" t="s">
        <v>57</v>
      </c>
      <c r="E80" s="101"/>
      <c r="F80" s="81" t="s">
        <v>585</v>
      </c>
      <c r="G80" s="74" t="s">
        <v>556</v>
      </c>
      <c r="H80" s="3" t="s">
        <v>584</v>
      </c>
      <c r="I80" s="4">
        <v>3069303</v>
      </c>
      <c r="K80" s="4"/>
      <c r="L80" s="15"/>
    </row>
    <row r="81" spans="2:12" x14ac:dyDescent="0.3">
      <c r="B81" s="4"/>
      <c r="E81" s="101"/>
      <c r="F81" s="4"/>
      <c r="G81" s="3"/>
      <c r="K81" s="4"/>
      <c r="L81" s="4"/>
    </row>
    <row r="82" spans="2:12" x14ac:dyDescent="0.3">
      <c r="B82" s="44">
        <v>45976</v>
      </c>
      <c r="C82" s="3" t="s">
        <v>416</v>
      </c>
      <c r="D82" s="3" t="s">
        <v>57</v>
      </c>
      <c r="E82" s="101"/>
      <c r="F82" s="3" t="s">
        <v>263</v>
      </c>
      <c r="G82" s="4">
        <v>3198707</v>
      </c>
      <c r="H82" s="15" t="s">
        <v>585</v>
      </c>
      <c r="I82" s="74" t="s">
        <v>556</v>
      </c>
      <c r="K82" s="4"/>
      <c r="L82" s="15"/>
    </row>
    <row r="83" spans="2:12" x14ac:dyDescent="0.3">
      <c r="B83" s="44">
        <v>45976</v>
      </c>
      <c r="C83" s="3" t="s">
        <v>416</v>
      </c>
      <c r="D83" s="3" t="s">
        <v>57</v>
      </c>
      <c r="E83" s="101"/>
      <c r="F83" s="73" t="s">
        <v>260</v>
      </c>
      <c r="G83" s="15">
        <v>3205705</v>
      </c>
      <c r="H83" s="32" t="s">
        <v>268</v>
      </c>
      <c r="I83" s="15">
        <v>3203103</v>
      </c>
      <c r="J83" s="73"/>
      <c r="K83" s="4"/>
      <c r="L83" s="15"/>
    </row>
    <row r="84" spans="2:12" x14ac:dyDescent="0.3">
      <c r="B84" s="44">
        <v>45976</v>
      </c>
      <c r="C84" s="3" t="s">
        <v>416</v>
      </c>
      <c r="D84" s="3" t="s">
        <v>57</v>
      </c>
      <c r="E84" s="101"/>
      <c r="F84" s="3" t="s">
        <v>258</v>
      </c>
      <c r="G84" s="4">
        <v>3207109</v>
      </c>
      <c r="H84" s="74" t="s">
        <v>276</v>
      </c>
      <c r="I84" s="74">
        <v>3201709</v>
      </c>
      <c r="K84" s="4"/>
      <c r="L84" s="74"/>
    </row>
    <row r="85" spans="2:12" x14ac:dyDescent="0.3">
      <c r="B85" s="44">
        <v>45976</v>
      </c>
      <c r="C85" s="3" t="s">
        <v>416</v>
      </c>
      <c r="D85" s="3" t="s">
        <v>57</v>
      </c>
      <c r="E85" s="101"/>
      <c r="F85" s="32" t="s">
        <v>249</v>
      </c>
      <c r="G85" s="15">
        <v>3038202</v>
      </c>
      <c r="H85" s="4" t="s">
        <v>282</v>
      </c>
      <c r="I85" s="4">
        <v>3193900</v>
      </c>
      <c r="J85" s="73"/>
      <c r="K85" s="4"/>
      <c r="L85" s="15"/>
    </row>
    <row r="86" spans="2:12" x14ac:dyDescent="0.3">
      <c r="B86" s="44">
        <v>45976</v>
      </c>
      <c r="C86" s="3" t="s">
        <v>416</v>
      </c>
      <c r="D86" s="3" t="s">
        <v>57</v>
      </c>
      <c r="E86" s="101"/>
      <c r="F86" s="4" t="s">
        <v>259</v>
      </c>
      <c r="G86" s="4">
        <v>3205809</v>
      </c>
      <c r="H86" s="4" t="s">
        <v>266</v>
      </c>
      <c r="I86" s="4">
        <v>3208306</v>
      </c>
      <c r="K86" s="4"/>
      <c r="L86" s="74"/>
    </row>
    <row r="87" spans="2:12" x14ac:dyDescent="0.3">
      <c r="B87" s="44">
        <v>45976</v>
      </c>
      <c r="C87" s="3" t="s">
        <v>416</v>
      </c>
      <c r="D87" s="3" t="s">
        <v>57</v>
      </c>
      <c r="E87" s="101"/>
      <c r="F87" s="3" t="s">
        <v>584</v>
      </c>
      <c r="G87" s="4">
        <v>3069303</v>
      </c>
      <c r="H87" s="3" t="s">
        <v>257</v>
      </c>
      <c r="I87" s="4">
        <v>3209805</v>
      </c>
      <c r="K87" s="4"/>
      <c r="L87" s="15"/>
    </row>
    <row r="88" spans="2:12" x14ac:dyDescent="0.3">
      <c r="B88" s="4"/>
      <c r="E88" s="101"/>
      <c r="F88" s="4"/>
      <c r="G88" s="3"/>
      <c r="K88" s="4"/>
      <c r="L88" s="4"/>
    </row>
    <row r="89" spans="2:12" x14ac:dyDescent="0.3">
      <c r="B89" s="44">
        <v>45983</v>
      </c>
      <c r="C89" s="3" t="s">
        <v>416</v>
      </c>
      <c r="D89" s="3" t="s">
        <v>57</v>
      </c>
      <c r="E89" s="101"/>
      <c r="F89" s="53" t="s">
        <v>276</v>
      </c>
      <c r="G89" s="74">
        <v>3201709</v>
      </c>
      <c r="H89" s="3" t="s">
        <v>584</v>
      </c>
      <c r="I89" s="4">
        <v>3069303</v>
      </c>
      <c r="K89" s="4"/>
      <c r="L89" s="15"/>
    </row>
    <row r="90" spans="2:12" x14ac:dyDescent="0.3">
      <c r="B90" s="44">
        <v>45983</v>
      </c>
      <c r="C90" s="3" t="s">
        <v>416</v>
      </c>
      <c r="D90" s="3" t="s">
        <v>57</v>
      </c>
      <c r="E90" s="101"/>
      <c r="F90" s="32" t="s">
        <v>268</v>
      </c>
      <c r="G90" s="15">
        <v>3203103</v>
      </c>
      <c r="H90" s="3" t="s">
        <v>258</v>
      </c>
      <c r="I90" s="4">
        <v>3207109</v>
      </c>
      <c r="K90" s="4"/>
      <c r="L90" s="74"/>
    </row>
    <row r="91" spans="2:12" x14ac:dyDescent="0.3">
      <c r="B91" s="44">
        <v>45983</v>
      </c>
      <c r="C91" s="3" t="s">
        <v>416</v>
      </c>
      <c r="D91" s="3" t="s">
        <v>57</v>
      </c>
      <c r="E91" s="101"/>
      <c r="F91" s="4" t="s">
        <v>266</v>
      </c>
      <c r="G91" s="4">
        <v>3208306</v>
      </c>
      <c r="H91" s="73" t="s">
        <v>260</v>
      </c>
      <c r="I91" s="15">
        <v>3205705</v>
      </c>
      <c r="J91" s="73"/>
      <c r="K91" s="4"/>
      <c r="L91" s="15"/>
    </row>
    <row r="92" spans="2:12" x14ac:dyDescent="0.3">
      <c r="B92" s="44">
        <v>45983</v>
      </c>
      <c r="C92" s="3" t="s">
        <v>416</v>
      </c>
      <c r="D92" s="3" t="s">
        <v>57</v>
      </c>
      <c r="E92" s="101"/>
      <c r="F92" s="4" t="s">
        <v>282</v>
      </c>
      <c r="G92" s="4">
        <v>3193900</v>
      </c>
      <c r="H92" s="4" t="s">
        <v>259</v>
      </c>
      <c r="I92" s="4">
        <v>3205809</v>
      </c>
      <c r="K92" s="4"/>
      <c r="L92" s="15"/>
    </row>
    <row r="93" spans="2:12" x14ac:dyDescent="0.3">
      <c r="B93" s="44">
        <v>45983</v>
      </c>
      <c r="C93" s="3" t="s">
        <v>416</v>
      </c>
      <c r="D93" s="3" t="s">
        <v>57</v>
      </c>
      <c r="E93" s="101"/>
      <c r="F93" s="32" t="s">
        <v>249</v>
      </c>
      <c r="G93" s="15">
        <v>3038202</v>
      </c>
      <c r="H93" s="3" t="s">
        <v>263</v>
      </c>
      <c r="I93" s="4">
        <v>3198707</v>
      </c>
      <c r="K93" s="4"/>
      <c r="L93" s="15"/>
    </row>
    <row r="94" spans="2:12" x14ac:dyDescent="0.3">
      <c r="B94" s="44">
        <v>45983</v>
      </c>
      <c r="C94" s="3" t="s">
        <v>416</v>
      </c>
      <c r="D94" s="3" t="s">
        <v>57</v>
      </c>
      <c r="E94" s="101"/>
      <c r="F94" s="3" t="s">
        <v>257</v>
      </c>
      <c r="G94" s="4">
        <v>3209805</v>
      </c>
      <c r="H94" s="15" t="s">
        <v>585</v>
      </c>
      <c r="I94" s="74" t="s">
        <v>556</v>
      </c>
      <c r="J94" s="4"/>
      <c r="K94" s="4"/>
      <c r="L94" s="74"/>
    </row>
    <row r="95" spans="2:12" x14ac:dyDescent="0.3">
      <c r="B95" s="4"/>
      <c r="E95" s="101"/>
      <c r="F95" s="4"/>
      <c r="G95" s="3"/>
      <c r="K95" s="4"/>
      <c r="L95" s="4"/>
    </row>
    <row r="96" spans="2:12" x14ac:dyDescent="0.3">
      <c r="B96" s="44">
        <v>45990</v>
      </c>
      <c r="C96" s="3" t="s">
        <v>416</v>
      </c>
      <c r="D96" s="3" t="s">
        <v>57</v>
      </c>
      <c r="E96" s="101"/>
      <c r="F96" s="3" t="s">
        <v>263</v>
      </c>
      <c r="G96" s="4">
        <v>3198707</v>
      </c>
      <c r="H96" s="3" t="s">
        <v>257</v>
      </c>
      <c r="I96" s="4">
        <v>3209805</v>
      </c>
      <c r="K96" s="4"/>
      <c r="L96" s="15"/>
    </row>
    <row r="97" spans="2:12" x14ac:dyDescent="0.3">
      <c r="B97" s="44">
        <v>45990</v>
      </c>
      <c r="C97" s="3" t="s">
        <v>416</v>
      </c>
      <c r="D97" s="3" t="s">
        <v>57</v>
      </c>
      <c r="E97" s="101"/>
      <c r="F97" s="73" t="s">
        <v>260</v>
      </c>
      <c r="G97" s="15">
        <v>3205705</v>
      </c>
      <c r="H97" s="4" t="s">
        <v>282</v>
      </c>
      <c r="I97" s="4">
        <v>3193900</v>
      </c>
      <c r="J97" s="73"/>
      <c r="K97" s="4"/>
      <c r="L97" s="15"/>
    </row>
    <row r="98" spans="2:12" x14ac:dyDescent="0.3">
      <c r="B98" s="44">
        <v>45990</v>
      </c>
      <c r="C98" s="3" t="s">
        <v>416</v>
      </c>
      <c r="D98" s="3" t="s">
        <v>57</v>
      </c>
      <c r="E98" s="101"/>
      <c r="F98" s="3" t="s">
        <v>258</v>
      </c>
      <c r="G98" s="4">
        <v>3207109</v>
      </c>
      <c r="H98" s="4" t="s">
        <v>266</v>
      </c>
      <c r="I98" s="4">
        <v>3208306</v>
      </c>
      <c r="K98" s="4"/>
      <c r="L98" s="15"/>
    </row>
    <row r="99" spans="2:12" x14ac:dyDescent="0.3">
      <c r="B99" s="44">
        <v>45990</v>
      </c>
      <c r="C99" s="3" t="s">
        <v>416</v>
      </c>
      <c r="D99" s="3" t="s">
        <v>57</v>
      </c>
      <c r="E99" s="101"/>
      <c r="F99" s="4" t="s">
        <v>259</v>
      </c>
      <c r="G99" s="4">
        <v>3205809</v>
      </c>
      <c r="H99" s="32" t="s">
        <v>249</v>
      </c>
      <c r="I99" s="15">
        <v>3038202</v>
      </c>
      <c r="K99" s="4"/>
      <c r="L99" s="74"/>
    </row>
    <row r="100" spans="2:12" x14ac:dyDescent="0.3">
      <c r="B100" s="44">
        <v>45990</v>
      </c>
      <c r="C100" s="3" t="s">
        <v>416</v>
      </c>
      <c r="D100" s="3" t="s">
        <v>57</v>
      </c>
      <c r="E100" s="101"/>
      <c r="F100" s="3" t="s">
        <v>584</v>
      </c>
      <c r="G100" s="4">
        <v>3069303</v>
      </c>
      <c r="H100" s="32" t="s">
        <v>268</v>
      </c>
      <c r="I100" s="15">
        <v>3203103</v>
      </c>
      <c r="J100" s="4"/>
      <c r="K100" s="4"/>
      <c r="L100" s="15"/>
    </row>
    <row r="101" spans="2:12" x14ac:dyDescent="0.3">
      <c r="B101" s="44">
        <v>45990</v>
      </c>
      <c r="C101" s="3" t="s">
        <v>416</v>
      </c>
      <c r="D101" s="3" t="s">
        <v>57</v>
      </c>
      <c r="E101" s="101"/>
      <c r="F101" s="81" t="s">
        <v>585</v>
      </c>
      <c r="G101" s="74" t="s">
        <v>556</v>
      </c>
      <c r="H101" s="74" t="s">
        <v>276</v>
      </c>
      <c r="I101" s="74">
        <v>3201709</v>
      </c>
      <c r="K101" s="4"/>
      <c r="L101" s="15"/>
    </row>
    <row r="102" spans="2:12" x14ac:dyDescent="0.3">
      <c r="B102" s="4"/>
      <c r="E102" s="101"/>
      <c r="F102" s="4"/>
      <c r="G102" s="3"/>
      <c r="K102" s="4"/>
      <c r="L102" s="4"/>
    </row>
    <row r="103" spans="2:12" x14ac:dyDescent="0.3">
      <c r="B103" s="44">
        <v>46032</v>
      </c>
      <c r="C103" s="3" t="s">
        <v>416</v>
      </c>
      <c r="D103" s="3" t="s">
        <v>57</v>
      </c>
      <c r="E103" s="101"/>
      <c r="F103" s="3" t="s">
        <v>263</v>
      </c>
      <c r="G103" s="4">
        <v>3198707</v>
      </c>
      <c r="H103" s="4" t="s">
        <v>259</v>
      </c>
      <c r="I103" s="4">
        <v>3205809</v>
      </c>
      <c r="K103" s="4"/>
      <c r="L103" s="15"/>
    </row>
    <row r="104" spans="2:12" x14ac:dyDescent="0.3">
      <c r="B104" s="44">
        <v>46032</v>
      </c>
      <c r="C104" s="3" t="s">
        <v>416</v>
      </c>
      <c r="D104" s="3" t="s">
        <v>57</v>
      </c>
      <c r="E104" s="101"/>
      <c r="F104" s="73" t="s">
        <v>260</v>
      </c>
      <c r="G104" s="15">
        <v>3205705</v>
      </c>
      <c r="H104" s="32" t="s">
        <v>249</v>
      </c>
      <c r="I104" s="15">
        <v>3038202</v>
      </c>
      <c r="K104" s="4"/>
      <c r="L104" s="15"/>
    </row>
    <row r="105" spans="2:12" x14ac:dyDescent="0.3">
      <c r="B105" s="44">
        <v>46032</v>
      </c>
      <c r="C105" s="3" t="s">
        <v>416</v>
      </c>
      <c r="D105" s="3" t="s">
        <v>57</v>
      </c>
      <c r="E105" s="101"/>
      <c r="F105" s="3" t="s">
        <v>258</v>
      </c>
      <c r="G105" s="4">
        <v>3207109</v>
      </c>
      <c r="H105" s="4" t="s">
        <v>282</v>
      </c>
      <c r="I105" s="4">
        <v>3193900</v>
      </c>
      <c r="K105" s="4"/>
      <c r="L105" s="15"/>
    </row>
    <row r="106" spans="2:12" x14ac:dyDescent="0.3">
      <c r="B106" s="44">
        <v>46032</v>
      </c>
      <c r="C106" s="3" t="s">
        <v>416</v>
      </c>
      <c r="D106" s="3" t="s">
        <v>57</v>
      </c>
      <c r="E106" s="101"/>
      <c r="F106" s="3" t="s">
        <v>257</v>
      </c>
      <c r="G106" s="4">
        <v>3209805</v>
      </c>
      <c r="H106" s="74" t="s">
        <v>276</v>
      </c>
      <c r="I106" s="74">
        <v>3201709</v>
      </c>
      <c r="J106" s="32"/>
      <c r="K106" s="4"/>
      <c r="L106" s="15"/>
    </row>
    <row r="107" spans="2:12" x14ac:dyDescent="0.3">
      <c r="B107" s="44">
        <v>46032</v>
      </c>
      <c r="C107" s="3" t="s">
        <v>416</v>
      </c>
      <c r="D107" s="3" t="s">
        <v>57</v>
      </c>
      <c r="E107" s="101"/>
      <c r="F107" s="3" t="s">
        <v>584</v>
      </c>
      <c r="G107" s="4">
        <v>3069303</v>
      </c>
      <c r="H107" s="4" t="s">
        <v>266</v>
      </c>
      <c r="I107" s="4">
        <v>3208306</v>
      </c>
      <c r="K107" s="4"/>
      <c r="L107" s="15"/>
    </row>
    <row r="108" spans="2:12" x14ac:dyDescent="0.3">
      <c r="B108" s="44">
        <v>46032</v>
      </c>
      <c r="C108" s="3" t="s">
        <v>416</v>
      </c>
      <c r="D108" s="3" t="s">
        <v>57</v>
      </c>
      <c r="E108" s="101"/>
      <c r="F108" s="81" t="s">
        <v>585</v>
      </c>
      <c r="G108" s="74" t="s">
        <v>556</v>
      </c>
      <c r="H108" s="32" t="s">
        <v>268</v>
      </c>
      <c r="I108" s="15">
        <v>3203103</v>
      </c>
      <c r="K108" s="4"/>
      <c r="L108" s="15"/>
    </row>
    <row r="109" spans="2:12" x14ac:dyDescent="0.3">
      <c r="B109" s="4"/>
      <c r="E109" s="101"/>
      <c r="F109" s="4"/>
      <c r="G109" s="3"/>
      <c r="K109" s="4"/>
      <c r="L109" s="4"/>
    </row>
    <row r="110" spans="2:12" x14ac:dyDescent="0.3">
      <c r="B110" s="44">
        <v>46039</v>
      </c>
      <c r="C110" s="3" t="s">
        <v>416</v>
      </c>
      <c r="D110" s="3" t="s">
        <v>57</v>
      </c>
      <c r="E110" s="101"/>
      <c r="F110" s="53" t="s">
        <v>276</v>
      </c>
      <c r="G110" s="74">
        <v>3201709</v>
      </c>
      <c r="H110" s="3" t="s">
        <v>263</v>
      </c>
      <c r="I110" s="4">
        <v>3198707</v>
      </c>
      <c r="K110" s="4"/>
      <c r="L110" s="74"/>
    </row>
    <row r="111" spans="2:12" x14ac:dyDescent="0.3">
      <c r="B111" s="44">
        <v>46039</v>
      </c>
      <c r="C111" s="3" t="s">
        <v>416</v>
      </c>
      <c r="D111" s="3" t="s">
        <v>57</v>
      </c>
      <c r="E111" s="101"/>
      <c r="F111" s="32" t="s">
        <v>268</v>
      </c>
      <c r="G111" s="15">
        <v>3203103</v>
      </c>
      <c r="H111" s="3" t="s">
        <v>257</v>
      </c>
      <c r="I111" s="4">
        <v>3209805</v>
      </c>
      <c r="J111" s="73"/>
      <c r="K111" s="4"/>
      <c r="L111" s="15"/>
    </row>
    <row r="112" spans="2:12" x14ac:dyDescent="0.3">
      <c r="B112" s="44">
        <v>46039</v>
      </c>
      <c r="C112" s="3" t="s">
        <v>416</v>
      </c>
      <c r="D112" s="3" t="s">
        <v>57</v>
      </c>
      <c r="E112" s="101"/>
      <c r="F112" s="4" t="s">
        <v>266</v>
      </c>
      <c r="G112" s="4">
        <v>3208306</v>
      </c>
      <c r="H112" s="15" t="s">
        <v>585</v>
      </c>
      <c r="I112" s="74" t="s">
        <v>556</v>
      </c>
      <c r="K112" s="4"/>
      <c r="L112" s="15"/>
    </row>
    <row r="113" spans="2:12" x14ac:dyDescent="0.3">
      <c r="B113" s="44">
        <v>46039</v>
      </c>
      <c r="C113" s="3" t="s">
        <v>416</v>
      </c>
      <c r="D113" s="3" t="s">
        <v>57</v>
      </c>
      <c r="E113" s="101"/>
      <c r="F113" s="4" t="s">
        <v>282</v>
      </c>
      <c r="G113" s="4">
        <v>3193900</v>
      </c>
      <c r="H113" s="3" t="s">
        <v>584</v>
      </c>
      <c r="I113" s="4">
        <v>3069303</v>
      </c>
      <c r="J113" s="73"/>
      <c r="K113" s="4"/>
      <c r="L113" s="15"/>
    </row>
    <row r="114" spans="2:12" x14ac:dyDescent="0.3">
      <c r="B114" s="44">
        <v>46039</v>
      </c>
      <c r="C114" s="3" t="s">
        <v>416</v>
      </c>
      <c r="D114" s="3" t="s">
        <v>57</v>
      </c>
      <c r="E114" s="101"/>
      <c r="F114" s="32" t="s">
        <v>249</v>
      </c>
      <c r="G114" s="15">
        <v>3038202</v>
      </c>
      <c r="H114" s="3" t="s">
        <v>258</v>
      </c>
      <c r="I114" s="4">
        <v>3207109</v>
      </c>
      <c r="K114" s="4"/>
      <c r="L114" s="15"/>
    </row>
    <row r="115" spans="2:12" x14ac:dyDescent="0.3">
      <c r="B115" s="44">
        <v>46039</v>
      </c>
      <c r="C115" s="3" t="s">
        <v>416</v>
      </c>
      <c r="D115" s="3" t="s">
        <v>57</v>
      </c>
      <c r="E115" s="101"/>
      <c r="F115" s="4" t="s">
        <v>259</v>
      </c>
      <c r="G115" s="4">
        <v>3205809</v>
      </c>
      <c r="H115" s="73" t="s">
        <v>260</v>
      </c>
      <c r="I115" s="15">
        <v>3205705</v>
      </c>
      <c r="K115" s="4"/>
      <c r="L115" s="74"/>
    </row>
    <row r="116" spans="2:12" x14ac:dyDescent="0.3">
      <c r="B116" s="4"/>
      <c r="E116" s="101"/>
      <c r="F116" s="4"/>
      <c r="G116" s="3"/>
      <c r="K116" s="4"/>
      <c r="L116" s="4"/>
    </row>
    <row r="117" spans="2:12" x14ac:dyDescent="0.3">
      <c r="B117" s="44">
        <v>46046</v>
      </c>
      <c r="C117" s="3" t="s">
        <v>416</v>
      </c>
      <c r="D117" s="3" t="s">
        <v>57</v>
      </c>
      <c r="E117" s="101"/>
      <c r="F117" s="53" t="s">
        <v>276</v>
      </c>
      <c r="G117" s="74">
        <v>3201709</v>
      </c>
      <c r="H117" s="32" t="s">
        <v>268</v>
      </c>
      <c r="I117" s="15">
        <v>3203103</v>
      </c>
      <c r="K117" s="4"/>
      <c r="L117" s="15"/>
    </row>
    <row r="118" spans="2:12" x14ac:dyDescent="0.3">
      <c r="B118" s="44">
        <v>46046</v>
      </c>
      <c r="C118" s="3" t="s">
        <v>416</v>
      </c>
      <c r="D118" s="3" t="s">
        <v>57</v>
      </c>
      <c r="E118" s="101"/>
      <c r="F118" s="73" t="s">
        <v>260</v>
      </c>
      <c r="G118" s="15">
        <v>3205705</v>
      </c>
      <c r="H118" s="3" t="s">
        <v>263</v>
      </c>
      <c r="I118" s="4">
        <v>3198707</v>
      </c>
      <c r="K118" s="4"/>
      <c r="L118" s="15"/>
    </row>
    <row r="119" spans="2:12" x14ac:dyDescent="0.3">
      <c r="B119" s="44">
        <v>46046</v>
      </c>
      <c r="C119" s="3" t="s">
        <v>416</v>
      </c>
      <c r="D119" s="3" t="s">
        <v>57</v>
      </c>
      <c r="E119" s="101"/>
      <c r="F119" s="3" t="s">
        <v>258</v>
      </c>
      <c r="G119" s="4">
        <v>3207109</v>
      </c>
      <c r="H119" s="4" t="s">
        <v>259</v>
      </c>
      <c r="I119" s="4">
        <v>3205809</v>
      </c>
      <c r="K119" s="4"/>
      <c r="L119" s="15"/>
    </row>
    <row r="120" spans="2:12" x14ac:dyDescent="0.3">
      <c r="B120" s="44">
        <v>46046</v>
      </c>
      <c r="C120" s="3" t="s">
        <v>416</v>
      </c>
      <c r="D120" s="3" t="s">
        <v>57</v>
      </c>
      <c r="E120" s="101"/>
      <c r="F120" s="3" t="s">
        <v>257</v>
      </c>
      <c r="G120" s="4">
        <v>3209805</v>
      </c>
      <c r="H120" s="4" t="s">
        <v>266</v>
      </c>
      <c r="I120" s="4">
        <v>3208306</v>
      </c>
      <c r="K120" s="4"/>
      <c r="L120" s="74"/>
    </row>
    <row r="121" spans="2:12" x14ac:dyDescent="0.3">
      <c r="B121" s="44">
        <v>46046</v>
      </c>
      <c r="C121" s="3" t="s">
        <v>416</v>
      </c>
      <c r="D121" s="3" t="s">
        <v>57</v>
      </c>
      <c r="E121" s="101"/>
      <c r="F121" s="3" t="s">
        <v>584</v>
      </c>
      <c r="G121" s="4">
        <v>3069303</v>
      </c>
      <c r="H121" s="32" t="s">
        <v>249</v>
      </c>
      <c r="I121" s="15">
        <v>3038202</v>
      </c>
      <c r="K121" s="4"/>
      <c r="L121" s="15"/>
    </row>
    <row r="122" spans="2:12" x14ac:dyDescent="0.3">
      <c r="B122" s="44">
        <v>46046</v>
      </c>
      <c r="C122" s="3" t="s">
        <v>416</v>
      </c>
      <c r="D122" s="3" t="s">
        <v>57</v>
      </c>
      <c r="E122" s="101"/>
      <c r="F122" s="81" t="s">
        <v>585</v>
      </c>
      <c r="G122" s="74" t="s">
        <v>556</v>
      </c>
      <c r="H122" s="4" t="s">
        <v>282</v>
      </c>
      <c r="I122" s="4">
        <v>3193900</v>
      </c>
      <c r="K122" s="4"/>
      <c r="L122" s="15"/>
    </row>
    <row r="123" spans="2:12" x14ac:dyDescent="0.3">
      <c r="B123" s="4"/>
      <c r="E123" s="101"/>
      <c r="F123" s="4"/>
      <c r="G123" s="3"/>
      <c r="K123" s="4"/>
      <c r="L123" s="4"/>
    </row>
    <row r="124" spans="2:12" x14ac:dyDescent="0.3">
      <c r="B124" s="44">
        <v>46053</v>
      </c>
      <c r="C124" s="3" t="s">
        <v>416</v>
      </c>
      <c r="D124" s="3" t="s">
        <v>57</v>
      </c>
      <c r="E124" s="101"/>
      <c r="F124" s="3" t="s">
        <v>263</v>
      </c>
      <c r="G124" s="4">
        <v>3198707</v>
      </c>
      <c r="H124" s="32" t="s">
        <v>268</v>
      </c>
      <c r="I124" s="15">
        <v>3203103</v>
      </c>
      <c r="K124" s="4"/>
      <c r="L124" s="74"/>
    </row>
    <row r="125" spans="2:12" x14ac:dyDescent="0.3">
      <c r="B125" s="44">
        <v>46053</v>
      </c>
      <c r="C125" s="3" t="s">
        <v>416</v>
      </c>
      <c r="D125" s="3" t="s">
        <v>57</v>
      </c>
      <c r="E125" s="101"/>
      <c r="F125" s="73" t="s">
        <v>260</v>
      </c>
      <c r="G125" s="15">
        <v>3205705</v>
      </c>
      <c r="H125" s="3" t="s">
        <v>258</v>
      </c>
      <c r="I125" s="4">
        <v>3207109</v>
      </c>
      <c r="K125" s="4"/>
      <c r="L125" s="15"/>
    </row>
    <row r="126" spans="2:12" x14ac:dyDescent="0.3">
      <c r="B126" s="44">
        <v>46053</v>
      </c>
      <c r="C126" s="3" t="s">
        <v>416</v>
      </c>
      <c r="D126" s="3" t="s">
        <v>57</v>
      </c>
      <c r="E126" s="101"/>
      <c r="F126" s="4" t="s">
        <v>266</v>
      </c>
      <c r="G126" s="4">
        <v>3208306</v>
      </c>
      <c r="H126" s="74" t="s">
        <v>276</v>
      </c>
      <c r="I126" s="74">
        <v>3201709</v>
      </c>
      <c r="K126" s="4"/>
      <c r="L126" s="15"/>
    </row>
    <row r="127" spans="2:12" x14ac:dyDescent="0.3">
      <c r="B127" s="44">
        <v>46053</v>
      </c>
      <c r="C127" s="3" t="s">
        <v>416</v>
      </c>
      <c r="D127" s="3" t="s">
        <v>57</v>
      </c>
      <c r="E127" s="101"/>
      <c r="F127" s="4" t="s">
        <v>282</v>
      </c>
      <c r="G127" s="4">
        <v>3193900</v>
      </c>
      <c r="H127" s="3" t="s">
        <v>257</v>
      </c>
      <c r="I127" s="4">
        <v>3209805</v>
      </c>
      <c r="K127" s="4"/>
      <c r="L127" s="15"/>
    </row>
    <row r="128" spans="2:12" x14ac:dyDescent="0.3">
      <c r="B128" s="44">
        <v>46053</v>
      </c>
      <c r="C128" s="3" t="s">
        <v>416</v>
      </c>
      <c r="D128" s="3" t="s">
        <v>57</v>
      </c>
      <c r="E128" s="101"/>
      <c r="F128" s="32" t="s">
        <v>249</v>
      </c>
      <c r="G128" s="15">
        <v>3038202</v>
      </c>
      <c r="H128" s="15" t="s">
        <v>585</v>
      </c>
      <c r="I128" s="74" t="s">
        <v>556</v>
      </c>
      <c r="K128" s="4"/>
      <c r="L128" s="74"/>
    </row>
    <row r="129" spans="2:12" x14ac:dyDescent="0.3">
      <c r="B129" s="44">
        <v>46053</v>
      </c>
      <c r="C129" s="3" t="s">
        <v>416</v>
      </c>
      <c r="D129" s="3" t="s">
        <v>57</v>
      </c>
      <c r="E129" s="101"/>
      <c r="F129" s="4" t="s">
        <v>259</v>
      </c>
      <c r="G129" s="4">
        <v>3205809</v>
      </c>
      <c r="H129" s="3" t="s">
        <v>584</v>
      </c>
      <c r="I129" s="4">
        <v>3069303</v>
      </c>
      <c r="K129" s="4"/>
      <c r="L129" s="74"/>
    </row>
    <row r="130" spans="2:12" x14ac:dyDescent="0.3">
      <c r="B130" s="4"/>
      <c r="E130" s="101"/>
      <c r="F130" s="4"/>
      <c r="G130" s="3"/>
      <c r="K130" s="4"/>
      <c r="L130" s="4"/>
    </row>
    <row r="131" spans="2:12" x14ac:dyDescent="0.3">
      <c r="B131" s="44">
        <v>46060</v>
      </c>
      <c r="C131" s="3" t="s">
        <v>416</v>
      </c>
      <c r="D131" s="3" t="s">
        <v>57</v>
      </c>
      <c r="E131" s="101"/>
      <c r="F131" s="53" t="s">
        <v>276</v>
      </c>
      <c r="G131" s="74">
        <v>3201709</v>
      </c>
      <c r="H131" s="4" t="s">
        <v>282</v>
      </c>
      <c r="I131" s="4">
        <v>3193900</v>
      </c>
      <c r="K131" s="4"/>
      <c r="L131" s="15"/>
    </row>
    <row r="132" spans="2:12" x14ac:dyDescent="0.3">
      <c r="B132" s="44">
        <v>46060</v>
      </c>
      <c r="C132" s="3" t="s">
        <v>416</v>
      </c>
      <c r="D132" s="3" t="s">
        <v>57</v>
      </c>
      <c r="E132" s="101"/>
      <c r="F132" s="32" t="s">
        <v>268</v>
      </c>
      <c r="G132" s="15">
        <v>3203103</v>
      </c>
      <c r="H132" s="4" t="s">
        <v>266</v>
      </c>
      <c r="I132" s="4">
        <v>3208306</v>
      </c>
      <c r="K132" s="4"/>
      <c r="L132" s="15"/>
    </row>
    <row r="133" spans="2:12" x14ac:dyDescent="0.3">
      <c r="B133" s="44">
        <v>46060</v>
      </c>
      <c r="C133" s="3" t="s">
        <v>416</v>
      </c>
      <c r="D133" s="3" t="s">
        <v>57</v>
      </c>
      <c r="E133" s="101"/>
      <c r="F133" s="3" t="s">
        <v>258</v>
      </c>
      <c r="G133" s="4">
        <v>3207109</v>
      </c>
      <c r="H133" s="3" t="s">
        <v>263</v>
      </c>
      <c r="I133" s="4">
        <v>3198707</v>
      </c>
      <c r="K133" s="4"/>
      <c r="L133" s="15"/>
    </row>
    <row r="134" spans="2:12" x14ac:dyDescent="0.3">
      <c r="B134" s="44">
        <v>46060</v>
      </c>
      <c r="C134" s="3" t="s">
        <v>416</v>
      </c>
      <c r="D134" s="3" t="s">
        <v>57</v>
      </c>
      <c r="E134" s="101"/>
      <c r="F134" s="3" t="s">
        <v>257</v>
      </c>
      <c r="G134" s="4">
        <v>3209805</v>
      </c>
      <c r="H134" s="32" t="s">
        <v>249</v>
      </c>
      <c r="I134" s="15">
        <v>3038202</v>
      </c>
      <c r="K134" s="4"/>
      <c r="L134" s="15"/>
    </row>
    <row r="135" spans="2:12" x14ac:dyDescent="0.3">
      <c r="B135" s="44">
        <v>46060</v>
      </c>
      <c r="C135" s="3" t="s">
        <v>416</v>
      </c>
      <c r="D135" s="3" t="s">
        <v>57</v>
      </c>
      <c r="E135" s="101"/>
      <c r="F135" s="3" t="s">
        <v>584</v>
      </c>
      <c r="G135" s="4">
        <v>3069303</v>
      </c>
      <c r="H135" s="73" t="s">
        <v>260</v>
      </c>
      <c r="I135" s="15">
        <v>3205705</v>
      </c>
      <c r="K135" s="4"/>
      <c r="L135" s="15"/>
    </row>
    <row r="136" spans="2:12" x14ac:dyDescent="0.3">
      <c r="B136" s="44">
        <v>46060</v>
      </c>
      <c r="C136" s="3" t="s">
        <v>416</v>
      </c>
      <c r="D136" s="3" t="s">
        <v>57</v>
      </c>
      <c r="E136" s="101"/>
      <c r="F136" s="81" t="s">
        <v>585</v>
      </c>
      <c r="G136" s="74" t="s">
        <v>556</v>
      </c>
      <c r="H136" s="4" t="s">
        <v>259</v>
      </c>
      <c r="I136" s="4">
        <v>3205809</v>
      </c>
      <c r="K136" s="4"/>
      <c r="L136" s="74"/>
    </row>
    <row r="137" spans="2:12" x14ac:dyDescent="0.3">
      <c r="B137" s="4"/>
      <c r="E137" s="101"/>
      <c r="F137" s="4"/>
      <c r="G137" s="3"/>
      <c r="K137" s="4"/>
      <c r="L137" s="4"/>
    </row>
    <row r="138" spans="2:12" x14ac:dyDescent="0.3">
      <c r="B138" s="44">
        <v>46074</v>
      </c>
      <c r="C138" s="3" t="s">
        <v>416</v>
      </c>
      <c r="D138" s="3" t="s">
        <v>57</v>
      </c>
      <c r="E138" s="101"/>
      <c r="F138" s="3" t="s">
        <v>263</v>
      </c>
      <c r="G138" s="4">
        <v>3198707</v>
      </c>
      <c r="H138" s="4" t="s">
        <v>266</v>
      </c>
      <c r="I138" s="4">
        <v>3208306</v>
      </c>
      <c r="K138" s="4"/>
      <c r="L138" s="74"/>
    </row>
    <row r="139" spans="2:12" x14ac:dyDescent="0.3">
      <c r="B139" s="44">
        <v>46074</v>
      </c>
      <c r="C139" s="3" t="s">
        <v>416</v>
      </c>
      <c r="D139" s="3" t="s">
        <v>57</v>
      </c>
      <c r="E139" s="101"/>
      <c r="F139" s="73" t="s">
        <v>260</v>
      </c>
      <c r="G139" s="15">
        <v>3205705</v>
      </c>
      <c r="H139" s="15" t="s">
        <v>585</v>
      </c>
      <c r="I139" s="74" t="s">
        <v>556</v>
      </c>
      <c r="K139" s="4"/>
      <c r="L139" s="15"/>
    </row>
    <row r="140" spans="2:12" x14ac:dyDescent="0.3">
      <c r="B140" s="44">
        <v>46074</v>
      </c>
      <c r="C140" s="3" t="s">
        <v>416</v>
      </c>
      <c r="D140" s="3" t="s">
        <v>57</v>
      </c>
      <c r="E140" s="101"/>
      <c r="F140" s="3" t="s">
        <v>258</v>
      </c>
      <c r="G140" s="4">
        <v>3207109</v>
      </c>
      <c r="H140" s="3" t="s">
        <v>584</v>
      </c>
      <c r="I140" s="4">
        <v>3069303</v>
      </c>
      <c r="K140" s="4"/>
      <c r="L140" s="15"/>
    </row>
    <row r="141" spans="2:12" x14ac:dyDescent="0.3">
      <c r="B141" s="44">
        <v>46074</v>
      </c>
      <c r="C141" s="3" t="s">
        <v>416</v>
      </c>
      <c r="D141" s="3" t="s">
        <v>57</v>
      </c>
      <c r="E141" s="101"/>
      <c r="F141" s="4" t="s">
        <v>282</v>
      </c>
      <c r="G141" s="4">
        <v>3193900</v>
      </c>
      <c r="H141" s="32" t="s">
        <v>268</v>
      </c>
      <c r="I141" s="15">
        <v>3203103</v>
      </c>
      <c r="K141" s="4"/>
      <c r="L141" s="15"/>
    </row>
    <row r="142" spans="2:12" x14ac:dyDescent="0.3">
      <c r="B142" s="44">
        <v>46074</v>
      </c>
      <c r="C142" s="3" t="s">
        <v>416</v>
      </c>
      <c r="D142" s="3" t="s">
        <v>57</v>
      </c>
      <c r="E142" s="101"/>
      <c r="F142" s="32" t="s">
        <v>249</v>
      </c>
      <c r="G142" s="15">
        <v>3038202</v>
      </c>
      <c r="H142" s="74" t="s">
        <v>276</v>
      </c>
      <c r="I142" s="74">
        <v>3201709</v>
      </c>
      <c r="K142" s="4"/>
      <c r="L142" s="15"/>
    </row>
    <row r="143" spans="2:12" x14ac:dyDescent="0.3">
      <c r="B143" s="44">
        <v>46074</v>
      </c>
      <c r="C143" s="3" t="s">
        <v>416</v>
      </c>
      <c r="D143" s="3" t="s">
        <v>57</v>
      </c>
      <c r="E143" s="101"/>
      <c r="F143" s="4" t="s">
        <v>259</v>
      </c>
      <c r="G143" s="4">
        <v>3205809</v>
      </c>
      <c r="H143" s="3" t="s">
        <v>257</v>
      </c>
      <c r="I143" s="4">
        <v>3209805</v>
      </c>
      <c r="K143" s="4"/>
      <c r="L143" s="74"/>
    </row>
    <row r="144" spans="2:12" x14ac:dyDescent="0.3">
      <c r="B144" s="4"/>
      <c r="E144" s="101"/>
      <c r="F144" s="4"/>
      <c r="G144" s="3"/>
      <c r="K144" s="4"/>
      <c r="L144" s="4"/>
    </row>
    <row r="145" spans="2:12" x14ac:dyDescent="0.3">
      <c r="B145" s="44">
        <v>46081</v>
      </c>
      <c r="C145" s="3" t="s">
        <v>416</v>
      </c>
      <c r="D145" s="3" t="s">
        <v>57</v>
      </c>
      <c r="E145" s="101"/>
      <c r="F145" s="53" t="s">
        <v>276</v>
      </c>
      <c r="G145" s="74">
        <v>3201709</v>
      </c>
      <c r="H145" s="4" t="s">
        <v>259</v>
      </c>
      <c r="I145" s="4">
        <v>3205809</v>
      </c>
      <c r="K145" s="4"/>
      <c r="L145" s="15"/>
    </row>
    <row r="146" spans="2:12" x14ac:dyDescent="0.3">
      <c r="B146" s="44">
        <v>46081</v>
      </c>
      <c r="C146" s="3" t="s">
        <v>416</v>
      </c>
      <c r="D146" s="3" t="s">
        <v>57</v>
      </c>
      <c r="E146" s="101"/>
      <c r="F146" s="32" t="s">
        <v>268</v>
      </c>
      <c r="G146" s="15">
        <v>3203103</v>
      </c>
      <c r="H146" s="32" t="s">
        <v>249</v>
      </c>
      <c r="I146" s="15">
        <v>3038202</v>
      </c>
      <c r="K146" s="4"/>
      <c r="L146" s="15"/>
    </row>
    <row r="147" spans="2:12" x14ac:dyDescent="0.3">
      <c r="B147" s="44">
        <v>46081</v>
      </c>
      <c r="C147" s="3" t="s">
        <v>416</v>
      </c>
      <c r="D147" s="3" t="s">
        <v>57</v>
      </c>
      <c r="E147" s="101"/>
      <c r="F147" s="4" t="s">
        <v>266</v>
      </c>
      <c r="G147" s="4">
        <v>3208306</v>
      </c>
      <c r="H147" s="4" t="s">
        <v>282</v>
      </c>
      <c r="I147" s="4">
        <v>3193900</v>
      </c>
      <c r="K147" s="4"/>
      <c r="L147" s="15"/>
    </row>
    <row r="148" spans="2:12" x14ac:dyDescent="0.3">
      <c r="B148" s="44">
        <v>46081</v>
      </c>
      <c r="C148" s="3" t="s">
        <v>416</v>
      </c>
      <c r="D148" s="3" t="s">
        <v>57</v>
      </c>
      <c r="E148" s="101"/>
      <c r="F148" s="3" t="s">
        <v>257</v>
      </c>
      <c r="G148" s="4">
        <v>3209805</v>
      </c>
      <c r="H148" s="73" t="s">
        <v>260</v>
      </c>
      <c r="I148" s="15">
        <v>3205705</v>
      </c>
      <c r="K148" s="4"/>
      <c r="L148" s="15"/>
    </row>
    <row r="149" spans="2:12" x14ac:dyDescent="0.3">
      <c r="B149" s="44">
        <v>46081</v>
      </c>
      <c r="C149" s="3" t="s">
        <v>416</v>
      </c>
      <c r="D149" s="3" t="s">
        <v>57</v>
      </c>
      <c r="E149" s="101"/>
      <c r="F149" s="3" t="s">
        <v>584</v>
      </c>
      <c r="G149" s="4">
        <v>3069303</v>
      </c>
      <c r="H149" s="3" t="s">
        <v>263</v>
      </c>
      <c r="I149" s="4">
        <v>3198707</v>
      </c>
      <c r="K149" s="4"/>
      <c r="L149" s="15"/>
    </row>
    <row r="150" spans="2:12" x14ac:dyDescent="0.3">
      <c r="B150" s="44">
        <v>46081</v>
      </c>
      <c r="C150" s="3" t="s">
        <v>416</v>
      </c>
      <c r="D150" s="3" t="s">
        <v>57</v>
      </c>
      <c r="E150" s="101"/>
      <c r="F150" s="81" t="s">
        <v>585</v>
      </c>
      <c r="G150" s="74" t="s">
        <v>556</v>
      </c>
      <c r="H150" s="3" t="s">
        <v>258</v>
      </c>
      <c r="I150" s="4">
        <v>3207109</v>
      </c>
      <c r="K150" s="4"/>
      <c r="L150" s="15"/>
    </row>
    <row r="151" spans="2:12" x14ac:dyDescent="0.3">
      <c r="B151" s="4"/>
      <c r="E151" s="101"/>
      <c r="F151" s="4"/>
      <c r="G151" s="3"/>
      <c r="K151" s="4"/>
      <c r="L151" s="4"/>
    </row>
    <row r="152" spans="2:12" x14ac:dyDescent="0.3">
      <c r="B152" s="44">
        <v>46088</v>
      </c>
      <c r="C152" s="3" t="s">
        <v>416</v>
      </c>
      <c r="D152" s="3" t="s">
        <v>57</v>
      </c>
      <c r="E152" s="101"/>
      <c r="F152" s="3" t="s">
        <v>263</v>
      </c>
      <c r="G152" s="4">
        <v>3198707</v>
      </c>
      <c r="H152" s="4" t="s">
        <v>282</v>
      </c>
      <c r="I152" s="4">
        <v>3193900</v>
      </c>
      <c r="K152" s="4"/>
      <c r="L152" s="15"/>
    </row>
    <row r="153" spans="2:12" x14ac:dyDescent="0.3">
      <c r="B153" s="44">
        <v>46088</v>
      </c>
      <c r="C153" s="3" t="s">
        <v>416</v>
      </c>
      <c r="D153" s="3" t="s">
        <v>57</v>
      </c>
      <c r="E153" s="101"/>
      <c r="F153" s="73" t="s">
        <v>260</v>
      </c>
      <c r="G153" s="15">
        <v>3205705</v>
      </c>
      <c r="H153" s="74" t="s">
        <v>276</v>
      </c>
      <c r="I153" s="74">
        <v>3201709</v>
      </c>
      <c r="K153" s="4"/>
      <c r="L153" s="15"/>
    </row>
    <row r="154" spans="2:12" x14ac:dyDescent="0.3">
      <c r="B154" s="44">
        <v>46088</v>
      </c>
      <c r="C154" s="3" t="s">
        <v>416</v>
      </c>
      <c r="D154" s="3" t="s">
        <v>57</v>
      </c>
      <c r="E154" s="101"/>
      <c r="F154" s="3" t="s">
        <v>258</v>
      </c>
      <c r="G154" s="4">
        <v>3207109</v>
      </c>
      <c r="H154" s="3" t="s">
        <v>257</v>
      </c>
      <c r="I154" s="4">
        <v>3209805</v>
      </c>
      <c r="K154" s="4"/>
      <c r="L154" s="74"/>
    </row>
    <row r="155" spans="2:12" x14ac:dyDescent="0.3">
      <c r="B155" s="44">
        <v>46088</v>
      </c>
      <c r="C155" s="3" t="s">
        <v>416</v>
      </c>
      <c r="D155" s="3" t="s">
        <v>57</v>
      </c>
      <c r="E155" s="101"/>
      <c r="F155" s="32" t="s">
        <v>249</v>
      </c>
      <c r="G155" s="15">
        <v>3038202</v>
      </c>
      <c r="H155" s="4" t="s">
        <v>266</v>
      </c>
      <c r="I155" s="4">
        <v>3208306</v>
      </c>
      <c r="K155" s="4"/>
      <c r="L155" s="15"/>
    </row>
    <row r="156" spans="2:12" x14ac:dyDescent="0.3">
      <c r="B156" s="44">
        <v>46088</v>
      </c>
      <c r="C156" s="3" t="s">
        <v>416</v>
      </c>
      <c r="D156" s="3" t="s">
        <v>57</v>
      </c>
      <c r="E156" s="101"/>
      <c r="F156" s="4" t="s">
        <v>259</v>
      </c>
      <c r="G156" s="4">
        <v>3205809</v>
      </c>
      <c r="H156" s="32" t="s">
        <v>268</v>
      </c>
      <c r="I156" s="15">
        <v>3203103</v>
      </c>
      <c r="K156" s="4"/>
      <c r="L156" s="74"/>
    </row>
    <row r="157" spans="2:12" x14ac:dyDescent="0.3">
      <c r="B157" s="44">
        <v>46088</v>
      </c>
      <c r="C157" s="3" t="s">
        <v>416</v>
      </c>
      <c r="D157" s="3" t="s">
        <v>57</v>
      </c>
      <c r="E157" s="101"/>
      <c r="F157" s="3" t="s">
        <v>584</v>
      </c>
      <c r="G157" s="4">
        <v>3069303</v>
      </c>
      <c r="H157" s="15" t="s">
        <v>585</v>
      </c>
      <c r="I157" s="74" t="s">
        <v>556</v>
      </c>
      <c r="K157" s="4"/>
      <c r="L157" s="15"/>
    </row>
    <row r="158" spans="2:12" x14ac:dyDescent="0.3">
      <c r="B158" s="4"/>
      <c r="E158" s="101"/>
      <c r="F158" s="4"/>
      <c r="G158" s="3"/>
      <c r="K158" s="4"/>
      <c r="L158" s="4"/>
    </row>
    <row r="159" spans="2:12" x14ac:dyDescent="0.3">
      <c r="B159" s="44">
        <v>46095</v>
      </c>
      <c r="C159" s="3" t="s">
        <v>416</v>
      </c>
      <c r="D159" s="3" t="s">
        <v>57</v>
      </c>
      <c r="E159" s="101"/>
      <c r="F159" s="53" t="s">
        <v>276</v>
      </c>
      <c r="G159" s="74">
        <v>3201709</v>
      </c>
      <c r="H159" s="3" t="s">
        <v>258</v>
      </c>
      <c r="I159" s="4">
        <v>3207109</v>
      </c>
      <c r="K159" s="4"/>
      <c r="L159" s="15"/>
    </row>
    <row r="160" spans="2:12" x14ac:dyDescent="0.3">
      <c r="B160" s="44">
        <v>46095</v>
      </c>
      <c r="C160" s="3" t="s">
        <v>416</v>
      </c>
      <c r="D160" s="3" t="s">
        <v>57</v>
      </c>
      <c r="E160" s="101"/>
      <c r="F160" s="32" t="s">
        <v>268</v>
      </c>
      <c r="G160" s="15">
        <v>3203103</v>
      </c>
      <c r="H160" s="73" t="s">
        <v>260</v>
      </c>
      <c r="I160" s="15">
        <v>3205705</v>
      </c>
      <c r="K160" s="4"/>
      <c r="L160" s="15"/>
    </row>
    <row r="161" spans="2:12" x14ac:dyDescent="0.3">
      <c r="B161" s="44">
        <v>46095</v>
      </c>
      <c r="C161" s="3" t="s">
        <v>416</v>
      </c>
      <c r="D161" s="3" t="s">
        <v>57</v>
      </c>
      <c r="E161" s="101"/>
      <c r="F161" s="4" t="s">
        <v>266</v>
      </c>
      <c r="G161" s="4">
        <v>3208306</v>
      </c>
      <c r="H161" s="4" t="s">
        <v>259</v>
      </c>
      <c r="I161" s="4">
        <v>3205809</v>
      </c>
      <c r="K161" s="4"/>
      <c r="L161" s="15"/>
    </row>
    <row r="162" spans="2:12" x14ac:dyDescent="0.3">
      <c r="B162" s="44">
        <v>46095</v>
      </c>
      <c r="C162" s="3" t="s">
        <v>416</v>
      </c>
      <c r="D162" s="3" t="s">
        <v>57</v>
      </c>
      <c r="E162" s="101"/>
      <c r="F162" s="4" t="s">
        <v>282</v>
      </c>
      <c r="G162" s="4">
        <v>3193900</v>
      </c>
      <c r="H162" s="32" t="s">
        <v>249</v>
      </c>
      <c r="I162" s="15">
        <v>3038202</v>
      </c>
      <c r="K162" s="4"/>
      <c r="L162" s="15"/>
    </row>
    <row r="163" spans="2:12" x14ac:dyDescent="0.3">
      <c r="B163" s="44">
        <v>46095</v>
      </c>
      <c r="C163" s="3" t="s">
        <v>416</v>
      </c>
      <c r="D163" s="3" t="s">
        <v>57</v>
      </c>
      <c r="E163" s="101"/>
      <c r="F163" s="3" t="s">
        <v>257</v>
      </c>
      <c r="G163" s="4">
        <v>3209805</v>
      </c>
      <c r="H163" s="3" t="s">
        <v>584</v>
      </c>
      <c r="I163" s="4">
        <v>3069303</v>
      </c>
      <c r="K163" s="4"/>
      <c r="L163" s="15"/>
    </row>
    <row r="164" spans="2:12" x14ac:dyDescent="0.3">
      <c r="B164" s="44">
        <v>46095</v>
      </c>
      <c r="C164" s="3" t="s">
        <v>416</v>
      </c>
      <c r="D164" s="3" t="s">
        <v>57</v>
      </c>
      <c r="E164" s="101"/>
      <c r="F164" s="81" t="s">
        <v>585</v>
      </c>
      <c r="G164" s="74" t="s">
        <v>556</v>
      </c>
      <c r="H164" s="3" t="s">
        <v>263</v>
      </c>
      <c r="I164" s="4">
        <v>3198707</v>
      </c>
      <c r="K164" s="4"/>
      <c r="L164" s="74"/>
    </row>
    <row r="165" spans="2:12" x14ac:dyDescent="0.3">
      <c r="B165" s="4"/>
      <c r="E165" s="101"/>
      <c r="F165" s="4"/>
      <c r="G165" s="3"/>
      <c r="K165" s="4"/>
      <c r="L165" s="4"/>
    </row>
    <row r="166" spans="2:12" x14ac:dyDescent="0.3">
      <c r="B166" s="44">
        <v>46102</v>
      </c>
      <c r="C166" s="3" t="s">
        <v>416</v>
      </c>
      <c r="D166" s="3" t="s">
        <v>57</v>
      </c>
      <c r="E166" s="101"/>
      <c r="F166" s="3" t="s">
        <v>263</v>
      </c>
      <c r="G166" s="4">
        <v>3198707</v>
      </c>
      <c r="H166" s="32" t="s">
        <v>249</v>
      </c>
      <c r="I166" s="15">
        <v>3038202</v>
      </c>
      <c r="K166" s="4"/>
      <c r="L166" s="15"/>
    </row>
    <row r="167" spans="2:12" x14ac:dyDescent="0.3">
      <c r="B167" s="44">
        <v>46102</v>
      </c>
      <c r="C167" s="3" t="s">
        <v>416</v>
      </c>
      <c r="D167" s="3" t="s">
        <v>57</v>
      </c>
      <c r="E167" s="101"/>
      <c r="F167" s="73" t="s">
        <v>260</v>
      </c>
      <c r="G167" s="15">
        <v>3205705</v>
      </c>
      <c r="H167" s="4" t="s">
        <v>266</v>
      </c>
      <c r="I167" s="4">
        <v>3208306</v>
      </c>
      <c r="K167" s="4"/>
      <c r="L167" s="15"/>
    </row>
    <row r="168" spans="2:12" x14ac:dyDescent="0.3">
      <c r="B168" s="44">
        <v>46102</v>
      </c>
      <c r="C168" s="3" t="s">
        <v>416</v>
      </c>
      <c r="D168" s="3" t="s">
        <v>57</v>
      </c>
      <c r="E168" s="101"/>
      <c r="F168" s="3" t="s">
        <v>258</v>
      </c>
      <c r="G168" s="4">
        <v>3207109</v>
      </c>
      <c r="H168" s="32" t="s">
        <v>268</v>
      </c>
      <c r="I168" s="15">
        <v>3203103</v>
      </c>
      <c r="K168" s="4"/>
      <c r="L168" s="15"/>
    </row>
    <row r="169" spans="2:12" x14ac:dyDescent="0.3">
      <c r="B169" s="44">
        <v>46102</v>
      </c>
      <c r="C169" s="3" t="s">
        <v>416</v>
      </c>
      <c r="D169" s="3" t="s">
        <v>57</v>
      </c>
      <c r="E169" s="101"/>
      <c r="F169" s="4" t="s">
        <v>259</v>
      </c>
      <c r="G169" s="4">
        <v>3205809</v>
      </c>
      <c r="H169" s="4" t="s">
        <v>282</v>
      </c>
      <c r="I169" s="4">
        <v>3193900</v>
      </c>
      <c r="K169" s="4"/>
      <c r="L169" s="74"/>
    </row>
    <row r="170" spans="2:12" x14ac:dyDescent="0.3">
      <c r="B170" s="44">
        <v>46102</v>
      </c>
      <c r="C170" s="3" t="s">
        <v>416</v>
      </c>
      <c r="D170" s="3" t="s">
        <v>57</v>
      </c>
      <c r="E170" s="101"/>
      <c r="F170" s="3" t="s">
        <v>584</v>
      </c>
      <c r="G170" s="4">
        <v>3069303</v>
      </c>
      <c r="H170" s="74" t="s">
        <v>276</v>
      </c>
      <c r="I170" s="74">
        <v>3201709</v>
      </c>
      <c r="K170" s="4"/>
      <c r="L170" s="15"/>
    </row>
    <row r="171" spans="2:12" x14ac:dyDescent="0.3">
      <c r="B171" s="44">
        <v>46102</v>
      </c>
      <c r="C171" s="3" t="s">
        <v>416</v>
      </c>
      <c r="D171" s="3" t="s">
        <v>57</v>
      </c>
      <c r="E171" s="101"/>
      <c r="F171" s="81" t="s">
        <v>585</v>
      </c>
      <c r="G171" s="74" t="s">
        <v>556</v>
      </c>
      <c r="H171" s="3" t="s">
        <v>257</v>
      </c>
      <c r="I171" s="4">
        <v>3209805</v>
      </c>
      <c r="K171" s="4"/>
      <c r="L171" s="15"/>
    </row>
    <row r="172" spans="2:12" x14ac:dyDescent="0.3">
      <c r="B172" s="4"/>
      <c r="E172" s="101"/>
      <c r="F172" s="4"/>
      <c r="G172" s="3"/>
      <c r="K172" s="4"/>
      <c r="L172" s="4"/>
    </row>
    <row r="173" spans="2:12" x14ac:dyDescent="0.3">
      <c r="B173" s="44">
        <v>46109</v>
      </c>
      <c r="C173" s="3" t="s">
        <v>416</v>
      </c>
      <c r="D173" s="3" t="s">
        <v>57</v>
      </c>
      <c r="E173" s="101"/>
      <c r="F173" s="53" t="s">
        <v>276</v>
      </c>
      <c r="G173" s="74">
        <v>3201709</v>
      </c>
      <c r="H173" s="15" t="s">
        <v>585</v>
      </c>
      <c r="I173" s="74" t="s">
        <v>556</v>
      </c>
      <c r="K173" s="4"/>
      <c r="L173" s="15"/>
    </row>
    <row r="174" spans="2:12" x14ac:dyDescent="0.3">
      <c r="B174" s="44">
        <v>46109</v>
      </c>
      <c r="C174" s="3" t="s">
        <v>416</v>
      </c>
      <c r="D174" s="3" t="s">
        <v>57</v>
      </c>
      <c r="E174" s="101"/>
      <c r="F174" s="32" t="s">
        <v>268</v>
      </c>
      <c r="G174" s="15">
        <v>3203103</v>
      </c>
      <c r="H174" s="3" t="s">
        <v>584</v>
      </c>
      <c r="I174" s="4">
        <v>3069303</v>
      </c>
      <c r="K174" s="4"/>
      <c r="L174" s="74"/>
    </row>
    <row r="175" spans="2:12" x14ac:dyDescent="0.3">
      <c r="B175" s="44">
        <v>46109</v>
      </c>
      <c r="C175" s="3" t="s">
        <v>416</v>
      </c>
      <c r="D175" s="3" t="s">
        <v>57</v>
      </c>
      <c r="E175" s="101"/>
      <c r="F175" s="4" t="s">
        <v>266</v>
      </c>
      <c r="G175" s="4">
        <v>3208306</v>
      </c>
      <c r="H175" s="3" t="s">
        <v>258</v>
      </c>
      <c r="I175" s="4">
        <v>3207109</v>
      </c>
      <c r="K175" s="4"/>
      <c r="L175" s="15"/>
    </row>
    <row r="176" spans="2:12" x14ac:dyDescent="0.3">
      <c r="B176" s="44">
        <v>46109</v>
      </c>
      <c r="C176" s="3" t="s">
        <v>416</v>
      </c>
      <c r="D176" s="3" t="s">
        <v>57</v>
      </c>
      <c r="E176" s="101"/>
      <c r="F176" s="4" t="s">
        <v>282</v>
      </c>
      <c r="G176" s="4">
        <v>3193900</v>
      </c>
      <c r="H176" s="73" t="s">
        <v>260</v>
      </c>
      <c r="I176" s="15">
        <v>3205705</v>
      </c>
      <c r="K176" s="4"/>
      <c r="L176" s="15"/>
    </row>
    <row r="177" spans="2:12" x14ac:dyDescent="0.3">
      <c r="B177" s="44">
        <v>46109</v>
      </c>
      <c r="C177" s="3" t="s">
        <v>416</v>
      </c>
      <c r="D177" s="3" t="s">
        <v>57</v>
      </c>
      <c r="E177" s="101"/>
      <c r="F177" s="32" t="s">
        <v>249</v>
      </c>
      <c r="G177" s="15">
        <v>3038202</v>
      </c>
      <c r="H177" s="4" t="s">
        <v>259</v>
      </c>
      <c r="I177" s="4">
        <v>3205809</v>
      </c>
      <c r="K177" s="4"/>
      <c r="L177" s="15"/>
    </row>
    <row r="178" spans="2:12" x14ac:dyDescent="0.3">
      <c r="B178" s="44">
        <v>46109</v>
      </c>
      <c r="C178" s="3" t="s">
        <v>416</v>
      </c>
      <c r="D178" s="3" t="s">
        <v>57</v>
      </c>
      <c r="E178" s="101"/>
      <c r="F178" s="3" t="s">
        <v>257</v>
      </c>
      <c r="G178" s="4">
        <v>3209805</v>
      </c>
      <c r="H178" s="3" t="s">
        <v>263</v>
      </c>
      <c r="I178" s="4">
        <v>3198707</v>
      </c>
      <c r="K178" s="4"/>
      <c r="L178" s="74"/>
    </row>
  </sheetData>
  <sortState xmlns:xlrd2="http://schemas.microsoft.com/office/spreadsheetml/2017/richdata2" ref="A10:Y21">
    <sortCondition ref="B10:B21"/>
  </sortState>
  <mergeCells count="1">
    <mergeCell ref="K5:K6"/>
  </mergeCells>
  <conditionalFormatting sqref="F1:I26 F28:I29 F31:I33 H34:I34 F35:G36 F37:I37 H38:I38 F39:I39 F40:G40 H41:I41 F42:I42 F43:G43 H44:I44 F45:I47 H48:I48 F49:G49 F50:I51 F53:I54 H55:I55 F56:G56 F57:I57 H58:I58 F59:G59 F60:I60 F61:G61 H62:I62 F63:I65 F67:I68 H69:I69 F70:G70 F71:I71 F73:I74 F75:G75 H76:I76 F77:G77 F78:I79 H80:I80 F81:I81 F82:G82 F84:I84 H85:I85 F86:I89 H90:I90 F91:G91 F92:I92 H93:I93 F94:G94 F95:I96 H97:I97 F98:I98 F99:G100 H101:I101 F102:I103 F105:I107 F109:I110 H111:I111 F112:G112 F113:I113 H114:I114 F115:G115 F116:I116 F117:G117 H118:I118 F119:I120 F121:G121 H122:I122 F123:I123 F124:G124 H125:I125 F126:I127 F129:I131 H132:I132 F133:I133 F134:G135 H136:I136 F137:I138 F140:I140 F141:G141 H142:I142 F143:I145 F147:I147 F148:G148 F149:I149 H150:I150 F151:I152 H153:I153 F154:I154 H155:I155 F156:G157 F158:I159 F161:I161 F162:G162 F163:I163 H164:I164 F165:I165 F166:G166 H167:I167 F168:G168 F169:I170 H171:I171 F172:I172 F173:G173 H174:I174 F175:I175 F176:G176 H177:I177 F178:I1048576">
    <cfRule type="containsText" dxfId="2707" priority="12" operator="containsText" text="Fyl">
      <formula>NOT(ISERROR(SEARCH("Fyl",F1)))</formula>
    </cfRule>
    <cfRule type="containsText" dxfId="2706" priority="13" operator="containsText" text="Lancaster &amp;">
      <formula>NOT(ISERROR(SEARCH("Lancaster &amp;",F1)))</formula>
    </cfRule>
  </conditionalFormatting>
  <conditionalFormatting sqref="F1:I26 H27 F28:I29 H30:I30 F31:I34 F35:G36 F37:I37 H41:I41 F42:I42 H44:I44 F45:I47 H48:I48 F49:I51 F52 F53:I55 F56:G56 F57:I57 H58:I58 F60:I60 F61:G61 H62:I62 F63:I65 F73:I75 H76:I76 F77:G77 F78:I79 F83:G83 F84:I84 H85:I85 F86:I89 H90:I90 F91:I92 H93:I93 F95:I98 F99:G100 F102:I103 F104:G104 F105:I107 F108 F109:I110 H111:I111 F113:I113 H114:I114 F115:I116 F117:G117 F118:I120 F121:G121 F123:I123 F124:G124 F125:I127 H128 F129:I131 H132:I132 F133:I133 F134:G134 F135:I135 F141:G141 H142:I142 F143:I145 F147:I149 H155:I155 F156:G156 F158:I159 H160:I160 F161:I161 F162:G162 F163:I163 F166:G166 F167:I167 F168:G168 F169:I170 H174:I174 F175:I176 H177:I177 F178:I1048576 F39:I40 F38 H38:I38 F43:H43 F59:H59 F67:I69 F66 H66:I66 F71:I71 F70:H70 F81:I81 F80 H80:I80 F82:H82 F94:H94 F101 H101:I101 F112:H112 F122 H122:I122 F137:I138 F136 H136:I136 F140:I140 F139:H139 F151:I154 F150 H150:I150 F157:H157 F165:I165 F164 H164:I164 F172:I172 F171 H171:I171 F173:H173">
    <cfRule type="containsText" dxfId="2705" priority="11" operator="containsText" text="northern 2">
      <formula>NOT(ISERROR(SEARCH("northern 2",F1)))</formula>
    </cfRule>
  </conditionalFormatting>
  <conditionalFormatting sqref="I10:J21">
    <cfRule type="cellIs" dxfId="2704" priority="14" operator="lessThan">
      <formula>5</formula>
    </cfRule>
    <cfRule type="cellIs" dxfId="2703" priority="15" operator="greaterThan">
      <formula>6</formula>
    </cfRule>
  </conditionalFormatting>
  <conditionalFormatting sqref="J10:J21">
    <cfRule type="containsText" dxfId="2702" priority="7" operator="containsText" text="c'[Fixtures All.xlsx]Women Filtered'!$F$2">
      <formula>NOT(ISERROR(SEARCH("c'[Fixtures All.xlsx]Women Filtered'!$F$2",J10)))</formula>
    </cfRule>
  </conditionalFormatting>
  <conditionalFormatting sqref="K9">
    <cfRule type="containsText" dxfId="2701" priority="19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2700" priority="2" operator="containsText" text="northern 2">
      <formula>NOT(ISERROR(SEARCH("northern 2",K10)))</formula>
    </cfRule>
    <cfRule type="containsText" dxfId="2699" priority="3" operator="containsText" text="Fyl">
      <formula>NOT(ISERROR(SEARCH("Fyl",K10)))</formula>
    </cfRule>
    <cfRule type="containsText" dxfId="2698" priority="4" operator="containsText" text="Lancaster &amp;">
      <formula>NOT(ISERROR(SEARCH("Lancaster &amp;",K10)))</formula>
    </cfRule>
  </conditionalFormatting>
  <conditionalFormatting sqref="K10:L21">
    <cfRule type="cellIs" dxfId="2697" priority="5" operator="lessThan">
      <formula>5</formula>
    </cfRule>
    <cfRule type="cellIs" dxfId="2696" priority="6" operator="greaterThan">
      <formula>6</formula>
    </cfRule>
  </conditionalFormatting>
  <conditionalFormatting sqref="L10:L21">
    <cfRule type="containsText" dxfId="2695" priority="18" operator="containsText" text="c'[Fixtures All.xlsx]Women Filtered'!$F$2">
      <formula>NOT(ISERROR(SEARCH("c'[Fixtures All.xlsx]Women Filtered'!$F$2",L10)))</formula>
    </cfRule>
  </conditionalFormatting>
  <conditionalFormatting sqref="G1:I1048576">
    <cfRule type="containsText" dxfId="2694" priority="1" operator="containsText" text="Code">
      <formula>NOT(ISERROR(SEARCH("Code",G1)))</formula>
    </cfRule>
  </conditionalFormatting>
  <hyperlinks>
    <hyperlink ref="K3" location="Contents!A1" display="Back to Contents" xr:uid="{404AE347-AC0A-4CFD-97AC-F3A972887D2D}"/>
    <hyperlink ref="K5:K6" location="'All Fixtures'!A1" display="See all NW Fixtures" xr:uid="{86E6C9DE-19D8-4C46-BE3E-2687B29F05F1}"/>
  </hyperlinks>
  <pageMargins left="0.7" right="0.7" top="0.75" bottom="0.75" header="0.3" footer="0.3"/>
  <ignoredErrors>
    <ignoredError sqref="J10:J21" formula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DE64B-C944-410C-89C5-B848625A2600}">
  <dimension ref="A2:AQ178"/>
  <sheetViews>
    <sheetView workbookViewId="0"/>
  </sheetViews>
  <sheetFormatPr defaultRowHeight="14.4" x14ac:dyDescent="0.3"/>
  <cols>
    <col min="1" max="1" width="4.88671875" style="47" customWidth="1"/>
    <col min="2" max="2" width="25.33203125" style="3" customWidth="1"/>
    <col min="3" max="3" width="26.6640625" style="3" customWidth="1"/>
    <col min="4" max="4" width="34.109375" style="3" customWidth="1"/>
    <col min="5" max="5" width="15.88671875" style="3" customWidth="1"/>
    <col min="6" max="6" width="32.44140625" style="3" customWidth="1"/>
    <col min="7" max="7" width="13.33203125" style="3" customWidth="1"/>
    <col min="8" max="8" width="31.5546875" style="3" customWidth="1"/>
    <col min="9" max="9" width="8.88671875" style="3"/>
    <col min="10" max="10" width="6.109375" style="3" customWidth="1"/>
    <col min="11" max="11" width="18.5546875" style="51" customWidth="1"/>
    <col min="12" max="18" width="18.5546875" style="3" customWidth="1"/>
    <col min="19" max="43" width="8.88671875" style="3"/>
  </cols>
  <sheetData>
    <row r="2" spans="1:43" ht="15" thickBot="1" x14ac:dyDescent="0.35"/>
    <row r="3" spans="1:43" ht="37.200000000000003" thickBot="1" x14ac:dyDescent="0.75">
      <c r="E3" s="16" t="s">
        <v>58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  <c r="M9" s="59"/>
    </row>
    <row r="10" spans="1:43" s="76" customFormat="1" ht="15" customHeight="1" x14ac:dyDescent="0.3">
      <c r="A10" s="47">
        <f>COUNTIF(F$26:H$178,"Chorley Phoenix 1 (W)")</f>
        <v>22</v>
      </c>
      <c r="B10" s="32" t="s">
        <v>265</v>
      </c>
      <c r="C10" s="15">
        <v>3208702</v>
      </c>
      <c r="D10" s="57">
        <f>COUNTIF(F$26:I$178,"3208702")</f>
        <v>22</v>
      </c>
      <c r="E10" s="15"/>
      <c r="F10" s="57">
        <f>COUNTIF(F$26:F$178,"Chorley Phoenix 1 (W)")</f>
        <v>11</v>
      </c>
      <c r="G10" s="57"/>
      <c r="H10" s="57">
        <f>COUNTIF(H$26:H$178,"Chorley Phoenix 1 (W)")</f>
        <v>11</v>
      </c>
      <c r="I10" s="57">
        <f>COUNTIF(F$26:F$101,"Chorley Phoenix 1 (W)")</f>
        <v>5</v>
      </c>
      <c r="J10" s="57">
        <f>COUNTIF(F$102:F$178,"Chorley Phoenix 1 (W)")</f>
        <v>6</v>
      </c>
      <c r="K10" s="57">
        <f>COUNTIF(H$26:H$101,"Chorley Phoenix 1 (W)")</f>
        <v>6</v>
      </c>
      <c r="L10" s="57">
        <f>COUNTIF(H$102:H$178,"Chorley Phoenix 1 (W)")</f>
        <v>5</v>
      </c>
      <c r="M10" s="3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s="76" customFormat="1" ht="15" customHeight="1" x14ac:dyDescent="0.3">
      <c r="A11" s="47">
        <f>COUNTIF(F$26:H$178,"Fylde 3 (W)")</f>
        <v>22</v>
      </c>
      <c r="B11" s="32" t="s">
        <v>267</v>
      </c>
      <c r="C11" s="15">
        <v>3205205</v>
      </c>
      <c r="D11" s="57">
        <f>COUNTIF(F$26:I$178,"3205205")</f>
        <v>22</v>
      </c>
      <c r="E11" s="15"/>
      <c r="F11" s="57">
        <f>COUNTIF(F$26:F$178,"Fylde 3 (W)")</f>
        <v>11</v>
      </c>
      <c r="G11" s="57"/>
      <c r="H11" s="57">
        <f>COUNTIF(H$26:H$178,"Fylde 3 (W)")</f>
        <v>11</v>
      </c>
      <c r="I11" s="57">
        <f>COUNTIF(F$26:F$101,"Fylde 3 (W)")</f>
        <v>5</v>
      </c>
      <c r="J11" s="57">
        <f>COUNTIF(F$102:F$178,"Fylde 3 (W)")</f>
        <v>6</v>
      </c>
      <c r="K11" s="57">
        <f>COUNTIF(H$26:H$101,"Fylde 3 (W)")</f>
        <v>6</v>
      </c>
      <c r="L11" s="57">
        <f>COUNTIF(H$102:H$178,"Fylde 3 (W)")</f>
        <v>5</v>
      </c>
      <c r="M11" s="3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s="76" customFormat="1" ht="15" customHeight="1" x14ac:dyDescent="0.3">
      <c r="A12" s="47">
        <f>COUNTIF(F$26:H$178,"Garstang 2 (W)")</f>
        <v>22</v>
      </c>
      <c r="B12" s="4" t="s">
        <v>303</v>
      </c>
      <c r="C12" s="74">
        <v>3205101</v>
      </c>
      <c r="D12" s="57">
        <f>COUNTIF(F$26:I$178,"3205101")</f>
        <v>22</v>
      </c>
      <c r="E12" s="74"/>
      <c r="F12" s="57">
        <f>COUNTIF(F$26:F$178,"Garstang 2 (W)")</f>
        <v>11</v>
      </c>
      <c r="G12" s="57"/>
      <c r="H12" s="57">
        <f>COUNTIF(H$26:H$178,"Garstang 2 (W)")</f>
        <v>11</v>
      </c>
      <c r="I12" s="57">
        <f>COUNTIF(F$26:F$101,"Garstang 2 (W)")</f>
        <v>5</v>
      </c>
      <c r="J12" s="57">
        <f>COUNTIF(F$102:F$178,"Garstang 2 (W)")</f>
        <v>6</v>
      </c>
      <c r="K12" s="57">
        <f>COUNTIF(H$26:H$101,"Garstang 2 (W)")</f>
        <v>6</v>
      </c>
      <c r="L12" s="57">
        <f>COUNTIF(H$102:H$178,"Garstang 2 (W)")</f>
        <v>5</v>
      </c>
      <c r="M12" s="3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s="76" customFormat="1" ht="15" customHeight="1" x14ac:dyDescent="0.3">
      <c r="A13" s="47">
        <f>COUNTIF(F$26:H$178,"Kendal 1 (W)")</f>
        <v>22</v>
      </c>
      <c r="B13" s="111" t="s">
        <v>447</v>
      </c>
      <c r="C13" s="15">
        <v>3055207</v>
      </c>
      <c r="D13" s="57">
        <f>COUNTIF(F$26:I$178,"3208306")</f>
        <v>0</v>
      </c>
      <c r="E13" s="15"/>
      <c r="F13" s="57">
        <f>COUNTIF(F$26:F$178,"Kendal 1 (W)")</f>
        <v>11</v>
      </c>
      <c r="G13" s="57"/>
      <c r="H13" s="57">
        <f>COUNTIF(H$26:H$178,"Kendal 1 (W)")</f>
        <v>11</v>
      </c>
      <c r="I13" s="57">
        <f>COUNTIF(F$26:F$101,"Kendal 1 (W)")</f>
        <v>6</v>
      </c>
      <c r="J13" s="57">
        <f>COUNTIF(F$102:F$178,"Kendal 1 (W)")</f>
        <v>5</v>
      </c>
      <c r="K13" s="57">
        <f>COUNTIF(H$26:H$101,"Kendal 1 (W)")</f>
        <v>5</v>
      </c>
      <c r="L13" s="57">
        <f>COUNTIF(H$102:H$178,"Kendal 1 (W)")</f>
        <v>6</v>
      </c>
      <c r="M13" s="3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s="76" customFormat="1" ht="15" customHeight="1" x14ac:dyDescent="0.3">
      <c r="A14" s="47">
        <f>COUNTIF(F$26:H$178,"Kirkby Lonsdale 1 (W)")</f>
        <v>22</v>
      </c>
      <c r="B14" s="4" t="s">
        <v>297</v>
      </c>
      <c r="C14" s="74">
        <v>3204008</v>
      </c>
      <c r="D14" s="57">
        <f>COUNTIF(F$26:I$178,"3204008")</f>
        <v>22</v>
      </c>
      <c r="E14" s="74"/>
      <c r="F14" s="57">
        <f>COUNTIF(F$26:F$178,"Kirkby Lonsdale 1 (W)")</f>
        <v>11</v>
      </c>
      <c r="G14" s="57"/>
      <c r="H14" s="57">
        <f>COUNTIF(H$26:H$178,"Kirkby Lonsdale 1 (W)")</f>
        <v>11</v>
      </c>
      <c r="I14" s="57">
        <f>COUNTIF(F$26:F$101,"Kirkby Lonsdale 1 (W)")</f>
        <v>5</v>
      </c>
      <c r="J14" s="57">
        <f>COUNTIF(F$102:F$178,"Kirkby Lonsdale 1 (W)")</f>
        <v>6</v>
      </c>
      <c r="K14" s="57">
        <f>COUNTIF(H$26:H$101,"Kirkby Lonsdale 1 (W)")</f>
        <v>6</v>
      </c>
      <c r="L14" s="57">
        <f>COUNTIF(H$102:H$178,"Kirkby Lonsdale 1 (W)")</f>
        <v>5</v>
      </c>
      <c r="M14" s="3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s="76" customFormat="1" ht="15" customHeight="1" x14ac:dyDescent="0.3">
      <c r="A15" s="47">
        <f>COUNTIF(F$26:H$178,"Lancaster &amp; District 2 (W)")</f>
        <v>22</v>
      </c>
      <c r="B15" s="75" t="s">
        <v>586</v>
      </c>
      <c r="C15" s="110" t="s">
        <v>588</v>
      </c>
      <c r="D15" s="57">
        <f>COUNTIF(F$26:I$178,"Code LD")</f>
        <v>22</v>
      </c>
      <c r="E15" s="15"/>
      <c r="F15" s="57">
        <f>COUNTIF(F$26:F$178,"Lancaster &amp; District 2 (W)")</f>
        <v>11</v>
      </c>
      <c r="G15" s="57"/>
      <c r="H15" s="57">
        <f>COUNTIF(H$26:H$178,"Lancaster &amp; District 2 (W)")</f>
        <v>11</v>
      </c>
      <c r="I15" s="57">
        <f>COUNTIF(F$26:F$101,"Lancaster &amp; District 2 (W)")</f>
        <v>5</v>
      </c>
      <c r="J15" s="57">
        <f>COUNTIF(F$102:F$178,"Lancaster &amp; District 2 (W)")</f>
        <v>6</v>
      </c>
      <c r="K15" s="57">
        <f>COUNTIF(H$26:H$101,"Lancaster &amp; District 2 (W)")</f>
        <v>6</v>
      </c>
      <c r="L15" s="57">
        <f>COUNTIF(H$102:H$178,"Lancaster &amp; District 2 (W)")</f>
        <v>5</v>
      </c>
      <c r="M15" s="3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s="76" customFormat="1" x14ac:dyDescent="0.3">
      <c r="A16" s="47">
        <f>COUNTIF(F$26:H$178,"Lancaster Nomads 1 (W)")</f>
        <v>22</v>
      </c>
      <c r="B16" s="111" t="s">
        <v>305</v>
      </c>
      <c r="C16" s="53">
        <v>3202906</v>
      </c>
      <c r="D16" s="57">
        <f>COUNTIF(F$26:I$178,"3197906")</f>
        <v>0</v>
      </c>
      <c r="E16" s="15"/>
      <c r="F16" s="57">
        <f>COUNTIF(F$26:F$178,"Lancaster Nomads 1 (W)")</f>
        <v>11</v>
      </c>
      <c r="G16" s="57"/>
      <c r="H16" s="57">
        <f>COUNTIF(H$26:H$178,"Lancaster Nomads 1 (W)")</f>
        <v>11</v>
      </c>
      <c r="I16" s="57">
        <f>COUNTIF(F$26:F$101,"Lancaster Nomads 1 (W)")</f>
        <v>6</v>
      </c>
      <c r="J16" s="57">
        <f>COUNTIF(F$102:F$178,"Lancaster Nomads 1 (W)")</f>
        <v>5</v>
      </c>
      <c r="K16" s="57">
        <f>COUNTIF(H$26:H$101,"Lancaster Nomads 1 (W)")</f>
        <v>5</v>
      </c>
      <c r="L16" s="57">
        <f>COUNTIF(H$102:H$178,"Lancaster Nomads 1 (W)")</f>
        <v>6</v>
      </c>
      <c r="M16" s="3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s="76" customFormat="1" x14ac:dyDescent="0.3">
      <c r="A17" s="47">
        <f>COUNTIF(F$26:H$178,"Lytham St Annes 1 (W)")</f>
        <v>22</v>
      </c>
      <c r="B17" s="32" t="s">
        <v>262</v>
      </c>
      <c r="C17" s="15">
        <v>3055405</v>
      </c>
      <c r="D17" s="57">
        <f>COUNTIF(F$26:I$178,"3055405")</f>
        <v>22</v>
      </c>
      <c r="E17" s="15"/>
      <c r="F17" s="57">
        <f>COUNTIF(F$26:F$178,"Lytham St Annes 1 (W)")</f>
        <v>11</v>
      </c>
      <c r="G17" s="57"/>
      <c r="H17" s="57">
        <f>COUNTIF(H$26:H$178,"Lytham St Annes 1 (W)")</f>
        <v>11</v>
      </c>
      <c r="I17" s="57">
        <f>COUNTIF(F$26:F$101,"Lytham St Annes 1 (W)")</f>
        <v>5</v>
      </c>
      <c r="J17" s="57">
        <f>COUNTIF(F$102:F$178,"Lytham St Annes 1 (W)")</f>
        <v>6</v>
      </c>
      <c r="K17" s="57">
        <f>COUNTIF(H$26:H$101,"Lytham St Annes 1 (W)")</f>
        <v>6</v>
      </c>
      <c r="L17" s="57">
        <f>COUNTIF(H$102:H$178,"Lytham St Annes 1 (W)")</f>
        <v>5</v>
      </c>
      <c r="M17" s="3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s="76" customFormat="1" x14ac:dyDescent="0.3">
      <c r="A18" s="47">
        <f>COUNTIF(F$26:H$178,"Penrith 1 (W)")</f>
        <v>22</v>
      </c>
      <c r="B18" s="32" t="s">
        <v>269</v>
      </c>
      <c r="C18" s="15">
        <v>3069407</v>
      </c>
      <c r="D18" s="57">
        <f>COUNTIF(F$26:I$178,"3069407")</f>
        <v>22</v>
      </c>
      <c r="E18" s="15"/>
      <c r="F18" s="57">
        <f>COUNTIF(F$26:F$178,"Penrith 1 (W)")</f>
        <v>11</v>
      </c>
      <c r="G18" s="57"/>
      <c r="H18" s="57">
        <f>COUNTIF(H$26:H$178,"Penrith 1 (W)")</f>
        <v>11</v>
      </c>
      <c r="I18" s="57">
        <f>COUNTIF(F$26:F$101,"Penrith 1 (W)")</f>
        <v>6</v>
      </c>
      <c r="J18" s="57">
        <f>COUNTIF(F$102:F$178,"Penrith 1 (W)")</f>
        <v>5</v>
      </c>
      <c r="K18" s="57">
        <f>COUNTIF(H$26:H$101,"Penrith 1 (W)")</f>
        <v>5</v>
      </c>
      <c r="L18" s="57">
        <f>COUNTIF(H$102:H$178,"Penrith 1 (W)")</f>
        <v>6</v>
      </c>
      <c r="M18" s="3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s="76" customFormat="1" x14ac:dyDescent="0.3">
      <c r="A19" s="47">
        <f>COUNTIF(F$26:H$178,"Southport 1 (W)")</f>
        <v>22</v>
      </c>
      <c r="B19" s="32" t="s">
        <v>270</v>
      </c>
      <c r="C19" s="74">
        <v>3069605</v>
      </c>
      <c r="D19" s="57">
        <f>COUNTIF(F$26:I$178,"3069605")</f>
        <v>22</v>
      </c>
      <c r="E19" s="74"/>
      <c r="F19" s="57">
        <f>COUNTIF(F$26:F$178,"Southport 1 (W)")</f>
        <v>11</v>
      </c>
      <c r="G19" s="57"/>
      <c r="H19" s="57">
        <f>COUNTIF(H$26:H$178,"Southport 1 (W)")</f>
        <v>11</v>
      </c>
      <c r="I19" s="57">
        <f>COUNTIF(F$26:F$101,"Southport 1 (W)")</f>
        <v>6</v>
      </c>
      <c r="J19" s="57">
        <f>COUNTIF(F$102:F$178,"Southport 1 (W)")</f>
        <v>5</v>
      </c>
      <c r="K19" s="57">
        <f>COUNTIF(H$26:H$101,"Southport 1 (W)")</f>
        <v>5</v>
      </c>
      <c r="L19" s="57">
        <f>COUNTIF(H$102:H$178,"Southport 1 (W)")</f>
        <v>6</v>
      </c>
      <c r="M19" s="3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s="76" customFormat="1" x14ac:dyDescent="0.3">
      <c r="A20" s="47">
        <f>COUNTIF(F$26:H$178,"Ulverston South Lakes 1 (W)")</f>
        <v>22</v>
      </c>
      <c r="B20" s="111" t="s">
        <v>587</v>
      </c>
      <c r="C20" s="110" t="s">
        <v>563</v>
      </c>
      <c r="D20" s="57">
        <f>COUNTIF(F$26:I$178,"Code USL")</f>
        <v>22</v>
      </c>
      <c r="E20" s="15"/>
      <c r="F20" s="57">
        <f>COUNTIF(F$26:F$178,"Ulverston South Lakes 1 (W)")</f>
        <v>11</v>
      </c>
      <c r="G20" s="57"/>
      <c r="H20" s="57">
        <f>COUNTIF(H$26:H$178,"Ulverston South Lakes 1 (W)")</f>
        <v>11</v>
      </c>
      <c r="I20" s="57">
        <f>COUNTIF(F$26:F$101,"Ulverston South Lakes 1 (W)")</f>
        <v>6</v>
      </c>
      <c r="J20" s="57">
        <f>COUNTIF(F$102:F$178,"Ulverston South Lakes 1 (W)")</f>
        <v>5</v>
      </c>
      <c r="K20" s="57">
        <f>COUNTIF(H$26:H$101,"Ulverston South Lakes 1 (W)")</f>
        <v>5</v>
      </c>
      <c r="L20" s="57">
        <f>COUNTIF(H$102:H$178,"Ulverston South Lakes 1 (W)")</f>
        <v>6</v>
      </c>
      <c r="M20" s="3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s="76" customFormat="1" x14ac:dyDescent="0.3">
      <c r="A21" s="47">
        <f>COUNTIF(F$26:H$178,"Wigton 1 (W)")</f>
        <v>22</v>
      </c>
      <c r="B21" s="32" t="s">
        <v>271</v>
      </c>
      <c r="C21" s="15">
        <v>3194701</v>
      </c>
      <c r="D21" s="57">
        <f>COUNTIF(F$26:I$178,"3194701")</f>
        <v>22</v>
      </c>
      <c r="E21" s="15"/>
      <c r="F21" s="57">
        <f>COUNTIF(F$26:F$178,"Lancaster Nomads 1 (W)")</f>
        <v>11</v>
      </c>
      <c r="G21" s="57"/>
      <c r="H21" s="57">
        <f>COUNTIF(H$26:H$178,"Lancaster Nomads 1 (W)")</f>
        <v>11</v>
      </c>
      <c r="I21" s="57">
        <f>COUNTIF(F$26:F$101,"Wigton 1 (W)")</f>
        <v>6</v>
      </c>
      <c r="J21" s="57">
        <f>COUNTIF(F$102:F$178,"Wigton 1 (W)")</f>
        <v>5</v>
      </c>
      <c r="K21" s="57">
        <f>COUNTIF(H$26:H$101,"Wigton 1 (W)")</f>
        <v>5</v>
      </c>
      <c r="L21" s="57">
        <f>COUNTIF(H$102:H$178,"Wigton 1 (W)")</f>
        <v>6</v>
      </c>
      <c r="M21" s="3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3" spans="1:43" ht="21" x14ac:dyDescent="0.4">
      <c r="B23" s="22" t="s">
        <v>93</v>
      </c>
    </row>
    <row r="24" spans="1:43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43" x14ac:dyDescent="0.3">
      <c r="B25" s="40"/>
      <c r="C25" s="14"/>
      <c r="D25" s="14"/>
      <c r="E25" s="14"/>
      <c r="F25" s="14"/>
      <c r="G25" s="14"/>
      <c r="H25" s="13"/>
      <c r="I25" s="14"/>
    </row>
    <row r="26" spans="1:43" x14ac:dyDescent="0.3">
      <c r="B26" s="44">
        <v>45913</v>
      </c>
      <c r="C26" s="3" t="s">
        <v>416</v>
      </c>
      <c r="D26" s="3" t="s">
        <v>58</v>
      </c>
      <c r="E26" s="101"/>
      <c r="F26" s="3" t="s">
        <v>270</v>
      </c>
      <c r="G26" s="4">
        <v>3069605</v>
      </c>
      <c r="H26" s="32" t="s">
        <v>267</v>
      </c>
      <c r="I26" s="15">
        <v>3205205</v>
      </c>
    </row>
    <row r="27" spans="1:43" x14ac:dyDescent="0.3">
      <c r="B27" s="44">
        <v>45913</v>
      </c>
      <c r="C27" s="3" t="s">
        <v>416</v>
      </c>
      <c r="D27" s="3" t="s">
        <v>58</v>
      </c>
      <c r="E27" s="101"/>
      <c r="F27" s="3" t="s">
        <v>297</v>
      </c>
      <c r="G27" s="32">
        <v>3204008</v>
      </c>
      <c r="H27" s="3" t="s">
        <v>586</v>
      </c>
      <c r="I27" s="32" t="s">
        <v>588</v>
      </c>
      <c r="K27" s="3"/>
      <c r="L27" s="32"/>
    </row>
    <row r="28" spans="1:43" x14ac:dyDescent="0.3">
      <c r="B28" s="44">
        <v>45913</v>
      </c>
      <c r="C28" s="3" t="s">
        <v>416</v>
      </c>
      <c r="D28" s="3" t="s">
        <v>58</v>
      </c>
      <c r="E28" s="101"/>
      <c r="F28" s="3" t="s">
        <v>305</v>
      </c>
      <c r="G28" s="32">
        <v>3202906</v>
      </c>
      <c r="H28" s="3" t="s">
        <v>447</v>
      </c>
      <c r="I28" s="32">
        <v>3055207</v>
      </c>
      <c r="K28" s="3"/>
      <c r="L28" s="4"/>
    </row>
    <row r="29" spans="1:43" x14ac:dyDescent="0.3">
      <c r="B29" s="44">
        <v>45913</v>
      </c>
      <c r="C29" s="3" t="s">
        <v>416</v>
      </c>
      <c r="D29" s="3" t="s">
        <v>58</v>
      </c>
      <c r="E29" s="101"/>
      <c r="F29" s="3" t="s">
        <v>271</v>
      </c>
      <c r="G29" s="32">
        <v>3194701</v>
      </c>
      <c r="H29" s="3" t="s">
        <v>265</v>
      </c>
      <c r="I29" s="32">
        <v>3208702</v>
      </c>
    </row>
    <row r="30" spans="1:43" x14ac:dyDescent="0.3">
      <c r="B30" s="44">
        <v>45913</v>
      </c>
      <c r="C30" s="3" t="s">
        <v>416</v>
      </c>
      <c r="D30" s="3" t="s">
        <v>58</v>
      </c>
      <c r="E30" s="101"/>
      <c r="F30" s="3" t="s">
        <v>587</v>
      </c>
      <c r="G30" s="32" t="s">
        <v>563</v>
      </c>
      <c r="H30" s="3" t="s">
        <v>269</v>
      </c>
      <c r="I30" s="32">
        <v>3069407</v>
      </c>
    </row>
    <row r="31" spans="1:43" x14ac:dyDescent="0.3">
      <c r="B31" s="44">
        <v>45913</v>
      </c>
      <c r="C31" s="3" t="s">
        <v>416</v>
      </c>
      <c r="D31" s="3" t="s">
        <v>58</v>
      </c>
      <c r="E31" s="101"/>
      <c r="F31" s="3" t="s">
        <v>303</v>
      </c>
      <c r="G31" s="4">
        <v>3205101</v>
      </c>
      <c r="H31" s="3" t="s">
        <v>262</v>
      </c>
      <c r="I31" s="32">
        <v>3055405</v>
      </c>
    </row>
    <row r="32" spans="1:43" x14ac:dyDescent="0.3">
      <c r="B32" s="4"/>
      <c r="E32" s="101"/>
      <c r="F32" s="3" t="s">
        <v>418</v>
      </c>
      <c r="G32" s="4"/>
    </row>
    <row r="33" spans="2:9" x14ac:dyDescent="0.3">
      <c r="B33" s="44">
        <v>45920</v>
      </c>
      <c r="C33" s="3" t="s">
        <v>416</v>
      </c>
      <c r="D33" s="3" t="s">
        <v>58</v>
      </c>
      <c r="E33" s="101"/>
      <c r="F33" s="3" t="s">
        <v>262</v>
      </c>
      <c r="G33" s="4">
        <v>3055405</v>
      </c>
      <c r="H33" s="3" t="s">
        <v>587</v>
      </c>
      <c r="I33" s="32" t="s">
        <v>563</v>
      </c>
    </row>
    <row r="34" spans="2:9" x14ac:dyDescent="0.3">
      <c r="B34" s="44">
        <v>45920</v>
      </c>
      <c r="C34" s="3" t="s">
        <v>416</v>
      </c>
      <c r="D34" s="3" t="s">
        <v>58</v>
      </c>
      <c r="E34" s="101"/>
      <c r="F34" s="3" t="s">
        <v>586</v>
      </c>
      <c r="G34" s="4" t="s">
        <v>588</v>
      </c>
      <c r="H34" s="3" t="s">
        <v>271</v>
      </c>
      <c r="I34" s="32">
        <v>3194701</v>
      </c>
    </row>
    <row r="35" spans="2:9" x14ac:dyDescent="0.3">
      <c r="B35" s="44">
        <v>45920</v>
      </c>
      <c r="C35" s="3" t="s">
        <v>416</v>
      </c>
      <c r="D35" s="3" t="s">
        <v>58</v>
      </c>
      <c r="E35" s="101"/>
      <c r="F35" s="3" t="s">
        <v>269</v>
      </c>
      <c r="G35" s="4">
        <v>3069407</v>
      </c>
      <c r="H35" s="3" t="s">
        <v>297</v>
      </c>
      <c r="I35" s="32">
        <v>3204008</v>
      </c>
    </row>
    <row r="36" spans="2:9" x14ac:dyDescent="0.3">
      <c r="B36" s="44">
        <v>45920</v>
      </c>
      <c r="C36" s="3" t="s">
        <v>416</v>
      </c>
      <c r="D36" s="3" t="s">
        <v>58</v>
      </c>
      <c r="E36" s="101"/>
      <c r="F36" s="32" t="s">
        <v>267</v>
      </c>
      <c r="G36" s="15">
        <v>3205205</v>
      </c>
      <c r="H36" s="3" t="s">
        <v>303</v>
      </c>
      <c r="I36" s="4">
        <v>3205101</v>
      </c>
    </row>
    <row r="37" spans="2:9" x14ac:dyDescent="0.3">
      <c r="B37" s="44">
        <v>45920</v>
      </c>
      <c r="C37" s="3" t="s">
        <v>416</v>
      </c>
      <c r="D37" s="3" t="s">
        <v>58</v>
      </c>
      <c r="E37" s="101"/>
      <c r="F37" s="3" t="s">
        <v>447</v>
      </c>
      <c r="G37" s="4">
        <v>3055207</v>
      </c>
      <c r="H37" s="3" t="s">
        <v>270</v>
      </c>
      <c r="I37" s="4">
        <v>3069605</v>
      </c>
    </row>
    <row r="38" spans="2:9" x14ac:dyDescent="0.3">
      <c r="B38" s="44">
        <v>45920</v>
      </c>
      <c r="C38" s="3" t="s">
        <v>416</v>
      </c>
      <c r="D38" s="3" t="s">
        <v>58</v>
      </c>
      <c r="E38" s="101"/>
      <c r="F38" s="3" t="s">
        <v>265</v>
      </c>
      <c r="G38" s="4">
        <v>3208702</v>
      </c>
      <c r="H38" s="3" t="s">
        <v>305</v>
      </c>
      <c r="I38" s="32">
        <v>3202906</v>
      </c>
    </row>
    <row r="39" spans="2:9" x14ac:dyDescent="0.3">
      <c r="B39" s="4"/>
      <c r="E39" s="101"/>
      <c r="G39" s="4"/>
    </row>
    <row r="40" spans="2:9" x14ac:dyDescent="0.3">
      <c r="B40" s="44">
        <v>45927</v>
      </c>
      <c r="C40" s="3" t="s">
        <v>416</v>
      </c>
      <c r="D40" s="3" t="s">
        <v>58</v>
      </c>
      <c r="E40" s="101"/>
      <c r="F40" s="3" t="s">
        <v>270</v>
      </c>
      <c r="G40" s="4">
        <v>3069605</v>
      </c>
      <c r="H40" s="3" t="s">
        <v>265</v>
      </c>
      <c r="I40" s="32">
        <v>3208702</v>
      </c>
    </row>
    <row r="41" spans="2:9" x14ac:dyDescent="0.3">
      <c r="B41" s="44">
        <v>45927</v>
      </c>
      <c r="C41" s="3" t="s">
        <v>416</v>
      </c>
      <c r="D41" s="3" t="s">
        <v>58</v>
      </c>
      <c r="E41" s="101"/>
      <c r="F41" s="3" t="s">
        <v>305</v>
      </c>
      <c r="G41" s="4">
        <v>3202906</v>
      </c>
      <c r="H41" s="3" t="s">
        <v>586</v>
      </c>
      <c r="I41" s="32" t="s">
        <v>588</v>
      </c>
    </row>
    <row r="42" spans="2:9" x14ac:dyDescent="0.3">
      <c r="B42" s="44">
        <v>45927</v>
      </c>
      <c r="C42" s="3" t="s">
        <v>416</v>
      </c>
      <c r="D42" s="3" t="s">
        <v>58</v>
      </c>
      <c r="E42" s="101"/>
      <c r="F42" s="3" t="s">
        <v>269</v>
      </c>
      <c r="G42" s="4">
        <v>3069407</v>
      </c>
      <c r="H42" s="3" t="s">
        <v>262</v>
      </c>
      <c r="I42" s="32">
        <v>3055405</v>
      </c>
    </row>
    <row r="43" spans="2:9" x14ac:dyDescent="0.3">
      <c r="B43" s="44">
        <v>45927</v>
      </c>
      <c r="C43" s="3" t="s">
        <v>416</v>
      </c>
      <c r="D43" s="3" t="s">
        <v>58</v>
      </c>
      <c r="E43" s="101"/>
      <c r="F43" s="3" t="s">
        <v>271</v>
      </c>
      <c r="G43" s="4">
        <v>3194701</v>
      </c>
      <c r="H43" s="3" t="s">
        <v>297</v>
      </c>
      <c r="I43" s="32">
        <v>3204008</v>
      </c>
    </row>
    <row r="44" spans="2:9" x14ac:dyDescent="0.3">
      <c r="B44" s="44">
        <v>45927</v>
      </c>
      <c r="C44" s="3" t="s">
        <v>416</v>
      </c>
      <c r="D44" s="3" t="s">
        <v>58</v>
      </c>
      <c r="E44" s="101"/>
      <c r="F44" s="3" t="s">
        <v>587</v>
      </c>
      <c r="G44" s="4" t="s">
        <v>563</v>
      </c>
      <c r="H44" s="32" t="s">
        <v>267</v>
      </c>
      <c r="I44" s="15">
        <v>3205205</v>
      </c>
    </row>
    <row r="45" spans="2:9" x14ac:dyDescent="0.3">
      <c r="B45" s="44">
        <v>45927</v>
      </c>
      <c r="C45" s="3" t="s">
        <v>416</v>
      </c>
      <c r="D45" s="3" t="s">
        <v>58</v>
      </c>
      <c r="E45" s="101"/>
      <c r="F45" s="3" t="s">
        <v>303</v>
      </c>
      <c r="G45" s="4">
        <v>3205101</v>
      </c>
      <c r="H45" s="3" t="s">
        <v>447</v>
      </c>
      <c r="I45" s="32">
        <v>3055207</v>
      </c>
    </row>
    <row r="46" spans="2:9" x14ac:dyDescent="0.3">
      <c r="B46" s="4"/>
      <c r="E46" s="101"/>
      <c r="G46" s="4"/>
    </row>
    <row r="47" spans="2:9" x14ac:dyDescent="0.3">
      <c r="B47" s="44">
        <v>45934</v>
      </c>
      <c r="C47" s="3" t="s">
        <v>416</v>
      </c>
      <c r="D47" s="3" t="s">
        <v>58</v>
      </c>
      <c r="E47" s="101"/>
      <c r="F47" s="3" t="s">
        <v>297</v>
      </c>
      <c r="G47" s="4">
        <v>3204008</v>
      </c>
      <c r="H47" s="3" t="s">
        <v>305</v>
      </c>
      <c r="I47" s="32">
        <v>3202906</v>
      </c>
    </row>
    <row r="48" spans="2:9" x14ac:dyDescent="0.3">
      <c r="B48" s="44">
        <v>45934</v>
      </c>
      <c r="C48" s="3" t="s">
        <v>416</v>
      </c>
      <c r="D48" s="3" t="s">
        <v>58</v>
      </c>
      <c r="E48" s="101"/>
      <c r="F48" s="3" t="s">
        <v>586</v>
      </c>
      <c r="G48" s="4" t="s">
        <v>588</v>
      </c>
      <c r="H48" s="3" t="s">
        <v>270</v>
      </c>
      <c r="I48" s="4">
        <v>3069605</v>
      </c>
    </row>
    <row r="49" spans="2:9" x14ac:dyDescent="0.3">
      <c r="B49" s="44">
        <v>45934</v>
      </c>
      <c r="C49" s="3" t="s">
        <v>416</v>
      </c>
      <c r="D49" s="3" t="s">
        <v>58</v>
      </c>
      <c r="E49" s="101"/>
      <c r="F49" s="3" t="s">
        <v>271</v>
      </c>
      <c r="G49" s="4">
        <v>3194701</v>
      </c>
      <c r="H49" s="3" t="s">
        <v>269</v>
      </c>
      <c r="I49" s="4">
        <v>3069407</v>
      </c>
    </row>
    <row r="50" spans="2:9" x14ac:dyDescent="0.3">
      <c r="B50" s="44">
        <v>45934</v>
      </c>
      <c r="C50" s="3" t="s">
        <v>416</v>
      </c>
      <c r="D50" s="3" t="s">
        <v>58</v>
      </c>
      <c r="E50" s="101"/>
      <c r="F50" s="32" t="s">
        <v>267</v>
      </c>
      <c r="G50" s="15">
        <v>3205205</v>
      </c>
      <c r="H50" s="3" t="s">
        <v>262</v>
      </c>
      <c r="I50" s="32">
        <v>3055405</v>
      </c>
    </row>
    <row r="51" spans="2:9" x14ac:dyDescent="0.3">
      <c r="B51" s="44">
        <v>45934</v>
      </c>
      <c r="C51" s="3" t="s">
        <v>416</v>
      </c>
      <c r="D51" s="3" t="s">
        <v>58</v>
      </c>
      <c r="E51" s="101"/>
      <c r="F51" s="3" t="s">
        <v>447</v>
      </c>
      <c r="G51" s="4">
        <v>3055207</v>
      </c>
      <c r="H51" s="3" t="s">
        <v>587</v>
      </c>
      <c r="I51" s="32" t="s">
        <v>563</v>
      </c>
    </row>
    <row r="52" spans="2:9" x14ac:dyDescent="0.3">
      <c r="B52" s="44">
        <v>45934</v>
      </c>
      <c r="C52" s="3" t="s">
        <v>416</v>
      </c>
      <c r="D52" s="3" t="s">
        <v>58</v>
      </c>
      <c r="E52" s="101"/>
      <c r="F52" s="3" t="s">
        <v>265</v>
      </c>
      <c r="G52" s="4">
        <v>3208702</v>
      </c>
      <c r="H52" s="3" t="s">
        <v>303</v>
      </c>
      <c r="I52" s="4">
        <v>3205101</v>
      </c>
    </row>
    <row r="53" spans="2:9" x14ac:dyDescent="0.3">
      <c r="B53" s="4"/>
      <c r="E53" s="101"/>
      <c r="G53" s="4"/>
    </row>
    <row r="54" spans="2:9" x14ac:dyDescent="0.3">
      <c r="B54" s="44">
        <v>45941</v>
      </c>
      <c r="C54" s="3" t="s">
        <v>416</v>
      </c>
      <c r="D54" s="3" t="s">
        <v>58</v>
      </c>
      <c r="E54" s="101"/>
      <c r="F54" s="3" t="s">
        <v>270</v>
      </c>
      <c r="G54" s="4">
        <v>3069605</v>
      </c>
      <c r="H54" s="3" t="s">
        <v>297</v>
      </c>
      <c r="I54" s="32">
        <v>3204008</v>
      </c>
    </row>
    <row r="55" spans="2:9" x14ac:dyDescent="0.3">
      <c r="B55" s="44">
        <v>45941</v>
      </c>
      <c r="C55" s="3" t="s">
        <v>416</v>
      </c>
      <c r="D55" s="3" t="s">
        <v>58</v>
      </c>
      <c r="E55" s="101"/>
      <c r="F55" s="3" t="s">
        <v>262</v>
      </c>
      <c r="G55" s="4">
        <v>3055405</v>
      </c>
      <c r="H55" s="3" t="s">
        <v>447</v>
      </c>
      <c r="I55" s="32">
        <v>3055207</v>
      </c>
    </row>
    <row r="56" spans="2:9" x14ac:dyDescent="0.3">
      <c r="B56" s="44">
        <v>45941</v>
      </c>
      <c r="C56" s="3" t="s">
        <v>416</v>
      </c>
      <c r="D56" s="3" t="s">
        <v>58</v>
      </c>
      <c r="E56" s="101"/>
      <c r="F56" s="3" t="s">
        <v>305</v>
      </c>
      <c r="G56" s="4">
        <v>3202906</v>
      </c>
      <c r="H56" s="3" t="s">
        <v>271</v>
      </c>
      <c r="I56" s="32">
        <v>3194701</v>
      </c>
    </row>
    <row r="57" spans="2:9" x14ac:dyDescent="0.3">
      <c r="B57" s="44">
        <v>45941</v>
      </c>
      <c r="C57" s="3" t="s">
        <v>416</v>
      </c>
      <c r="D57" s="3" t="s">
        <v>58</v>
      </c>
      <c r="E57" s="101"/>
      <c r="F57" s="3" t="s">
        <v>269</v>
      </c>
      <c r="G57" s="4">
        <v>3069407</v>
      </c>
      <c r="H57" s="32" t="s">
        <v>267</v>
      </c>
      <c r="I57" s="15">
        <v>3205205</v>
      </c>
    </row>
    <row r="58" spans="2:9" x14ac:dyDescent="0.3">
      <c r="B58" s="44">
        <v>45941</v>
      </c>
      <c r="C58" s="3" t="s">
        <v>416</v>
      </c>
      <c r="D58" s="3" t="s">
        <v>58</v>
      </c>
      <c r="E58" s="101"/>
      <c r="F58" s="3" t="s">
        <v>587</v>
      </c>
      <c r="G58" s="4" t="s">
        <v>563</v>
      </c>
      <c r="H58" s="3" t="s">
        <v>265</v>
      </c>
      <c r="I58" s="32">
        <v>3208702</v>
      </c>
    </row>
    <row r="59" spans="2:9" x14ac:dyDescent="0.3">
      <c r="B59" s="44">
        <v>45941</v>
      </c>
      <c r="C59" s="3" t="s">
        <v>416</v>
      </c>
      <c r="D59" s="3" t="s">
        <v>58</v>
      </c>
      <c r="E59" s="101"/>
      <c r="F59" s="3" t="s">
        <v>303</v>
      </c>
      <c r="G59" s="4">
        <v>3205101</v>
      </c>
      <c r="H59" s="3" t="s">
        <v>586</v>
      </c>
      <c r="I59" s="32" t="s">
        <v>588</v>
      </c>
    </row>
    <row r="60" spans="2:9" x14ac:dyDescent="0.3">
      <c r="B60" s="4"/>
      <c r="E60" s="101"/>
      <c r="G60" s="4"/>
    </row>
    <row r="61" spans="2:9" x14ac:dyDescent="0.3">
      <c r="B61" s="44">
        <v>45948</v>
      </c>
      <c r="C61" s="3" t="s">
        <v>416</v>
      </c>
      <c r="D61" s="3" t="s">
        <v>58</v>
      </c>
      <c r="E61" s="101"/>
      <c r="F61" s="3" t="s">
        <v>297</v>
      </c>
      <c r="G61" s="4">
        <v>3204008</v>
      </c>
      <c r="H61" s="3" t="s">
        <v>303</v>
      </c>
      <c r="I61" s="4">
        <v>3205101</v>
      </c>
    </row>
    <row r="62" spans="2:9" x14ac:dyDescent="0.3">
      <c r="B62" s="44">
        <v>45948</v>
      </c>
      <c r="C62" s="3" t="s">
        <v>416</v>
      </c>
      <c r="D62" s="3" t="s">
        <v>58</v>
      </c>
      <c r="E62" s="101"/>
      <c r="F62" s="3" t="s">
        <v>586</v>
      </c>
      <c r="G62" s="4" t="s">
        <v>588</v>
      </c>
      <c r="H62" s="3" t="s">
        <v>587</v>
      </c>
      <c r="I62" s="32" t="s">
        <v>563</v>
      </c>
    </row>
    <row r="63" spans="2:9" x14ac:dyDescent="0.3">
      <c r="B63" s="44">
        <v>45948</v>
      </c>
      <c r="C63" s="3" t="s">
        <v>416</v>
      </c>
      <c r="D63" s="3" t="s">
        <v>58</v>
      </c>
      <c r="E63" s="101"/>
      <c r="F63" s="3" t="s">
        <v>305</v>
      </c>
      <c r="G63" s="4">
        <v>3202906</v>
      </c>
      <c r="H63" s="3" t="s">
        <v>269</v>
      </c>
      <c r="I63" s="4">
        <v>3069407</v>
      </c>
    </row>
    <row r="64" spans="2:9" x14ac:dyDescent="0.3">
      <c r="B64" s="44">
        <v>45948</v>
      </c>
      <c r="C64" s="3" t="s">
        <v>416</v>
      </c>
      <c r="D64" s="3" t="s">
        <v>58</v>
      </c>
      <c r="E64" s="101"/>
      <c r="F64" s="3" t="s">
        <v>271</v>
      </c>
      <c r="G64" s="4">
        <v>3194701</v>
      </c>
      <c r="H64" s="3" t="s">
        <v>270</v>
      </c>
      <c r="I64" s="4">
        <v>3069605</v>
      </c>
    </row>
    <row r="65" spans="2:11" x14ac:dyDescent="0.3">
      <c r="B65" s="44">
        <v>45948</v>
      </c>
      <c r="C65" s="3" t="s">
        <v>416</v>
      </c>
      <c r="D65" s="3" t="s">
        <v>58</v>
      </c>
      <c r="E65" s="101"/>
      <c r="F65" s="3" t="s">
        <v>447</v>
      </c>
      <c r="G65" s="4">
        <v>3055207</v>
      </c>
      <c r="H65" s="32" t="s">
        <v>267</v>
      </c>
      <c r="I65" s="15">
        <v>3205205</v>
      </c>
    </row>
    <row r="66" spans="2:11" x14ac:dyDescent="0.3">
      <c r="B66" s="44">
        <v>45948</v>
      </c>
      <c r="C66" s="3" t="s">
        <v>416</v>
      </c>
      <c r="D66" s="3" t="s">
        <v>58</v>
      </c>
      <c r="E66" s="101"/>
      <c r="F66" s="3" t="s">
        <v>265</v>
      </c>
      <c r="G66" s="4">
        <v>3208702</v>
      </c>
      <c r="H66" s="3" t="s">
        <v>262</v>
      </c>
      <c r="I66" s="32">
        <v>3055405</v>
      </c>
    </row>
    <row r="67" spans="2:11" x14ac:dyDescent="0.3">
      <c r="B67" s="4"/>
      <c r="E67" s="101"/>
      <c r="G67" s="4"/>
    </row>
    <row r="68" spans="2:11" x14ac:dyDescent="0.3">
      <c r="B68" s="44">
        <v>45962</v>
      </c>
      <c r="C68" s="3" t="s">
        <v>416</v>
      </c>
      <c r="D68" s="3" t="s">
        <v>58</v>
      </c>
      <c r="E68" s="101"/>
      <c r="F68" s="3" t="s">
        <v>270</v>
      </c>
      <c r="G68" s="4">
        <v>3069605</v>
      </c>
      <c r="H68" s="3" t="s">
        <v>305</v>
      </c>
      <c r="I68" s="32">
        <v>3202906</v>
      </c>
    </row>
    <row r="69" spans="2:11" x14ac:dyDescent="0.3">
      <c r="B69" s="44">
        <v>45962</v>
      </c>
      <c r="C69" s="3" t="s">
        <v>416</v>
      </c>
      <c r="D69" s="3" t="s">
        <v>58</v>
      </c>
      <c r="E69" s="101"/>
      <c r="F69" s="3" t="s">
        <v>262</v>
      </c>
      <c r="G69" s="4">
        <v>3055405</v>
      </c>
      <c r="H69" s="3" t="s">
        <v>586</v>
      </c>
      <c r="I69" s="32" t="s">
        <v>588</v>
      </c>
    </row>
    <row r="70" spans="2:11" x14ac:dyDescent="0.3">
      <c r="B70" s="44">
        <v>45962</v>
      </c>
      <c r="C70" s="3" t="s">
        <v>416</v>
      </c>
      <c r="D70" s="3" t="s">
        <v>58</v>
      </c>
      <c r="E70" s="101"/>
      <c r="F70" s="3" t="s">
        <v>447</v>
      </c>
      <c r="G70" s="32">
        <v>3055207</v>
      </c>
      <c r="H70" s="3" t="s">
        <v>269</v>
      </c>
      <c r="I70" s="4">
        <v>3069407</v>
      </c>
      <c r="K70" s="4"/>
    </row>
    <row r="71" spans="2:11" x14ac:dyDescent="0.3">
      <c r="B71" s="44">
        <v>45962</v>
      </c>
      <c r="C71" s="3" t="s">
        <v>416</v>
      </c>
      <c r="D71" s="3" t="s">
        <v>58</v>
      </c>
      <c r="E71" s="101"/>
      <c r="F71" s="32" t="s">
        <v>267</v>
      </c>
      <c r="G71" s="15">
        <v>3205205</v>
      </c>
      <c r="H71" s="3" t="s">
        <v>265</v>
      </c>
      <c r="I71" s="32">
        <v>3208702</v>
      </c>
    </row>
    <row r="72" spans="2:11" x14ac:dyDescent="0.3">
      <c r="B72" s="44">
        <v>45962</v>
      </c>
      <c r="C72" s="3" t="s">
        <v>416</v>
      </c>
      <c r="D72" s="3" t="s">
        <v>58</v>
      </c>
      <c r="E72" s="101"/>
      <c r="F72" s="3" t="s">
        <v>587</v>
      </c>
      <c r="G72" s="4" t="s">
        <v>563</v>
      </c>
      <c r="H72" s="3" t="s">
        <v>297</v>
      </c>
      <c r="I72" s="32">
        <v>3204008</v>
      </c>
    </row>
    <row r="73" spans="2:11" x14ac:dyDescent="0.3">
      <c r="B73" s="44">
        <v>45962</v>
      </c>
      <c r="C73" s="3" t="s">
        <v>416</v>
      </c>
      <c r="D73" s="3" t="s">
        <v>58</v>
      </c>
      <c r="E73" s="101"/>
      <c r="F73" s="3" t="s">
        <v>303</v>
      </c>
      <c r="G73" s="4">
        <v>3205101</v>
      </c>
      <c r="H73" s="3" t="s">
        <v>271</v>
      </c>
      <c r="I73" s="32">
        <v>3194701</v>
      </c>
    </row>
    <row r="74" spans="2:11" x14ac:dyDescent="0.3">
      <c r="B74" s="4"/>
      <c r="E74" s="101"/>
      <c r="G74" s="4"/>
    </row>
    <row r="75" spans="2:11" x14ac:dyDescent="0.3">
      <c r="B75" s="44">
        <v>45969</v>
      </c>
      <c r="C75" s="3" t="s">
        <v>416</v>
      </c>
      <c r="D75" s="3" t="s">
        <v>58</v>
      </c>
      <c r="E75" s="101"/>
      <c r="F75" s="3" t="s">
        <v>270</v>
      </c>
      <c r="G75" s="4">
        <v>3069605</v>
      </c>
      <c r="H75" s="3" t="s">
        <v>269</v>
      </c>
      <c r="I75" s="4">
        <v>3069407</v>
      </c>
    </row>
    <row r="76" spans="2:11" x14ac:dyDescent="0.3">
      <c r="B76" s="44">
        <v>45969</v>
      </c>
      <c r="C76" s="3" t="s">
        <v>416</v>
      </c>
      <c r="D76" s="3" t="s">
        <v>58</v>
      </c>
      <c r="E76" s="101"/>
      <c r="F76" s="3" t="s">
        <v>297</v>
      </c>
      <c r="G76" s="4">
        <v>3204008</v>
      </c>
      <c r="H76" s="3" t="s">
        <v>262</v>
      </c>
      <c r="I76" s="32">
        <v>3055405</v>
      </c>
    </row>
    <row r="77" spans="2:11" x14ac:dyDescent="0.3">
      <c r="B77" s="44">
        <v>45969</v>
      </c>
      <c r="C77" s="3" t="s">
        <v>416</v>
      </c>
      <c r="D77" s="3" t="s">
        <v>58</v>
      </c>
      <c r="E77" s="101"/>
      <c r="F77" s="3" t="s">
        <v>586</v>
      </c>
      <c r="G77" s="4" t="s">
        <v>588</v>
      </c>
      <c r="H77" s="32" t="s">
        <v>267</v>
      </c>
      <c r="I77" s="15">
        <v>3205205</v>
      </c>
    </row>
    <row r="78" spans="2:11" x14ac:dyDescent="0.3">
      <c r="B78" s="44">
        <v>45969</v>
      </c>
      <c r="C78" s="3" t="s">
        <v>416</v>
      </c>
      <c r="D78" s="3" t="s">
        <v>58</v>
      </c>
      <c r="E78" s="101"/>
      <c r="F78" s="3" t="s">
        <v>305</v>
      </c>
      <c r="G78" s="4">
        <v>3202906</v>
      </c>
      <c r="H78" s="3" t="s">
        <v>303</v>
      </c>
      <c r="I78" s="4">
        <v>3205101</v>
      </c>
    </row>
    <row r="79" spans="2:11" x14ac:dyDescent="0.3">
      <c r="B79" s="44">
        <v>45969</v>
      </c>
      <c r="C79" s="3" t="s">
        <v>416</v>
      </c>
      <c r="D79" s="3" t="s">
        <v>58</v>
      </c>
      <c r="E79" s="101"/>
      <c r="F79" s="3" t="s">
        <v>271</v>
      </c>
      <c r="G79" s="4">
        <v>3194701</v>
      </c>
      <c r="H79" s="3" t="s">
        <v>587</v>
      </c>
      <c r="I79" s="32" t="s">
        <v>563</v>
      </c>
    </row>
    <row r="80" spans="2:11" x14ac:dyDescent="0.3">
      <c r="B80" s="44">
        <v>45969</v>
      </c>
      <c r="C80" s="3" t="s">
        <v>416</v>
      </c>
      <c r="D80" s="3" t="s">
        <v>58</v>
      </c>
      <c r="E80" s="101"/>
      <c r="F80" s="3" t="s">
        <v>265</v>
      </c>
      <c r="G80" s="4">
        <v>3208702</v>
      </c>
      <c r="H80" s="3" t="s">
        <v>447</v>
      </c>
      <c r="I80" s="32">
        <v>3055207</v>
      </c>
    </row>
    <row r="81" spans="2:11" x14ac:dyDescent="0.3">
      <c r="B81" s="4"/>
      <c r="E81" s="101"/>
      <c r="G81" s="4"/>
    </row>
    <row r="82" spans="2:11" x14ac:dyDescent="0.3">
      <c r="B82" s="44">
        <v>45976</v>
      </c>
      <c r="C82" s="3" t="s">
        <v>416</v>
      </c>
      <c r="D82" s="3" t="s">
        <v>58</v>
      </c>
      <c r="E82" s="101"/>
      <c r="F82" s="3" t="s">
        <v>262</v>
      </c>
      <c r="G82" s="4">
        <v>3055405</v>
      </c>
      <c r="H82" s="3" t="s">
        <v>271</v>
      </c>
      <c r="I82" s="32">
        <v>3194701</v>
      </c>
    </row>
    <row r="83" spans="2:11" x14ac:dyDescent="0.3">
      <c r="B83" s="44">
        <v>45976</v>
      </c>
      <c r="C83" s="3" t="s">
        <v>416</v>
      </c>
      <c r="D83" s="3" t="s">
        <v>58</v>
      </c>
      <c r="E83" s="101"/>
      <c r="F83" s="3" t="s">
        <v>269</v>
      </c>
      <c r="G83" s="4">
        <v>3069407</v>
      </c>
      <c r="H83" s="3" t="s">
        <v>265</v>
      </c>
      <c r="I83" s="32">
        <v>3208702</v>
      </c>
    </row>
    <row r="84" spans="2:11" x14ac:dyDescent="0.3">
      <c r="B84" s="44">
        <v>45976</v>
      </c>
      <c r="C84" s="3" t="s">
        <v>416</v>
      </c>
      <c r="D84" s="3" t="s">
        <v>58</v>
      </c>
      <c r="E84" s="101"/>
      <c r="F84" s="32" t="s">
        <v>267</v>
      </c>
      <c r="G84" s="15">
        <v>3205205</v>
      </c>
      <c r="H84" s="3" t="s">
        <v>297</v>
      </c>
      <c r="I84" s="32">
        <v>3204008</v>
      </c>
    </row>
    <row r="85" spans="2:11" x14ac:dyDescent="0.3">
      <c r="B85" s="44">
        <v>45976</v>
      </c>
      <c r="C85" s="3" t="s">
        <v>416</v>
      </c>
      <c r="D85" s="3" t="s">
        <v>58</v>
      </c>
      <c r="E85" s="101"/>
      <c r="F85" s="3" t="s">
        <v>447</v>
      </c>
      <c r="G85" s="4">
        <v>3055207</v>
      </c>
      <c r="H85" s="3" t="s">
        <v>586</v>
      </c>
      <c r="I85" s="32" t="s">
        <v>588</v>
      </c>
    </row>
    <row r="86" spans="2:11" x14ac:dyDescent="0.3">
      <c r="B86" s="44">
        <v>45976</v>
      </c>
      <c r="C86" s="3" t="s">
        <v>416</v>
      </c>
      <c r="D86" s="3" t="s">
        <v>58</v>
      </c>
      <c r="E86" s="101"/>
      <c r="F86" s="3" t="s">
        <v>587</v>
      </c>
      <c r="G86" s="4" t="s">
        <v>563</v>
      </c>
      <c r="H86" s="3" t="s">
        <v>305</v>
      </c>
      <c r="I86" s="32">
        <v>3202906</v>
      </c>
    </row>
    <row r="87" spans="2:11" x14ac:dyDescent="0.3">
      <c r="B87" s="44">
        <v>45976</v>
      </c>
      <c r="C87" s="3" t="s">
        <v>416</v>
      </c>
      <c r="D87" s="3" t="s">
        <v>58</v>
      </c>
      <c r="E87" s="101"/>
      <c r="F87" s="3" t="s">
        <v>303</v>
      </c>
      <c r="G87" s="4">
        <v>3205101</v>
      </c>
      <c r="H87" s="3" t="s">
        <v>270</v>
      </c>
      <c r="I87" s="4">
        <v>3069605</v>
      </c>
    </row>
    <row r="88" spans="2:11" x14ac:dyDescent="0.3">
      <c r="B88" s="4"/>
      <c r="E88" s="101"/>
      <c r="G88" s="4"/>
    </row>
    <row r="89" spans="2:11" x14ac:dyDescent="0.3">
      <c r="B89" s="44">
        <v>45983</v>
      </c>
      <c r="C89" s="3" t="s">
        <v>416</v>
      </c>
      <c r="D89" s="3" t="s">
        <v>58</v>
      </c>
      <c r="E89" s="101"/>
      <c r="F89" s="3" t="s">
        <v>270</v>
      </c>
      <c r="G89" s="4">
        <v>3069605</v>
      </c>
      <c r="H89" s="3" t="s">
        <v>587</v>
      </c>
      <c r="I89" s="32" t="s">
        <v>563</v>
      </c>
    </row>
    <row r="90" spans="2:11" x14ac:dyDescent="0.3">
      <c r="B90" s="44">
        <v>45983</v>
      </c>
      <c r="C90" s="3" t="s">
        <v>416</v>
      </c>
      <c r="D90" s="3" t="s">
        <v>58</v>
      </c>
      <c r="E90" s="101"/>
      <c r="F90" s="3" t="s">
        <v>297</v>
      </c>
      <c r="G90" s="4">
        <v>3204008</v>
      </c>
      <c r="H90" s="3" t="s">
        <v>447</v>
      </c>
      <c r="I90" s="32">
        <v>3055207</v>
      </c>
    </row>
    <row r="91" spans="2:11" x14ac:dyDescent="0.3">
      <c r="B91" s="44">
        <v>45983</v>
      </c>
      <c r="C91" s="3" t="s">
        <v>416</v>
      </c>
      <c r="D91" s="3" t="s">
        <v>58</v>
      </c>
      <c r="E91" s="101"/>
      <c r="F91" s="3" t="s">
        <v>586</v>
      </c>
      <c r="G91" s="4" t="s">
        <v>588</v>
      </c>
      <c r="H91" s="3" t="s">
        <v>265</v>
      </c>
      <c r="I91" s="32">
        <v>3208702</v>
      </c>
    </row>
    <row r="92" spans="2:11" x14ac:dyDescent="0.3">
      <c r="B92" s="44">
        <v>45983</v>
      </c>
      <c r="C92" s="3" t="s">
        <v>416</v>
      </c>
      <c r="D92" s="3" t="s">
        <v>58</v>
      </c>
      <c r="E92" s="101"/>
      <c r="F92" s="3" t="s">
        <v>305</v>
      </c>
      <c r="G92" s="4">
        <v>3202906</v>
      </c>
      <c r="H92" s="3" t="s">
        <v>262</v>
      </c>
      <c r="I92" s="32">
        <v>3055405</v>
      </c>
    </row>
    <row r="93" spans="2:11" x14ac:dyDescent="0.3">
      <c r="B93" s="44">
        <v>45983</v>
      </c>
      <c r="C93" s="3" t="s">
        <v>416</v>
      </c>
      <c r="D93" s="3" t="s">
        <v>58</v>
      </c>
      <c r="E93" s="101"/>
      <c r="F93" s="3" t="s">
        <v>271</v>
      </c>
      <c r="G93" s="4">
        <v>3194701</v>
      </c>
      <c r="H93" s="32" t="s">
        <v>267</v>
      </c>
      <c r="I93" s="15">
        <v>3205205</v>
      </c>
    </row>
    <row r="94" spans="2:11" x14ac:dyDescent="0.3">
      <c r="B94" s="44">
        <v>45983</v>
      </c>
      <c r="C94" s="3" t="s">
        <v>416</v>
      </c>
      <c r="D94" s="3" t="s">
        <v>58</v>
      </c>
      <c r="E94" s="101"/>
      <c r="F94" s="3" t="s">
        <v>269</v>
      </c>
      <c r="G94" s="4">
        <v>3069407</v>
      </c>
      <c r="H94" s="3" t="s">
        <v>303</v>
      </c>
      <c r="I94" s="4">
        <v>3205101</v>
      </c>
      <c r="K94" s="4"/>
    </row>
    <row r="95" spans="2:11" x14ac:dyDescent="0.3">
      <c r="B95" s="4"/>
      <c r="E95" s="101"/>
      <c r="G95" s="4"/>
    </row>
    <row r="96" spans="2:11" x14ac:dyDescent="0.3">
      <c r="B96" s="44">
        <v>45990</v>
      </c>
      <c r="C96" s="3" t="s">
        <v>416</v>
      </c>
      <c r="D96" s="3" t="s">
        <v>58</v>
      </c>
      <c r="E96" s="101"/>
      <c r="F96" s="3" t="s">
        <v>262</v>
      </c>
      <c r="G96" s="4">
        <v>3055405</v>
      </c>
      <c r="H96" s="3" t="s">
        <v>270</v>
      </c>
      <c r="I96" s="4">
        <v>3069605</v>
      </c>
    </row>
    <row r="97" spans="2:9" x14ac:dyDescent="0.3">
      <c r="B97" s="44">
        <v>45990</v>
      </c>
      <c r="C97" s="3" t="s">
        <v>416</v>
      </c>
      <c r="D97" s="3" t="s">
        <v>58</v>
      </c>
      <c r="E97" s="101"/>
      <c r="F97" s="3" t="s">
        <v>269</v>
      </c>
      <c r="G97" s="4">
        <v>3069407</v>
      </c>
      <c r="H97" s="3" t="s">
        <v>586</v>
      </c>
      <c r="I97" s="32" t="s">
        <v>588</v>
      </c>
    </row>
    <row r="98" spans="2:9" x14ac:dyDescent="0.3">
      <c r="B98" s="44">
        <v>45990</v>
      </c>
      <c r="C98" s="3" t="s">
        <v>416</v>
      </c>
      <c r="D98" s="3" t="s">
        <v>58</v>
      </c>
      <c r="E98" s="101"/>
      <c r="F98" s="32" t="s">
        <v>267</v>
      </c>
      <c r="G98" s="15">
        <v>3205205</v>
      </c>
      <c r="H98" s="3" t="s">
        <v>305</v>
      </c>
      <c r="I98" s="32">
        <v>3202906</v>
      </c>
    </row>
    <row r="99" spans="2:9" x14ac:dyDescent="0.3">
      <c r="B99" s="44">
        <v>45990</v>
      </c>
      <c r="C99" s="3" t="s">
        <v>416</v>
      </c>
      <c r="D99" s="3" t="s">
        <v>58</v>
      </c>
      <c r="E99" s="101"/>
      <c r="F99" s="3" t="s">
        <v>447</v>
      </c>
      <c r="G99" s="4">
        <v>3055207</v>
      </c>
      <c r="H99" s="3" t="s">
        <v>271</v>
      </c>
      <c r="I99" s="32">
        <v>3194701</v>
      </c>
    </row>
    <row r="100" spans="2:9" x14ac:dyDescent="0.3">
      <c r="B100" s="44">
        <v>45990</v>
      </c>
      <c r="C100" s="3" t="s">
        <v>416</v>
      </c>
      <c r="D100" s="3" t="s">
        <v>58</v>
      </c>
      <c r="E100" s="101"/>
      <c r="F100" s="3" t="s">
        <v>587</v>
      </c>
      <c r="G100" s="4" t="s">
        <v>563</v>
      </c>
      <c r="H100" s="3" t="s">
        <v>303</v>
      </c>
      <c r="I100" s="4">
        <v>3205101</v>
      </c>
    </row>
    <row r="101" spans="2:9" x14ac:dyDescent="0.3">
      <c r="B101" s="44">
        <v>45990</v>
      </c>
      <c r="C101" s="3" t="s">
        <v>416</v>
      </c>
      <c r="D101" s="3" t="s">
        <v>58</v>
      </c>
      <c r="E101" s="101"/>
      <c r="F101" s="3" t="s">
        <v>265</v>
      </c>
      <c r="G101" s="4">
        <v>3208702</v>
      </c>
      <c r="H101" s="3" t="s">
        <v>297</v>
      </c>
      <c r="I101" s="32">
        <v>3204008</v>
      </c>
    </row>
    <row r="102" spans="2:9" x14ac:dyDescent="0.3">
      <c r="B102" s="4"/>
      <c r="E102" s="101"/>
      <c r="G102" s="4"/>
    </row>
    <row r="103" spans="2:9" x14ac:dyDescent="0.3">
      <c r="B103" s="44">
        <v>46032</v>
      </c>
      <c r="C103" s="3" t="s">
        <v>416</v>
      </c>
      <c r="D103" s="3" t="s">
        <v>58</v>
      </c>
      <c r="E103" s="101"/>
      <c r="F103" s="3" t="s">
        <v>262</v>
      </c>
      <c r="G103" s="4">
        <v>3055405</v>
      </c>
      <c r="H103" s="3" t="s">
        <v>303</v>
      </c>
      <c r="I103" s="4">
        <v>3205101</v>
      </c>
    </row>
    <row r="104" spans="2:9" x14ac:dyDescent="0.3">
      <c r="B104" s="44">
        <v>46032</v>
      </c>
      <c r="C104" s="3" t="s">
        <v>416</v>
      </c>
      <c r="D104" s="3" t="s">
        <v>58</v>
      </c>
      <c r="E104" s="101"/>
      <c r="F104" s="3" t="s">
        <v>586</v>
      </c>
      <c r="G104" s="4" t="s">
        <v>588</v>
      </c>
      <c r="H104" s="3" t="s">
        <v>297</v>
      </c>
      <c r="I104" s="32">
        <v>3204008</v>
      </c>
    </row>
    <row r="105" spans="2:9" x14ac:dyDescent="0.3">
      <c r="B105" s="44">
        <v>46032</v>
      </c>
      <c r="C105" s="3" t="s">
        <v>416</v>
      </c>
      <c r="D105" s="3" t="s">
        <v>58</v>
      </c>
      <c r="E105" s="101"/>
      <c r="F105" s="3" t="s">
        <v>269</v>
      </c>
      <c r="G105" s="4">
        <v>3069407</v>
      </c>
      <c r="H105" s="3" t="s">
        <v>587</v>
      </c>
      <c r="I105" s="32" t="s">
        <v>563</v>
      </c>
    </row>
    <row r="106" spans="2:9" x14ac:dyDescent="0.3">
      <c r="B106" s="44">
        <v>46032</v>
      </c>
      <c r="C106" s="3" t="s">
        <v>416</v>
      </c>
      <c r="D106" s="3" t="s">
        <v>58</v>
      </c>
      <c r="E106" s="101"/>
      <c r="F106" s="32" t="s">
        <v>267</v>
      </c>
      <c r="G106" s="15">
        <v>3205205</v>
      </c>
      <c r="H106" s="3" t="s">
        <v>270</v>
      </c>
      <c r="I106" s="4">
        <v>3069605</v>
      </c>
    </row>
    <row r="107" spans="2:9" x14ac:dyDescent="0.3">
      <c r="B107" s="44">
        <v>46032</v>
      </c>
      <c r="C107" s="3" t="s">
        <v>416</v>
      </c>
      <c r="D107" s="3" t="s">
        <v>58</v>
      </c>
      <c r="E107" s="101"/>
      <c r="F107" s="3" t="s">
        <v>447</v>
      </c>
      <c r="G107" s="4">
        <v>3055207</v>
      </c>
      <c r="H107" s="3" t="s">
        <v>305</v>
      </c>
      <c r="I107" s="32">
        <v>3202906</v>
      </c>
    </row>
    <row r="108" spans="2:9" x14ac:dyDescent="0.3">
      <c r="B108" s="44">
        <v>46032</v>
      </c>
      <c r="C108" s="3" t="s">
        <v>416</v>
      </c>
      <c r="D108" s="3" t="s">
        <v>58</v>
      </c>
      <c r="E108" s="101"/>
      <c r="F108" s="3" t="s">
        <v>265</v>
      </c>
      <c r="G108" s="4">
        <v>3208702</v>
      </c>
      <c r="H108" s="3" t="s">
        <v>271</v>
      </c>
      <c r="I108" s="32">
        <v>3194701</v>
      </c>
    </row>
    <row r="109" spans="2:9" x14ac:dyDescent="0.3">
      <c r="B109" s="4"/>
      <c r="E109" s="101"/>
      <c r="G109" s="4"/>
    </row>
    <row r="110" spans="2:9" x14ac:dyDescent="0.3">
      <c r="B110" s="44">
        <v>46039</v>
      </c>
      <c r="C110" s="3" t="s">
        <v>416</v>
      </c>
      <c r="D110" s="3" t="s">
        <v>58</v>
      </c>
      <c r="E110" s="101"/>
      <c r="F110" s="3" t="s">
        <v>270</v>
      </c>
      <c r="G110" s="4">
        <v>3069605</v>
      </c>
      <c r="H110" s="3" t="s">
        <v>447</v>
      </c>
      <c r="I110" s="32">
        <v>3055207</v>
      </c>
    </row>
    <row r="111" spans="2:9" x14ac:dyDescent="0.3">
      <c r="B111" s="44">
        <v>46039</v>
      </c>
      <c r="C111" s="3" t="s">
        <v>416</v>
      </c>
      <c r="D111" s="3" t="s">
        <v>58</v>
      </c>
      <c r="E111" s="101"/>
      <c r="F111" s="3" t="s">
        <v>297</v>
      </c>
      <c r="G111" s="4">
        <v>3204008</v>
      </c>
      <c r="H111" s="3" t="s">
        <v>269</v>
      </c>
      <c r="I111" s="4">
        <v>3069407</v>
      </c>
    </row>
    <row r="112" spans="2:9" x14ac:dyDescent="0.3">
      <c r="B112" s="44">
        <v>46039</v>
      </c>
      <c r="C112" s="3" t="s">
        <v>416</v>
      </c>
      <c r="D112" s="3" t="s">
        <v>58</v>
      </c>
      <c r="E112" s="101"/>
      <c r="F112" s="3" t="s">
        <v>305</v>
      </c>
      <c r="G112" s="4">
        <v>3202906</v>
      </c>
      <c r="H112" s="3" t="s">
        <v>265</v>
      </c>
      <c r="I112" s="32">
        <v>3208702</v>
      </c>
    </row>
    <row r="113" spans="2:11" x14ac:dyDescent="0.3">
      <c r="B113" s="44">
        <v>46039</v>
      </c>
      <c r="C113" s="3" t="s">
        <v>416</v>
      </c>
      <c r="D113" s="3" t="s">
        <v>58</v>
      </c>
      <c r="E113" s="101"/>
      <c r="F113" s="3" t="s">
        <v>271</v>
      </c>
      <c r="G113" s="4">
        <v>3194701</v>
      </c>
      <c r="H113" s="3" t="s">
        <v>586</v>
      </c>
      <c r="I113" s="32" t="s">
        <v>588</v>
      </c>
    </row>
    <row r="114" spans="2:11" x14ac:dyDescent="0.3">
      <c r="B114" s="44">
        <v>46039</v>
      </c>
      <c r="C114" s="3" t="s">
        <v>416</v>
      </c>
      <c r="D114" s="3" t="s">
        <v>58</v>
      </c>
      <c r="E114" s="101"/>
      <c r="F114" s="3" t="s">
        <v>587</v>
      </c>
      <c r="G114" s="4" t="s">
        <v>563</v>
      </c>
      <c r="H114" s="3" t="s">
        <v>262</v>
      </c>
      <c r="I114" s="32">
        <v>3055405</v>
      </c>
    </row>
    <row r="115" spans="2:11" x14ac:dyDescent="0.3">
      <c r="B115" s="44">
        <v>46039</v>
      </c>
      <c r="C115" s="3" t="s">
        <v>416</v>
      </c>
      <c r="D115" s="3" t="s">
        <v>58</v>
      </c>
      <c r="E115" s="101"/>
      <c r="F115" s="3" t="s">
        <v>303</v>
      </c>
      <c r="G115" s="4">
        <v>3205101</v>
      </c>
      <c r="H115" s="32" t="s">
        <v>267</v>
      </c>
      <c r="I115" s="15">
        <v>3205205</v>
      </c>
      <c r="K115" s="4"/>
    </row>
    <row r="116" spans="2:11" x14ac:dyDescent="0.3">
      <c r="B116" s="4"/>
      <c r="E116" s="101"/>
      <c r="G116" s="4"/>
    </row>
    <row r="117" spans="2:11" x14ac:dyDescent="0.3">
      <c r="B117" s="44">
        <v>46046</v>
      </c>
      <c r="C117" s="3" t="s">
        <v>416</v>
      </c>
      <c r="D117" s="3" t="s">
        <v>58</v>
      </c>
      <c r="E117" s="101"/>
      <c r="F117" s="3" t="s">
        <v>262</v>
      </c>
      <c r="G117" s="4">
        <v>3055405</v>
      </c>
      <c r="H117" s="3" t="s">
        <v>269</v>
      </c>
      <c r="I117" s="4">
        <v>3069407</v>
      </c>
    </row>
    <row r="118" spans="2:11" x14ac:dyDescent="0.3">
      <c r="B118" s="44">
        <v>46046</v>
      </c>
      <c r="C118" s="3" t="s">
        <v>416</v>
      </c>
      <c r="D118" s="3" t="s">
        <v>58</v>
      </c>
      <c r="E118" s="101"/>
      <c r="F118" s="3" t="s">
        <v>297</v>
      </c>
      <c r="G118" s="4">
        <v>3204008</v>
      </c>
      <c r="H118" s="3" t="s">
        <v>271</v>
      </c>
      <c r="I118" s="32">
        <v>3194701</v>
      </c>
    </row>
    <row r="119" spans="2:11" x14ac:dyDescent="0.3">
      <c r="B119" s="44">
        <v>46046</v>
      </c>
      <c r="C119" s="3" t="s">
        <v>416</v>
      </c>
      <c r="D119" s="3" t="s">
        <v>58</v>
      </c>
      <c r="E119" s="101"/>
      <c r="F119" s="3" t="s">
        <v>586</v>
      </c>
      <c r="G119" s="4" t="s">
        <v>588</v>
      </c>
      <c r="H119" s="3" t="s">
        <v>305</v>
      </c>
      <c r="I119" s="32">
        <v>3202906</v>
      </c>
    </row>
    <row r="120" spans="2:11" x14ac:dyDescent="0.3">
      <c r="B120" s="44">
        <v>46046</v>
      </c>
      <c r="C120" s="3" t="s">
        <v>416</v>
      </c>
      <c r="D120" s="3" t="s">
        <v>58</v>
      </c>
      <c r="E120" s="101"/>
      <c r="F120" s="32" t="s">
        <v>267</v>
      </c>
      <c r="G120" s="15">
        <v>3205205</v>
      </c>
      <c r="H120" s="3" t="s">
        <v>587</v>
      </c>
      <c r="I120" s="32" t="s">
        <v>563</v>
      </c>
    </row>
    <row r="121" spans="2:11" x14ac:dyDescent="0.3">
      <c r="B121" s="44">
        <v>46046</v>
      </c>
      <c r="C121" s="3" t="s">
        <v>416</v>
      </c>
      <c r="D121" s="3" t="s">
        <v>58</v>
      </c>
      <c r="E121" s="101"/>
      <c r="F121" s="3" t="s">
        <v>447</v>
      </c>
      <c r="G121" s="4">
        <v>3055207</v>
      </c>
      <c r="H121" s="3" t="s">
        <v>303</v>
      </c>
      <c r="I121" s="4">
        <v>3205101</v>
      </c>
    </row>
    <row r="122" spans="2:11" x14ac:dyDescent="0.3">
      <c r="B122" s="44">
        <v>46046</v>
      </c>
      <c r="C122" s="3" t="s">
        <v>416</v>
      </c>
      <c r="D122" s="3" t="s">
        <v>58</v>
      </c>
      <c r="E122" s="101"/>
      <c r="F122" s="3" t="s">
        <v>265</v>
      </c>
      <c r="G122" s="4">
        <v>3208702</v>
      </c>
      <c r="H122" s="3" t="s">
        <v>270</v>
      </c>
      <c r="I122" s="4">
        <v>3069605</v>
      </c>
    </row>
    <row r="123" spans="2:11" x14ac:dyDescent="0.3">
      <c r="B123" s="4"/>
      <c r="E123" s="101"/>
      <c r="G123" s="4"/>
    </row>
    <row r="124" spans="2:11" x14ac:dyDescent="0.3">
      <c r="B124" s="44">
        <v>46053</v>
      </c>
      <c r="C124" s="3" t="s">
        <v>416</v>
      </c>
      <c r="D124" s="3" t="s">
        <v>58</v>
      </c>
      <c r="E124" s="101"/>
      <c r="F124" s="3" t="s">
        <v>270</v>
      </c>
      <c r="G124" s="4">
        <v>3069605</v>
      </c>
      <c r="H124" s="3" t="s">
        <v>586</v>
      </c>
      <c r="I124" s="32" t="s">
        <v>588</v>
      </c>
    </row>
    <row r="125" spans="2:11" x14ac:dyDescent="0.3">
      <c r="B125" s="44">
        <v>46053</v>
      </c>
      <c r="C125" s="3" t="s">
        <v>416</v>
      </c>
      <c r="D125" s="3" t="s">
        <v>58</v>
      </c>
      <c r="E125" s="101"/>
      <c r="F125" s="3" t="s">
        <v>262</v>
      </c>
      <c r="G125" s="4">
        <v>3055405</v>
      </c>
      <c r="H125" s="32" t="s">
        <v>267</v>
      </c>
      <c r="I125" s="15">
        <v>3205205</v>
      </c>
    </row>
    <row r="126" spans="2:11" x14ac:dyDescent="0.3">
      <c r="B126" s="44">
        <v>46053</v>
      </c>
      <c r="C126" s="3" t="s">
        <v>416</v>
      </c>
      <c r="D126" s="3" t="s">
        <v>58</v>
      </c>
      <c r="E126" s="101"/>
      <c r="F126" s="3" t="s">
        <v>305</v>
      </c>
      <c r="G126" s="4">
        <v>3202906</v>
      </c>
      <c r="H126" s="3" t="s">
        <v>297</v>
      </c>
      <c r="I126" s="32">
        <v>3204008</v>
      </c>
    </row>
    <row r="127" spans="2:11" x14ac:dyDescent="0.3">
      <c r="B127" s="44">
        <v>46053</v>
      </c>
      <c r="C127" s="3" t="s">
        <v>416</v>
      </c>
      <c r="D127" s="3" t="s">
        <v>58</v>
      </c>
      <c r="E127" s="101"/>
      <c r="F127" s="3" t="s">
        <v>269</v>
      </c>
      <c r="G127" s="4">
        <v>3069407</v>
      </c>
      <c r="H127" s="3" t="s">
        <v>271</v>
      </c>
      <c r="I127" s="32">
        <v>3194701</v>
      </c>
    </row>
    <row r="128" spans="2:11" x14ac:dyDescent="0.3">
      <c r="B128" s="44">
        <v>46053</v>
      </c>
      <c r="C128" s="3" t="s">
        <v>416</v>
      </c>
      <c r="D128" s="3" t="s">
        <v>58</v>
      </c>
      <c r="E128" s="101"/>
      <c r="F128" s="3" t="s">
        <v>587</v>
      </c>
      <c r="G128" s="4" t="s">
        <v>563</v>
      </c>
      <c r="H128" s="3" t="s">
        <v>447</v>
      </c>
      <c r="I128" s="32">
        <v>3055207</v>
      </c>
    </row>
    <row r="129" spans="2:9" x14ac:dyDescent="0.3">
      <c r="B129" s="44">
        <v>46053</v>
      </c>
      <c r="C129" s="3" t="s">
        <v>416</v>
      </c>
      <c r="D129" s="3" t="s">
        <v>58</v>
      </c>
      <c r="E129" s="101"/>
      <c r="F129" s="3" t="s">
        <v>303</v>
      </c>
      <c r="G129" s="4">
        <v>3205101</v>
      </c>
      <c r="H129" s="3" t="s">
        <v>265</v>
      </c>
      <c r="I129" s="32">
        <v>3208702</v>
      </c>
    </row>
    <row r="130" spans="2:9" x14ac:dyDescent="0.3">
      <c r="B130" s="4"/>
      <c r="E130" s="101"/>
      <c r="G130" s="4"/>
    </row>
    <row r="131" spans="2:9" x14ac:dyDescent="0.3">
      <c r="B131" s="44">
        <v>46060</v>
      </c>
      <c r="C131" s="3" t="s">
        <v>416</v>
      </c>
      <c r="D131" s="3" t="s">
        <v>58</v>
      </c>
      <c r="E131" s="101"/>
      <c r="F131" s="3" t="s">
        <v>297</v>
      </c>
      <c r="G131" s="4">
        <v>3204008</v>
      </c>
      <c r="H131" s="3" t="s">
        <v>270</v>
      </c>
      <c r="I131" s="4">
        <v>3069605</v>
      </c>
    </row>
    <row r="132" spans="2:9" x14ac:dyDescent="0.3">
      <c r="B132" s="44">
        <v>46060</v>
      </c>
      <c r="C132" s="3" t="s">
        <v>416</v>
      </c>
      <c r="D132" s="3" t="s">
        <v>58</v>
      </c>
      <c r="E132" s="101"/>
      <c r="F132" s="3" t="s">
        <v>586</v>
      </c>
      <c r="G132" s="4" t="s">
        <v>588</v>
      </c>
      <c r="H132" s="3" t="s">
        <v>303</v>
      </c>
      <c r="I132" s="4">
        <v>3205101</v>
      </c>
    </row>
    <row r="133" spans="2:9" x14ac:dyDescent="0.3">
      <c r="B133" s="44">
        <v>46060</v>
      </c>
      <c r="C133" s="3" t="s">
        <v>416</v>
      </c>
      <c r="D133" s="3" t="s">
        <v>58</v>
      </c>
      <c r="E133" s="101"/>
      <c r="F133" s="3" t="s">
        <v>271</v>
      </c>
      <c r="G133" s="4">
        <v>3194701</v>
      </c>
      <c r="H133" s="3" t="s">
        <v>305</v>
      </c>
      <c r="I133" s="32">
        <v>3202906</v>
      </c>
    </row>
    <row r="134" spans="2:9" x14ac:dyDescent="0.3">
      <c r="B134" s="44">
        <v>46060</v>
      </c>
      <c r="C134" s="3" t="s">
        <v>416</v>
      </c>
      <c r="D134" s="3" t="s">
        <v>58</v>
      </c>
      <c r="E134" s="101"/>
      <c r="F134" s="32" t="s">
        <v>267</v>
      </c>
      <c r="G134" s="15">
        <v>3205205</v>
      </c>
      <c r="H134" s="3" t="s">
        <v>269</v>
      </c>
      <c r="I134" s="4">
        <v>3069407</v>
      </c>
    </row>
    <row r="135" spans="2:9" x14ac:dyDescent="0.3">
      <c r="B135" s="44">
        <v>46060</v>
      </c>
      <c r="C135" s="3" t="s">
        <v>416</v>
      </c>
      <c r="D135" s="3" t="s">
        <v>58</v>
      </c>
      <c r="E135" s="101"/>
      <c r="F135" s="3" t="s">
        <v>447</v>
      </c>
      <c r="G135" s="4">
        <v>3055207</v>
      </c>
      <c r="H135" s="3" t="s">
        <v>262</v>
      </c>
      <c r="I135" s="32">
        <v>3055405</v>
      </c>
    </row>
    <row r="136" spans="2:9" x14ac:dyDescent="0.3">
      <c r="B136" s="44">
        <v>46060</v>
      </c>
      <c r="C136" s="3" t="s">
        <v>416</v>
      </c>
      <c r="D136" s="3" t="s">
        <v>58</v>
      </c>
      <c r="E136" s="101"/>
      <c r="F136" s="3" t="s">
        <v>265</v>
      </c>
      <c r="G136" s="4">
        <v>3208702</v>
      </c>
      <c r="H136" s="3" t="s">
        <v>587</v>
      </c>
      <c r="I136" s="32" t="s">
        <v>563</v>
      </c>
    </row>
    <row r="137" spans="2:9" x14ac:dyDescent="0.3">
      <c r="B137" s="4"/>
      <c r="E137" s="101"/>
      <c r="G137" s="4"/>
    </row>
    <row r="138" spans="2:9" x14ac:dyDescent="0.3">
      <c r="B138" s="44">
        <v>46074</v>
      </c>
      <c r="C138" s="3" t="s">
        <v>416</v>
      </c>
      <c r="D138" s="3" t="s">
        <v>58</v>
      </c>
      <c r="E138" s="101"/>
      <c r="F138" s="3" t="s">
        <v>270</v>
      </c>
      <c r="G138" s="4">
        <v>3069605</v>
      </c>
      <c r="H138" s="3" t="s">
        <v>271</v>
      </c>
      <c r="I138" s="32">
        <v>3194701</v>
      </c>
    </row>
    <row r="139" spans="2:9" x14ac:dyDescent="0.3">
      <c r="B139" s="44">
        <v>46074</v>
      </c>
      <c r="C139" s="3" t="s">
        <v>416</v>
      </c>
      <c r="D139" s="3" t="s">
        <v>58</v>
      </c>
      <c r="E139" s="101"/>
      <c r="F139" s="3" t="s">
        <v>262</v>
      </c>
      <c r="G139" s="4">
        <v>3055405</v>
      </c>
      <c r="H139" s="3" t="s">
        <v>265</v>
      </c>
      <c r="I139" s="32">
        <v>3208702</v>
      </c>
    </row>
    <row r="140" spans="2:9" x14ac:dyDescent="0.3">
      <c r="B140" s="44">
        <v>46074</v>
      </c>
      <c r="C140" s="3" t="s">
        <v>416</v>
      </c>
      <c r="D140" s="3" t="s">
        <v>58</v>
      </c>
      <c r="E140" s="101"/>
      <c r="F140" s="3" t="s">
        <v>269</v>
      </c>
      <c r="G140" s="4">
        <v>3069407</v>
      </c>
      <c r="H140" s="3" t="s">
        <v>305</v>
      </c>
      <c r="I140" s="4">
        <v>3202906</v>
      </c>
    </row>
    <row r="141" spans="2:9" x14ac:dyDescent="0.3">
      <c r="B141" s="44">
        <v>46074</v>
      </c>
      <c r="C141" s="3" t="s">
        <v>416</v>
      </c>
      <c r="D141" s="3" t="s">
        <v>58</v>
      </c>
      <c r="E141" s="101"/>
      <c r="F141" s="32" t="s">
        <v>267</v>
      </c>
      <c r="G141" s="15">
        <v>3205205</v>
      </c>
      <c r="H141" s="3" t="s">
        <v>447</v>
      </c>
      <c r="I141" s="32">
        <v>3055207</v>
      </c>
    </row>
    <row r="142" spans="2:9" x14ac:dyDescent="0.3">
      <c r="B142" s="44">
        <v>46074</v>
      </c>
      <c r="C142" s="3" t="s">
        <v>416</v>
      </c>
      <c r="D142" s="3" t="s">
        <v>58</v>
      </c>
      <c r="E142" s="101"/>
      <c r="F142" s="3" t="s">
        <v>587</v>
      </c>
      <c r="G142" s="4" t="s">
        <v>563</v>
      </c>
      <c r="H142" s="3" t="s">
        <v>586</v>
      </c>
      <c r="I142" s="32" t="s">
        <v>588</v>
      </c>
    </row>
    <row r="143" spans="2:9" x14ac:dyDescent="0.3">
      <c r="B143" s="44">
        <v>46074</v>
      </c>
      <c r="C143" s="3" t="s">
        <v>416</v>
      </c>
      <c r="D143" s="3" t="s">
        <v>58</v>
      </c>
      <c r="E143" s="101"/>
      <c r="F143" s="3" t="s">
        <v>303</v>
      </c>
      <c r="G143" s="4">
        <v>3205101</v>
      </c>
      <c r="H143" s="3" t="s">
        <v>297</v>
      </c>
      <c r="I143" s="32">
        <v>3204008</v>
      </c>
    </row>
    <row r="144" spans="2:9" x14ac:dyDescent="0.3">
      <c r="B144" s="4"/>
      <c r="E144" s="101"/>
      <c r="G144" s="4"/>
    </row>
    <row r="145" spans="2:9" x14ac:dyDescent="0.3">
      <c r="B145" s="44">
        <v>46081</v>
      </c>
      <c r="C145" s="3" t="s">
        <v>416</v>
      </c>
      <c r="D145" s="3" t="s">
        <v>58</v>
      </c>
      <c r="E145" s="101"/>
      <c r="F145" s="3" t="s">
        <v>297</v>
      </c>
      <c r="G145" s="4">
        <v>3204008</v>
      </c>
      <c r="H145" s="3" t="s">
        <v>587</v>
      </c>
      <c r="I145" s="32" t="s">
        <v>563</v>
      </c>
    </row>
    <row r="146" spans="2:9" x14ac:dyDescent="0.3">
      <c r="B146" s="44">
        <v>46081</v>
      </c>
      <c r="C146" s="3" t="s">
        <v>416</v>
      </c>
      <c r="D146" s="3" t="s">
        <v>58</v>
      </c>
      <c r="E146" s="101"/>
      <c r="F146" s="3" t="s">
        <v>586</v>
      </c>
      <c r="G146" s="4" t="s">
        <v>588</v>
      </c>
      <c r="H146" s="3" t="s">
        <v>262</v>
      </c>
      <c r="I146" s="32">
        <v>3055405</v>
      </c>
    </row>
    <row r="147" spans="2:9" x14ac:dyDescent="0.3">
      <c r="B147" s="44">
        <v>46081</v>
      </c>
      <c r="C147" s="3" t="s">
        <v>416</v>
      </c>
      <c r="D147" s="3" t="s">
        <v>58</v>
      </c>
      <c r="E147" s="101"/>
      <c r="F147" s="3" t="s">
        <v>305</v>
      </c>
      <c r="G147" s="4">
        <v>3202906</v>
      </c>
      <c r="H147" s="3" t="s">
        <v>270</v>
      </c>
      <c r="I147" s="4">
        <v>3069605</v>
      </c>
    </row>
    <row r="148" spans="2:9" x14ac:dyDescent="0.3">
      <c r="B148" s="44">
        <v>46081</v>
      </c>
      <c r="C148" s="3" t="s">
        <v>416</v>
      </c>
      <c r="D148" s="3" t="s">
        <v>58</v>
      </c>
      <c r="E148" s="101"/>
      <c r="F148" s="3" t="s">
        <v>271</v>
      </c>
      <c r="G148" s="4">
        <v>3194701</v>
      </c>
      <c r="H148" s="3" t="s">
        <v>303</v>
      </c>
      <c r="I148" s="4">
        <v>3205101</v>
      </c>
    </row>
    <row r="149" spans="2:9" x14ac:dyDescent="0.3">
      <c r="B149" s="44">
        <v>46081</v>
      </c>
      <c r="C149" s="3" t="s">
        <v>416</v>
      </c>
      <c r="D149" s="3" t="s">
        <v>58</v>
      </c>
      <c r="E149" s="101"/>
      <c r="F149" s="3" t="s">
        <v>269</v>
      </c>
      <c r="G149" s="4">
        <v>3069407</v>
      </c>
      <c r="H149" s="3" t="s">
        <v>447</v>
      </c>
      <c r="I149" s="32">
        <v>3055207</v>
      </c>
    </row>
    <row r="150" spans="2:9" x14ac:dyDescent="0.3">
      <c r="B150" s="44">
        <v>46081</v>
      </c>
      <c r="C150" s="3" t="s">
        <v>416</v>
      </c>
      <c r="D150" s="3" t="s">
        <v>58</v>
      </c>
      <c r="E150" s="101"/>
      <c r="F150" s="3" t="s">
        <v>265</v>
      </c>
      <c r="G150" s="4">
        <v>3208702</v>
      </c>
      <c r="H150" s="32" t="s">
        <v>267</v>
      </c>
      <c r="I150" s="15">
        <v>3205205</v>
      </c>
    </row>
    <row r="151" spans="2:9" x14ac:dyDescent="0.3">
      <c r="B151" s="4"/>
      <c r="E151" s="101"/>
      <c r="G151" s="4"/>
    </row>
    <row r="152" spans="2:9" x14ac:dyDescent="0.3">
      <c r="B152" s="44">
        <v>46088</v>
      </c>
      <c r="C152" s="3" t="s">
        <v>416</v>
      </c>
      <c r="D152" s="3" t="s">
        <v>58</v>
      </c>
      <c r="E152" s="101"/>
      <c r="F152" s="3" t="s">
        <v>262</v>
      </c>
      <c r="G152" s="4">
        <v>3055405</v>
      </c>
      <c r="H152" s="3" t="s">
        <v>297</v>
      </c>
      <c r="I152" s="32">
        <v>3204008</v>
      </c>
    </row>
    <row r="153" spans="2:9" x14ac:dyDescent="0.3">
      <c r="B153" s="44">
        <v>46088</v>
      </c>
      <c r="C153" s="3" t="s">
        <v>416</v>
      </c>
      <c r="D153" s="3" t="s">
        <v>58</v>
      </c>
      <c r="E153" s="101"/>
      <c r="F153" s="3" t="s">
        <v>269</v>
      </c>
      <c r="G153" s="4">
        <v>3069407</v>
      </c>
      <c r="H153" s="3" t="s">
        <v>270</v>
      </c>
      <c r="I153" s="4">
        <v>3069605</v>
      </c>
    </row>
    <row r="154" spans="2:9" x14ac:dyDescent="0.3">
      <c r="B154" s="44">
        <v>46088</v>
      </c>
      <c r="C154" s="3" t="s">
        <v>416</v>
      </c>
      <c r="D154" s="3" t="s">
        <v>58</v>
      </c>
      <c r="E154" s="101"/>
      <c r="F154" s="32" t="s">
        <v>267</v>
      </c>
      <c r="G154" s="15">
        <v>3205205</v>
      </c>
      <c r="H154" s="3" t="s">
        <v>586</v>
      </c>
      <c r="I154" s="32" t="s">
        <v>588</v>
      </c>
    </row>
    <row r="155" spans="2:9" x14ac:dyDescent="0.3">
      <c r="B155" s="44">
        <v>46088</v>
      </c>
      <c r="C155" s="3" t="s">
        <v>416</v>
      </c>
      <c r="D155" s="3" t="s">
        <v>58</v>
      </c>
      <c r="E155" s="101"/>
      <c r="F155" s="3" t="s">
        <v>447</v>
      </c>
      <c r="G155" s="4">
        <v>3055207</v>
      </c>
      <c r="H155" s="3" t="s">
        <v>265</v>
      </c>
      <c r="I155" s="32">
        <v>3208702</v>
      </c>
    </row>
    <row r="156" spans="2:9" x14ac:dyDescent="0.3">
      <c r="B156" s="44">
        <v>46088</v>
      </c>
      <c r="C156" s="3" t="s">
        <v>416</v>
      </c>
      <c r="D156" s="3" t="s">
        <v>58</v>
      </c>
      <c r="E156" s="101"/>
      <c r="F156" s="3" t="s">
        <v>587</v>
      </c>
      <c r="G156" s="4" t="s">
        <v>563</v>
      </c>
      <c r="H156" s="3" t="s">
        <v>271</v>
      </c>
      <c r="I156" s="32">
        <v>3194701</v>
      </c>
    </row>
    <row r="157" spans="2:9" x14ac:dyDescent="0.3">
      <c r="B157" s="44">
        <v>46088</v>
      </c>
      <c r="C157" s="3" t="s">
        <v>416</v>
      </c>
      <c r="D157" s="3" t="s">
        <v>58</v>
      </c>
      <c r="E157" s="101"/>
      <c r="F157" s="3" t="s">
        <v>303</v>
      </c>
      <c r="G157" s="4">
        <v>3205101</v>
      </c>
      <c r="H157" s="3" t="s">
        <v>305</v>
      </c>
      <c r="I157" s="32">
        <v>3202906</v>
      </c>
    </row>
    <row r="158" spans="2:9" x14ac:dyDescent="0.3">
      <c r="B158" s="4"/>
      <c r="E158" s="101"/>
      <c r="G158" s="4"/>
    </row>
    <row r="159" spans="2:9" x14ac:dyDescent="0.3">
      <c r="B159" s="44">
        <v>46095</v>
      </c>
      <c r="C159" s="3" t="s">
        <v>416</v>
      </c>
      <c r="D159" s="3" t="s">
        <v>58</v>
      </c>
      <c r="E159" s="101"/>
      <c r="F159" s="3" t="s">
        <v>270</v>
      </c>
      <c r="G159" s="4">
        <v>3069605</v>
      </c>
      <c r="H159" s="3" t="s">
        <v>303</v>
      </c>
      <c r="I159" s="4">
        <v>3205101</v>
      </c>
    </row>
    <row r="160" spans="2:9" x14ac:dyDescent="0.3">
      <c r="B160" s="44">
        <v>46095</v>
      </c>
      <c r="C160" s="3" t="s">
        <v>416</v>
      </c>
      <c r="D160" s="3" t="s">
        <v>58</v>
      </c>
      <c r="E160" s="101"/>
      <c r="F160" s="3" t="s">
        <v>297</v>
      </c>
      <c r="G160" s="4">
        <v>3204008</v>
      </c>
      <c r="H160" s="32" t="s">
        <v>267</v>
      </c>
      <c r="I160" s="15">
        <v>3205205</v>
      </c>
    </row>
    <row r="161" spans="2:9" x14ac:dyDescent="0.3">
      <c r="B161" s="44">
        <v>46095</v>
      </c>
      <c r="C161" s="3" t="s">
        <v>416</v>
      </c>
      <c r="D161" s="3" t="s">
        <v>58</v>
      </c>
      <c r="E161" s="101"/>
      <c r="F161" s="3" t="s">
        <v>586</v>
      </c>
      <c r="G161" s="4" t="s">
        <v>588</v>
      </c>
      <c r="H161" s="3" t="s">
        <v>447</v>
      </c>
      <c r="I161" s="32">
        <v>3055207</v>
      </c>
    </row>
    <row r="162" spans="2:9" x14ac:dyDescent="0.3">
      <c r="B162" s="44">
        <v>46095</v>
      </c>
      <c r="C162" s="3" t="s">
        <v>416</v>
      </c>
      <c r="D162" s="3" t="s">
        <v>58</v>
      </c>
      <c r="E162" s="101"/>
      <c r="F162" s="3" t="s">
        <v>305</v>
      </c>
      <c r="G162" s="4">
        <v>3202906</v>
      </c>
      <c r="H162" s="3" t="s">
        <v>587</v>
      </c>
      <c r="I162" s="32" t="s">
        <v>563</v>
      </c>
    </row>
    <row r="163" spans="2:9" x14ac:dyDescent="0.3">
      <c r="B163" s="44">
        <v>46095</v>
      </c>
      <c r="C163" s="3" t="s">
        <v>416</v>
      </c>
      <c r="D163" s="3" t="s">
        <v>58</v>
      </c>
      <c r="E163" s="101"/>
      <c r="F163" s="3" t="s">
        <v>271</v>
      </c>
      <c r="G163" s="4">
        <v>3194701</v>
      </c>
      <c r="H163" s="3" t="s">
        <v>262</v>
      </c>
      <c r="I163" s="32">
        <v>3055405</v>
      </c>
    </row>
    <row r="164" spans="2:9" x14ac:dyDescent="0.3">
      <c r="B164" s="44">
        <v>46095</v>
      </c>
      <c r="C164" s="3" t="s">
        <v>416</v>
      </c>
      <c r="D164" s="3" t="s">
        <v>58</v>
      </c>
      <c r="E164" s="101"/>
      <c r="F164" s="3" t="s">
        <v>265</v>
      </c>
      <c r="G164" s="4">
        <v>3208702</v>
      </c>
      <c r="H164" s="3" t="s">
        <v>269</v>
      </c>
      <c r="I164" s="4">
        <v>3069407</v>
      </c>
    </row>
    <row r="165" spans="2:9" x14ac:dyDescent="0.3">
      <c r="B165" s="4"/>
      <c r="E165" s="101"/>
      <c r="G165" s="4"/>
    </row>
    <row r="166" spans="2:9" x14ac:dyDescent="0.3">
      <c r="B166" s="44">
        <v>46102</v>
      </c>
      <c r="C166" s="3" t="s">
        <v>416</v>
      </c>
      <c r="D166" s="3" t="s">
        <v>58</v>
      </c>
      <c r="E166" s="101"/>
      <c r="F166" s="3" t="s">
        <v>262</v>
      </c>
      <c r="G166" s="4">
        <v>3055405</v>
      </c>
      <c r="H166" s="3" t="s">
        <v>305</v>
      </c>
      <c r="I166" s="32">
        <v>3202906</v>
      </c>
    </row>
    <row r="167" spans="2:9" x14ac:dyDescent="0.3">
      <c r="B167" s="44">
        <v>46102</v>
      </c>
      <c r="C167" s="3" t="s">
        <v>416</v>
      </c>
      <c r="D167" s="3" t="s">
        <v>58</v>
      </c>
      <c r="E167" s="101"/>
      <c r="F167" s="3" t="s">
        <v>303</v>
      </c>
      <c r="G167" s="4">
        <v>3205101</v>
      </c>
      <c r="H167" s="3" t="s">
        <v>269</v>
      </c>
      <c r="I167" s="4">
        <v>3069407</v>
      </c>
    </row>
    <row r="168" spans="2:9" x14ac:dyDescent="0.3">
      <c r="B168" s="44">
        <v>46102</v>
      </c>
      <c r="C168" s="3" t="s">
        <v>416</v>
      </c>
      <c r="D168" s="3" t="s">
        <v>58</v>
      </c>
      <c r="E168" s="101"/>
      <c r="F168" s="32" t="s">
        <v>267</v>
      </c>
      <c r="G168" s="15">
        <v>3205205</v>
      </c>
      <c r="H168" s="3" t="s">
        <v>271</v>
      </c>
      <c r="I168" s="32">
        <v>3194701</v>
      </c>
    </row>
    <row r="169" spans="2:9" x14ac:dyDescent="0.3">
      <c r="B169" s="44">
        <v>46102</v>
      </c>
      <c r="C169" s="3" t="s">
        <v>416</v>
      </c>
      <c r="D169" s="3" t="s">
        <v>58</v>
      </c>
      <c r="E169" s="101"/>
      <c r="F169" s="3" t="s">
        <v>447</v>
      </c>
      <c r="G169" s="4">
        <v>3055207</v>
      </c>
      <c r="H169" s="3" t="s">
        <v>297</v>
      </c>
      <c r="I169" s="32">
        <v>3204008</v>
      </c>
    </row>
    <row r="170" spans="2:9" x14ac:dyDescent="0.3">
      <c r="B170" s="44">
        <v>46102</v>
      </c>
      <c r="C170" s="3" t="s">
        <v>416</v>
      </c>
      <c r="D170" s="3" t="s">
        <v>58</v>
      </c>
      <c r="E170" s="101"/>
      <c r="F170" s="3" t="s">
        <v>587</v>
      </c>
      <c r="G170" s="4" t="s">
        <v>563</v>
      </c>
      <c r="H170" s="3" t="s">
        <v>270</v>
      </c>
      <c r="I170" s="4">
        <v>3069605</v>
      </c>
    </row>
    <row r="171" spans="2:9" x14ac:dyDescent="0.3">
      <c r="B171" s="44">
        <v>46102</v>
      </c>
      <c r="C171" s="3" t="s">
        <v>416</v>
      </c>
      <c r="D171" s="3" t="s">
        <v>58</v>
      </c>
      <c r="E171" s="101"/>
      <c r="F171" s="3" t="s">
        <v>265</v>
      </c>
      <c r="G171" s="4">
        <v>3208702</v>
      </c>
      <c r="H171" s="3" t="s">
        <v>586</v>
      </c>
      <c r="I171" s="32" t="s">
        <v>588</v>
      </c>
    </row>
    <row r="172" spans="2:9" x14ac:dyDescent="0.3">
      <c r="B172" s="4"/>
      <c r="E172" s="101"/>
      <c r="G172" s="4"/>
    </row>
    <row r="173" spans="2:9" x14ac:dyDescent="0.3">
      <c r="B173" s="44">
        <v>46109</v>
      </c>
      <c r="C173" s="3" t="s">
        <v>416</v>
      </c>
      <c r="D173" s="3" t="s">
        <v>58</v>
      </c>
      <c r="E173" s="101"/>
      <c r="F173" s="3" t="s">
        <v>270</v>
      </c>
      <c r="G173" s="4">
        <v>3069605</v>
      </c>
      <c r="H173" s="3" t="s">
        <v>262</v>
      </c>
      <c r="I173" s="32">
        <v>3055405</v>
      </c>
    </row>
    <row r="174" spans="2:9" x14ac:dyDescent="0.3">
      <c r="B174" s="44">
        <v>46109</v>
      </c>
      <c r="C174" s="3" t="s">
        <v>416</v>
      </c>
      <c r="D174" s="3" t="s">
        <v>58</v>
      </c>
      <c r="E174" s="101"/>
      <c r="F174" s="3" t="s">
        <v>297</v>
      </c>
      <c r="G174" s="4">
        <v>3204008</v>
      </c>
      <c r="H174" s="3" t="s">
        <v>265</v>
      </c>
      <c r="I174" s="32">
        <v>3208702</v>
      </c>
    </row>
    <row r="175" spans="2:9" x14ac:dyDescent="0.3">
      <c r="B175" s="44">
        <v>46109</v>
      </c>
      <c r="C175" s="3" t="s">
        <v>416</v>
      </c>
      <c r="D175" s="3" t="s">
        <v>58</v>
      </c>
      <c r="E175" s="101"/>
      <c r="F175" s="3" t="s">
        <v>586</v>
      </c>
      <c r="G175" s="4" t="s">
        <v>588</v>
      </c>
      <c r="H175" s="3" t="s">
        <v>269</v>
      </c>
      <c r="I175" s="4">
        <v>3069407</v>
      </c>
    </row>
    <row r="176" spans="2:9" x14ac:dyDescent="0.3">
      <c r="B176" s="44">
        <v>46109</v>
      </c>
      <c r="C176" s="3" t="s">
        <v>416</v>
      </c>
      <c r="D176" s="3" t="s">
        <v>58</v>
      </c>
      <c r="E176" s="101"/>
      <c r="F176" s="3" t="s">
        <v>305</v>
      </c>
      <c r="G176" s="4">
        <v>3202906</v>
      </c>
      <c r="H176" s="32" t="s">
        <v>267</v>
      </c>
      <c r="I176" s="15">
        <v>3205205</v>
      </c>
    </row>
    <row r="177" spans="2:9" x14ac:dyDescent="0.3">
      <c r="B177" s="44">
        <v>46109</v>
      </c>
      <c r="C177" s="3" t="s">
        <v>416</v>
      </c>
      <c r="D177" s="3" t="s">
        <v>58</v>
      </c>
      <c r="E177" s="101"/>
      <c r="F177" s="3" t="s">
        <v>271</v>
      </c>
      <c r="G177" s="4">
        <v>3194701</v>
      </c>
      <c r="H177" s="3" t="s">
        <v>447</v>
      </c>
      <c r="I177" s="32">
        <v>3055207</v>
      </c>
    </row>
    <row r="178" spans="2:9" x14ac:dyDescent="0.3">
      <c r="B178" s="44">
        <v>46109</v>
      </c>
      <c r="C178" s="3" t="s">
        <v>416</v>
      </c>
      <c r="D178" s="3" t="s">
        <v>58</v>
      </c>
      <c r="E178" s="101"/>
      <c r="F178" s="3" t="s">
        <v>303</v>
      </c>
      <c r="G178" s="4">
        <v>3205101</v>
      </c>
      <c r="H178" s="3" t="s">
        <v>587</v>
      </c>
      <c r="I178" s="32" t="s">
        <v>563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2693" priority="1060"/>
  </conditionalFormatting>
  <conditionalFormatting sqref="B10 B17 B12 B19 B21">
    <cfRule type="duplicateValues" dxfId="2692" priority="1860"/>
  </conditionalFormatting>
  <conditionalFormatting sqref="G140">
    <cfRule type="duplicateValues" dxfId="2691" priority="3"/>
  </conditionalFormatting>
  <conditionalFormatting sqref="I5:I8">
    <cfRule type="duplicateValues" dxfId="2690" priority="1861"/>
  </conditionalFormatting>
  <conditionalFormatting sqref="I49">
    <cfRule type="duplicateValues" dxfId="2689" priority="40"/>
  </conditionalFormatting>
  <conditionalFormatting sqref="I63">
    <cfRule type="duplicateValues" dxfId="2688" priority="4"/>
  </conditionalFormatting>
  <conditionalFormatting sqref="I75">
    <cfRule type="duplicateValues" dxfId="2687" priority="42"/>
  </conditionalFormatting>
  <conditionalFormatting sqref="I94">
    <cfRule type="duplicateValues" dxfId="2686" priority="22"/>
    <cfRule type="duplicateValues" dxfId="2685" priority="43"/>
  </conditionalFormatting>
  <conditionalFormatting sqref="I111">
    <cfRule type="duplicateValues" dxfId="2684" priority="44"/>
  </conditionalFormatting>
  <conditionalFormatting sqref="I117">
    <cfRule type="duplicateValues" dxfId="2683" priority="45"/>
  </conditionalFormatting>
  <conditionalFormatting sqref="I134">
    <cfRule type="duplicateValues" dxfId="2682" priority="46"/>
  </conditionalFormatting>
  <conditionalFormatting sqref="I164">
    <cfRule type="duplicateValues" dxfId="2681" priority="48"/>
  </conditionalFormatting>
  <conditionalFormatting sqref="I167">
    <cfRule type="duplicateValues" dxfId="2680" priority="23"/>
  </conditionalFormatting>
  <conditionalFormatting sqref="I175">
    <cfRule type="duplicateValues" dxfId="2679" priority="49"/>
  </conditionalFormatting>
  <conditionalFormatting sqref="I70:K70">
    <cfRule type="duplicateValues" dxfId="2678" priority="34"/>
  </conditionalFormatting>
  <conditionalFormatting sqref="I10:L21">
    <cfRule type="cellIs" dxfId="2677" priority="9" operator="lessThan">
      <formula>5</formula>
    </cfRule>
    <cfRule type="cellIs" dxfId="2676" priority="10" operator="greaterThan">
      <formula>6</formula>
    </cfRule>
  </conditionalFormatting>
  <conditionalFormatting sqref="J10:J21">
    <cfRule type="containsText" dxfId="2675" priority="2" operator="containsText" text="c'[Fixtures All.xlsx]Women Filtered'!$F$2">
      <formula>NOT(ISERROR(SEARCH("c'[Fixtures All.xlsx]Women Filtered'!$F$2",J10)))</formula>
    </cfRule>
  </conditionalFormatting>
  <conditionalFormatting sqref="J70">
    <cfRule type="containsText" dxfId="2674" priority="32" operator="containsText" text="south lakes">
      <formula>NOT(ISERROR(SEARCH("south lakes",J70)))</formula>
    </cfRule>
    <cfRule type="containsText" dxfId="2673" priority="33" operator="containsText" text="ulverston">
      <formula>NOT(ISERROR(SEARCH("ulverston",J70)))</formula>
    </cfRule>
  </conditionalFormatting>
  <conditionalFormatting sqref="K3:K4 K7:K8">
    <cfRule type="duplicateValues" dxfId="2672" priority="1863"/>
  </conditionalFormatting>
  <conditionalFormatting sqref="K5">
    <cfRule type="duplicateValues" dxfId="2671" priority="1058"/>
  </conditionalFormatting>
  <conditionalFormatting sqref="K9:K21">
    <cfRule type="containsText" dxfId="2670" priority="14" operator="containsText" text="c'[Fixtures All.xlsx]Women Filtered'!$F$2">
      <formula>NOT(ISERROR(SEARCH("c'[Fixtures All.xlsx]Women Filtered'!$F$2",K9)))</formula>
    </cfRule>
  </conditionalFormatting>
  <conditionalFormatting sqref="K94">
    <cfRule type="duplicateValues" dxfId="2669" priority="25"/>
  </conditionalFormatting>
  <conditionalFormatting sqref="K115">
    <cfRule type="duplicateValues" dxfId="2668" priority="21"/>
  </conditionalFormatting>
  <conditionalFormatting sqref="L10:L21">
    <cfRule type="containsText" dxfId="2667" priority="13" operator="containsText" text="c'[Fixtures All.xlsx]Women Filtered'!$F$2">
      <formula>NOT(ISERROR(SEARCH("c'[Fixtures All.xlsx]Women Filtered'!$F$2",L10)))</formula>
    </cfRule>
  </conditionalFormatting>
  <conditionalFormatting sqref="F1:I1048576">
    <cfRule type="containsText" dxfId="2666" priority="1" operator="containsText" text="cODE">
      <formula>NOT(ISERROR(SEARCH("cODE",F1)))</formula>
    </cfRule>
  </conditionalFormatting>
  <hyperlinks>
    <hyperlink ref="K3" location="Contents!A1" display="Back to Contents" xr:uid="{FB51D0FC-C801-4C53-88AC-A1EA1EE30D9B}"/>
    <hyperlink ref="K5:K6" location="'All Fixtures'!A1" display="See all NW Fixtures" xr:uid="{770B46C3-C56B-4BE9-A19E-DA4EEC125A72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9646D-632C-4653-81AF-BD83A8596112}">
  <dimension ref="A2:AQ178"/>
  <sheetViews>
    <sheetView workbookViewId="0"/>
  </sheetViews>
  <sheetFormatPr defaultRowHeight="14.4" x14ac:dyDescent="0.3"/>
  <cols>
    <col min="1" max="1" width="4.77734375" style="3" customWidth="1"/>
    <col min="2" max="2" width="24.88671875" style="3" customWidth="1"/>
    <col min="3" max="3" width="28.33203125" style="3" customWidth="1"/>
    <col min="4" max="4" width="34.88671875" style="3" customWidth="1"/>
    <col min="5" max="5" width="14.88671875" style="3" customWidth="1"/>
    <col min="6" max="6" width="25.6640625" style="3" customWidth="1"/>
    <col min="7" max="7" width="12" style="4" customWidth="1"/>
    <col min="8" max="8" width="25.77734375" style="3" customWidth="1"/>
    <col min="9" max="9" width="15.44140625" style="4" customWidth="1"/>
    <col min="10" max="10" width="8.88671875" style="3"/>
    <col min="11" max="11" width="19.1093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59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12" s="59" customFormat="1" ht="15" customHeight="1" x14ac:dyDescent="0.3">
      <c r="A10" s="47">
        <f>COUNTIF(F$26:H$178,"Bolton 1 (W)")</f>
        <v>22</v>
      </c>
      <c r="B10" s="15" t="s">
        <v>272</v>
      </c>
      <c r="C10" s="15">
        <v>3211205</v>
      </c>
      <c r="D10" s="57">
        <f>COUNTIF(F$26:I$178,"3211205")</f>
        <v>22</v>
      </c>
      <c r="F10" s="57">
        <f>COUNTIF(F$26:F$178,"Bolton 1 (W)")</f>
        <v>11</v>
      </c>
      <c r="G10" s="57"/>
      <c r="H10" s="57">
        <f>COUNTIF(H$26:H$178,"Bolton 1 (W)")</f>
        <v>11</v>
      </c>
      <c r="I10" s="57">
        <f>COUNTIF(F$26:F$101,"Bolton 1 (W)")</f>
        <v>6</v>
      </c>
      <c r="J10" s="57">
        <f>COUNTIF(F$102:F$178,"Bolton 1 (W)")</f>
        <v>5</v>
      </c>
      <c r="K10" s="57">
        <f>COUNTIF(H$26:H$101,"Bolton 1 (W)")</f>
        <v>5</v>
      </c>
      <c r="L10" s="57">
        <f>COUNTIF(H$102:H$178,"Bolton 1 (W)")</f>
        <v>6</v>
      </c>
    </row>
    <row r="11" spans="1:12" s="59" customFormat="1" ht="15" customHeight="1" x14ac:dyDescent="0.3">
      <c r="A11" s="47">
        <f>COUNTIF(F$26:H$178,"Bowdon 3 (W)")</f>
        <v>22</v>
      </c>
      <c r="B11" s="15" t="s">
        <v>273</v>
      </c>
      <c r="C11" s="74">
        <v>3211007</v>
      </c>
      <c r="D11" s="57">
        <f>COUNTIF(F$26:I$178,"3211007")</f>
        <v>22</v>
      </c>
      <c r="F11" s="57">
        <f>COUNTIF(F$26:F$178,"Bowdon 3 (W)")</f>
        <v>11</v>
      </c>
      <c r="G11" s="57"/>
      <c r="H11" s="57">
        <f>COUNTIF(H$26:H$178,"Bowdon 3 (W)")</f>
        <v>11</v>
      </c>
      <c r="I11" s="57">
        <f>COUNTIF(F$26:F$101,"Bowdon 3 (W)")</f>
        <v>5</v>
      </c>
      <c r="J11" s="57">
        <f>COUNTIF(F$102:F$178,"Bowdon 3 (W)")</f>
        <v>6</v>
      </c>
      <c r="K11" s="57">
        <f>COUNTIF(H$26:H$101,"Bowdon 3 (W)")</f>
        <v>6</v>
      </c>
      <c r="L11" s="57">
        <f>COUNTIF(H$102:H$178,"Bowdon 3 (W)")</f>
        <v>5</v>
      </c>
    </row>
    <row r="12" spans="1:12" s="59" customFormat="1" ht="15" customHeight="1" x14ac:dyDescent="0.3">
      <c r="A12" s="47">
        <f>COUNTIF(F$26:H$178,"Brooklands-Poynton 2 (W)")</f>
        <v>22</v>
      </c>
      <c r="B12" s="105" t="s">
        <v>641</v>
      </c>
      <c r="C12" s="106">
        <v>3055707</v>
      </c>
      <c r="D12" s="57">
        <f>COUNTIF(F$26:I$178,"3055707")</f>
        <v>22</v>
      </c>
      <c r="F12" s="57">
        <f>COUNTIF(F$26:F$178,"Brooklands-Poynton 2 (W)")</f>
        <v>11</v>
      </c>
      <c r="G12" s="57"/>
      <c r="H12" s="57">
        <f>COUNTIF(H$26:H$178,"Brooklands-Poynton 2 (W)")</f>
        <v>11</v>
      </c>
      <c r="I12" s="57">
        <f>COUNTIF(F$26:F$101,"Brooklands-Poynton 2 (W)")</f>
        <v>6</v>
      </c>
      <c r="J12" s="57">
        <f>COUNTIF(F$102:F$178,"Brooklands-Poynton 2 (W)")</f>
        <v>5</v>
      </c>
      <c r="K12" s="57">
        <f>COUNTIF(H$26:H$101,"Brooklands-Poynton 2 (W)")</f>
        <v>5</v>
      </c>
      <c r="L12" s="57">
        <f>COUNTIF(H$102:H$178,"Brooklands-Poynton 2 (W)")</f>
        <v>6</v>
      </c>
    </row>
    <row r="13" spans="1:12" s="59" customFormat="1" ht="15" customHeight="1" x14ac:dyDescent="0.3">
      <c r="A13" s="47">
        <f>COUNTIF(F$26:H$178,"Clwb Hoci Eirias 1 (W)")</f>
        <v>22</v>
      </c>
      <c r="B13" s="105" t="s">
        <v>313</v>
      </c>
      <c r="C13" s="53">
        <v>3207901</v>
      </c>
      <c r="D13" s="57">
        <f>COUNTIF(F$26:I$178,"3207901")</f>
        <v>22</v>
      </c>
      <c r="F13" s="57">
        <f>COUNTIF(F$26:F$178,"Clwb Hoci Eirias 1 (W)")</f>
        <v>11</v>
      </c>
      <c r="G13" s="57"/>
      <c r="H13" s="57">
        <f>COUNTIF(H$26:H$178,"Clwb Hoci Eirias 1 (W)")</f>
        <v>11</v>
      </c>
      <c r="I13" s="57">
        <f>COUNTIF(F$26:F$101,"Clwb Hoci Eirias 1 (W)")</f>
        <v>5</v>
      </c>
      <c r="J13" s="57">
        <f>COUNTIF(F$102:F$178,"Clwb Hoci Eirias 1 (W)")</f>
        <v>6</v>
      </c>
      <c r="K13" s="57">
        <f>COUNTIF(H$26:H$101,"Clwb Hoci Eirias 1 (W)")</f>
        <v>6</v>
      </c>
      <c r="L13" s="57">
        <f>COUNTIF(H$102:H$178,"Clwb Hoci Eirias 1 (W)")</f>
        <v>5</v>
      </c>
    </row>
    <row r="14" spans="1:12" s="59" customFormat="1" ht="15" customHeight="1" x14ac:dyDescent="0.3">
      <c r="A14" s="47">
        <f>COUNTIF(F$26:H$178,"Crewe Vagrants 1 (W)")</f>
        <v>22</v>
      </c>
      <c r="B14" s="4" t="s">
        <v>314</v>
      </c>
      <c r="C14" s="74">
        <v>3208004</v>
      </c>
      <c r="D14" s="57">
        <f>COUNTIF(F$26:I$178,"3208004")</f>
        <v>22</v>
      </c>
      <c r="F14" s="57">
        <f>COUNTIF(F$26:F$178,"Crewe Vagrants 1 (W)")</f>
        <v>11</v>
      </c>
      <c r="G14" s="57"/>
      <c r="H14" s="57">
        <f>COUNTIF(H$26:H$178,"Crewe Vagrants 1 (W)")</f>
        <v>11</v>
      </c>
      <c r="I14" s="57">
        <f>COUNTIF(F$26:F$101,"Crewe Vagrants 1 (W)")</f>
        <v>5</v>
      </c>
      <c r="J14" s="57">
        <f>COUNTIF(F$102:F$178,"Crewe Vagrants 1 (W)")</f>
        <v>6</v>
      </c>
      <c r="K14" s="57">
        <f>COUNTIF(H$26:H$101,"Crewe Vagrants 1 (W)")</f>
        <v>6</v>
      </c>
      <c r="L14" s="57">
        <f>COUNTIF(H$102:H$178,"Crewe Vagrants 1 (W)")</f>
        <v>5</v>
      </c>
    </row>
    <row r="15" spans="1:12" s="59" customFormat="1" ht="15" customHeight="1" x14ac:dyDescent="0.3">
      <c r="A15" s="47">
        <f>COUNTIF(F$26:H$178,"Didsbury Northern 3 (W)")</f>
        <v>22</v>
      </c>
      <c r="B15" s="15" t="s">
        <v>274</v>
      </c>
      <c r="C15" s="74">
        <v>3206902</v>
      </c>
      <c r="D15" s="57">
        <f>COUNTIF(F$26:I$178,"3206902")</f>
        <v>22</v>
      </c>
      <c r="F15" s="57">
        <f>COUNTIF(F$26:F$178,"Didsbury Northern 3 (W)")</f>
        <v>11</v>
      </c>
      <c r="G15" s="57"/>
      <c r="H15" s="57">
        <f>COUNTIF(H$26:H$178,"Didsbury Northern 3 (W)")</f>
        <v>11</v>
      </c>
      <c r="I15" s="57">
        <f>COUNTIF(F$26:F$101,"Didsbury Northern 3 (W)")</f>
        <v>5</v>
      </c>
      <c r="J15" s="57">
        <f>COUNTIF(F$102:F$178,"Didsbury Northern 3 (W)")</f>
        <v>6</v>
      </c>
      <c r="K15" s="57">
        <f>COUNTIF(H$26:H$101,"Didsbury Northern 3 (W)")</f>
        <v>6</v>
      </c>
      <c r="L15" s="57">
        <f>COUNTIF(H$102:H$178,"Didsbury Northern 3 (W)")</f>
        <v>5</v>
      </c>
    </row>
    <row r="16" spans="1:12" s="59" customFormat="1" ht="15" customHeight="1" x14ac:dyDescent="0.3">
      <c r="A16" s="47">
        <f>COUNTIF(F$26:H$178,"Liverpool Sefton 2 (W)")</f>
        <v>22</v>
      </c>
      <c r="B16" s="15" t="s">
        <v>275</v>
      </c>
      <c r="C16" s="74">
        <v>3202406</v>
      </c>
      <c r="D16" s="57">
        <f>COUNTIF(F$26:I$178,"3202406")</f>
        <v>22</v>
      </c>
      <c r="F16" s="57">
        <f>COUNTIF(F$26:F$178,"Liverpool Sefton 2 (W)")</f>
        <v>11</v>
      </c>
      <c r="G16" s="57"/>
      <c r="H16" s="57">
        <f>COUNTIF(H$26:H$178,"Liverpool Sefton 2 (W)")</f>
        <v>11</v>
      </c>
      <c r="I16" s="57">
        <f>COUNTIF(F$26:F$101,"Liverpool Sefton 2 (W)")</f>
        <v>6</v>
      </c>
      <c r="J16" s="57">
        <f>COUNTIF(F$102:F$178,"Liverpool Sefton 2 (W)")</f>
        <v>5</v>
      </c>
      <c r="K16" s="57">
        <f>COUNTIF(H$26:H$101,"Liverpool Sefton 2 (W)")</f>
        <v>5</v>
      </c>
      <c r="L16" s="57">
        <f>COUNTIF(H$102:H$178,"Liverpool Sefton 2 (W)")</f>
        <v>6</v>
      </c>
    </row>
    <row r="17" spans="1:12" s="59" customFormat="1" ht="15" customHeight="1" x14ac:dyDescent="0.3">
      <c r="A17" s="47">
        <f>COUNTIF(F$26:H$178,"Manchester Moss Park 1 (W)")</f>
        <v>22</v>
      </c>
      <c r="B17" s="105" t="s">
        <v>288</v>
      </c>
      <c r="C17" s="53">
        <v>3200908</v>
      </c>
      <c r="D17" s="57">
        <f>COUNTIF(F$26:I$178,"3200908")</f>
        <v>22</v>
      </c>
      <c r="F17" s="57">
        <f>COUNTIF(F$26:F$178,"Manchester Moss Park 1 (W)")</f>
        <v>11</v>
      </c>
      <c r="G17" s="57"/>
      <c r="H17" s="57">
        <f>COUNTIF(H$26:H$178,"Manchester Moss Park 1 (W)")</f>
        <v>11</v>
      </c>
      <c r="I17" s="57">
        <f>COUNTIF(F$26:F$101,"Manchester Moss Park 1 (W)")</f>
        <v>5</v>
      </c>
      <c r="J17" s="57">
        <f>COUNTIF(F$102:F$178,"Manchester Moss Park 1 (W)")</f>
        <v>6</v>
      </c>
      <c r="K17" s="57">
        <f>COUNTIF(H$26:H$101,"Manchester Moss Park 1 (W)")</f>
        <v>6</v>
      </c>
      <c r="L17" s="57">
        <f>COUNTIF(H$102:H$178,"Manchester Moss Park 1 (W)")</f>
        <v>5</v>
      </c>
    </row>
    <row r="18" spans="1:12" s="59" customFormat="1" x14ac:dyDescent="0.3">
      <c r="A18" s="47">
        <f>COUNTIF(F$26:H$178,"Oldham 1 (W)")</f>
        <v>22</v>
      </c>
      <c r="B18" s="15" t="s">
        <v>278</v>
      </c>
      <c r="C18" s="74">
        <v>3199800</v>
      </c>
      <c r="D18" s="57">
        <f>COUNTIF(F$26:I$178,"3199800")</f>
        <v>22</v>
      </c>
      <c r="F18" s="57">
        <f>COUNTIF(F$26:F$178,"Oldham 1 (W)")</f>
        <v>11</v>
      </c>
      <c r="G18" s="57"/>
      <c r="H18" s="57">
        <f>COUNTIF(H$26:H$178,"Oldham 1 (W)")</f>
        <v>11</v>
      </c>
      <c r="I18" s="57">
        <f>COUNTIF(F$26:F$101,"Oldham 1 (W)")</f>
        <v>6</v>
      </c>
      <c r="J18" s="57">
        <f>COUNTIF(F$102:F$178,"Oldham 1 (W)")</f>
        <v>5</v>
      </c>
      <c r="K18" s="57">
        <f>COUNTIF(H$26:H$101,"Oldham 1 (W)")</f>
        <v>5</v>
      </c>
      <c r="L18" s="57">
        <f>COUNTIF(H$102:H$178,"Oldham 1 (W)")</f>
        <v>6</v>
      </c>
    </row>
    <row r="19" spans="1:12" s="59" customFormat="1" x14ac:dyDescent="0.3">
      <c r="A19" s="47">
        <f>COUNTIF(F$26:H$178,"Oxton 1 (W)")</f>
        <v>22</v>
      </c>
      <c r="B19" s="15" t="s">
        <v>279</v>
      </c>
      <c r="C19" s="74">
        <v>3199706</v>
      </c>
      <c r="D19" s="57">
        <f>COUNTIF(F$26:I$178,"3199706")</f>
        <v>22</v>
      </c>
      <c r="F19" s="57">
        <f>COUNTIF(F$26:F$178,"Oxton 1 (W)")</f>
        <v>11</v>
      </c>
      <c r="G19" s="57"/>
      <c r="H19" s="57">
        <f>COUNTIF(H$26:H$178,"Oxton 1 (W)")</f>
        <v>11</v>
      </c>
      <c r="I19" s="57">
        <f>COUNTIF(F$26:F$101,"Oxton 1 (W)")</f>
        <v>5</v>
      </c>
      <c r="J19" s="57">
        <f>COUNTIF(F$102:F$178,"Oxton 1 (W)")</f>
        <v>6</v>
      </c>
      <c r="K19" s="57">
        <f>COUNTIF(H$26:H$101,"Oxton 1 (W)")</f>
        <v>6</v>
      </c>
      <c r="L19" s="57">
        <f>COUNTIF(H$102:H$178,"Oxton 1 (W)")</f>
        <v>5</v>
      </c>
    </row>
    <row r="20" spans="1:12" s="59" customFormat="1" x14ac:dyDescent="0.3">
      <c r="A20" s="47">
        <f>COUNTIF(F$26:H$178,"Urmston 1 (W)")</f>
        <v>22</v>
      </c>
      <c r="B20" s="15" t="s">
        <v>281</v>
      </c>
      <c r="C20" s="74">
        <v>3195700</v>
      </c>
      <c r="D20" s="57">
        <f>COUNTIF(F$26:I$178,"3195700")</f>
        <v>22</v>
      </c>
      <c r="F20" s="57">
        <f>COUNTIF(F$26:F$178,"Urmston 1 (W)")</f>
        <v>11</v>
      </c>
      <c r="G20" s="57"/>
      <c r="H20" s="57">
        <f>COUNTIF(H$26:H$178,"Urmston 1 (W)")</f>
        <v>11</v>
      </c>
      <c r="I20" s="57">
        <f>COUNTIF(F$26:F$101,"Urmston 1 (W)")</f>
        <v>6</v>
      </c>
      <c r="J20" s="57">
        <f>COUNTIF(F$102:F$178,"Urmston 1 (W)")</f>
        <v>5</v>
      </c>
      <c r="K20" s="57">
        <f>COUNTIF(H$26:H$101,"Urmston 1 (W)")</f>
        <v>5</v>
      </c>
      <c r="L20" s="57">
        <f>COUNTIF(H$102:H$178,"Urmston 1 (W)")</f>
        <v>6</v>
      </c>
    </row>
    <row r="21" spans="1:12" s="59" customFormat="1" x14ac:dyDescent="0.3">
      <c r="A21" s="47">
        <f>COUNTIF(F$26:H$178,"Wrexham Glyndwr 1 (W)")</f>
        <v>22</v>
      </c>
      <c r="B21" s="15" t="s">
        <v>283</v>
      </c>
      <c r="C21" s="74">
        <v>3194107</v>
      </c>
      <c r="D21" s="57">
        <f>COUNTIF(F$26:I$178,"3194107")</f>
        <v>22</v>
      </c>
      <c r="F21" s="57">
        <f>COUNTIF(F$26:F$178,"Wrexham Glyndwr 1 (W)")</f>
        <v>11</v>
      </c>
      <c r="G21" s="57"/>
      <c r="H21" s="57">
        <f>COUNTIF(H$26:H$178,"Wrexham Glyndwr 1 (W)")</f>
        <v>11</v>
      </c>
      <c r="I21" s="57">
        <f>COUNTIF(F$26:F$101,"Wrexham Glyndwr 1 (W)")</f>
        <v>6</v>
      </c>
      <c r="J21" s="57">
        <f>COUNTIF(F$102:F$178,"Wrexham Glyndwr 1 (W)")</f>
        <v>5</v>
      </c>
      <c r="K21" s="57">
        <f>COUNTIF(H$26:H$101,"Wrexham Glyndwr 1 (W)")</f>
        <v>5</v>
      </c>
      <c r="L21" s="57">
        <f>COUNTIF(H$102:H$178,"Wrexham Glyndwr 1 (W)")</f>
        <v>6</v>
      </c>
    </row>
    <row r="23" spans="1:12" s="3" customFormat="1" ht="21" x14ac:dyDescent="0.4">
      <c r="B23" s="22" t="s">
        <v>93</v>
      </c>
      <c r="G23" s="4"/>
      <c r="I23" s="4"/>
      <c r="K23" s="51"/>
    </row>
    <row r="24" spans="1:12" s="3" customFormat="1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  <c r="K24" s="51"/>
    </row>
    <row r="25" spans="1:12" s="3" customFormat="1" x14ac:dyDescent="0.3">
      <c r="B25" s="40"/>
      <c r="C25" s="14"/>
      <c r="D25" s="14"/>
      <c r="E25" s="14"/>
      <c r="F25" s="14"/>
      <c r="G25" s="14"/>
      <c r="H25" s="13"/>
      <c r="I25" s="14"/>
      <c r="K25" s="51"/>
    </row>
    <row r="26" spans="1:12" x14ac:dyDescent="0.3">
      <c r="B26" s="44">
        <v>45913</v>
      </c>
      <c r="C26" s="3" t="s">
        <v>416</v>
      </c>
      <c r="D26" s="3" t="s">
        <v>59</v>
      </c>
      <c r="E26" s="101"/>
      <c r="F26" s="4" t="s">
        <v>273</v>
      </c>
      <c r="G26" s="4">
        <v>3211007</v>
      </c>
      <c r="H26" s="3" t="s">
        <v>288</v>
      </c>
      <c r="I26" s="4">
        <v>3200908</v>
      </c>
    </row>
    <row r="27" spans="1:12" x14ac:dyDescent="0.3">
      <c r="B27" s="44">
        <v>45913</v>
      </c>
      <c r="C27" s="3" t="s">
        <v>416</v>
      </c>
      <c r="D27" s="3" t="s">
        <v>59</v>
      </c>
      <c r="E27" s="101"/>
      <c r="F27" s="4" t="s">
        <v>275</v>
      </c>
      <c r="G27" s="4">
        <v>3202406</v>
      </c>
      <c r="H27" s="3" t="s">
        <v>279</v>
      </c>
      <c r="I27" s="4">
        <v>3199706</v>
      </c>
    </row>
    <row r="28" spans="1:12" x14ac:dyDescent="0.3">
      <c r="B28" s="44">
        <v>45913</v>
      </c>
      <c r="C28" s="3" t="s">
        <v>416</v>
      </c>
      <c r="D28" s="3" t="s">
        <v>59</v>
      </c>
      <c r="E28" s="101"/>
      <c r="F28" s="4" t="s">
        <v>272</v>
      </c>
      <c r="G28" s="4">
        <v>3211205</v>
      </c>
      <c r="H28" s="3" t="s">
        <v>274</v>
      </c>
      <c r="I28" s="4">
        <v>3206902</v>
      </c>
    </row>
    <row r="29" spans="1:12" x14ac:dyDescent="0.3">
      <c r="B29" s="44">
        <v>45913</v>
      </c>
      <c r="C29" s="3" t="s">
        <v>416</v>
      </c>
      <c r="D29" s="3" t="s">
        <v>59</v>
      </c>
      <c r="E29" s="101"/>
      <c r="F29" s="4" t="s">
        <v>641</v>
      </c>
      <c r="G29" s="4">
        <v>3055707</v>
      </c>
      <c r="H29" s="3" t="s">
        <v>314</v>
      </c>
      <c r="I29" s="4">
        <v>3208004</v>
      </c>
    </row>
    <row r="30" spans="1:12" x14ac:dyDescent="0.3">
      <c r="B30" s="44">
        <v>45913</v>
      </c>
      <c r="C30" s="3" t="s">
        <v>416</v>
      </c>
      <c r="D30" s="3" t="s">
        <v>59</v>
      </c>
      <c r="E30" s="101"/>
      <c r="F30" s="4" t="s">
        <v>278</v>
      </c>
      <c r="G30" s="4">
        <v>3199800</v>
      </c>
      <c r="H30" s="3" t="s">
        <v>281</v>
      </c>
      <c r="I30" s="4">
        <v>3195700</v>
      </c>
    </row>
    <row r="31" spans="1:12" x14ac:dyDescent="0.3">
      <c r="B31" s="44">
        <v>45913</v>
      </c>
      <c r="C31" s="3" t="s">
        <v>416</v>
      </c>
      <c r="D31" s="3" t="s">
        <v>59</v>
      </c>
      <c r="E31" s="101"/>
      <c r="F31" s="4" t="s">
        <v>283</v>
      </c>
      <c r="G31" s="4">
        <v>3194107</v>
      </c>
      <c r="H31" s="3" t="s">
        <v>313</v>
      </c>
      <c r="I31" s="4">
        <v>3207901</v>
      </c>
    </row>
    <row r="32" spans="1:12" x14ac:dyDescent="0.3">
      <c r="B32" s="4"/>
      <c r="E32" s="101"/>
      <c r="F32" s="4" t="s">
        <v>418</v>
      </c>
      <c r="G32" s="4" t="s">
        <v>418</v>
      </c>
      <c r="H32" s="3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59</v>
      </c>
      <c r="E33" s="101"/>
      <c r="F33" s="3" t="s">
        <v>313</v>
      </c>
      <c r="G33" s="4">
        <v>3207901</v>
      </c>
      <c r="H33" s="3" t="s">
        <v>272</v>
      </c>
      <c r="I33" s="4">
        <v>3211205</v>
      </c>
    </row>
    <row r="34" spans="2:9" x14ac:dyDescent="0.3">
      <c r="B34" s="44">
        <v>45920</v>
      </c>
      <c r="C34" s="3" t="s">
        <v>416</v>
      </c>
      <c r="D34" s="3" t="s">
        <v>59</v>
      </c>
      <c r="E34" s="101"/>
      <c r="F34" s="3" t="s">
        <v>274</v>
      </c>
      <c r="G34" s="4">
        <v>3206902</v>
      </c>
      <c r="H34" s="4" t="s">
        <v>278</v>
      </c>
      <c r="I34" s="4">
        <v>3199800</v>
      </c>
    </row>
    <row r="35" spans="2:9" x14ac:dyDescent="0.3">
      <c r="B35" s="44">
        <v>45920</v>
      </c>
      <c r="C35" s="3" t="s">
        <v>416</v>
      </c>
      <c r="D35" s="3" t="s">
        <v>59</v>
      </c>
      <c r="E35" s="101"/>
      <c r="F35" s="3" t="s">
        <v>288</v>
      </c>
      <c r="G35" s="4">
        <v>3200908</v>
      </c>
      <c r="H35" s="4" t="s">
        <v>641</v>
      </c>
      <c r="I35" s="4">
        <v>3055707</v>
      </c>
    </row>
    <row r="36" spans="2:9" x14ac:dyDescent="0.3">
      <c r="B36" s="44">
        <v>45920</v>
      </c>
      <c r="C36" s="3" t="s">
        <v>416</v>
      </c>
      <c r="D36" s="3" t="s">
        <v>59</v>
      </c>
      <c r="E36" s="101"/>
      <c r="F36" s="3" t="s">
        <v>314</v>
      </c>
      <c r="G36" s="4">
        <v>3208004</v>
      </c>
      <c r="H36" s="4" t="s">
        <v>275</v>
      </c>
      <c r="I36" s="4">
        <v>3202406</v>
      </c>
    </row>
    <row r="37" spans="2:9" x14ac:dyDescent="0.3">
      <c r="B37" s="44">
        <v>45920</v>
      </c>
      <c r="C37" s="3" t="s">
        <v>416</v>
      </c>
      <c r="D37" s="3" t="s">
        <v>59</v>
      </c>
      <c r="E37" s="101"/>
      <c r="F37" s="3" t="s">
        <v>279</v>
      </c>
      <c r="G37" s="4">
        <v>3199706</v>
      </c>
      <c r="H37" s="4" t="s">
        <v>283</v>
      </c>
      <c r="I37" s="4">
        <v>3194107</v>
      </c>
    </row>
    <row r="38" spans="2:9" x14ac:dyDescent="0.3">
      <c r="B38" s="44">
        <v>45920</v>
      </c>
      <c r="C38" s="3" t="s">
        <v>416</v>
      </c>
      <c r="D38" s="3" t="s">
        <v>59</v>
      </c>
      <c r="E38" s="101"/>
      <c r="F38" s="3" t="s">
        <v>281</v>
      </c>
      <c r="G38" s="4">
        <v>3195700</v>
      </c>
      <c r="H38" s="4" t="s">
        <v>273</v>
      </c>
      <c r="I38" s="4">
        <v>3211007</v>
      </c>
    </row>
    <row r="39" spans="2:9" x14ac:dyDescent="0.3">
      <c r="B39" s="4"/>
      <c r="E39" s="101"/>
      <c r="F39" s="4" t="s">
        <v>418</v>
      </c>
      <c r="G39" s="4" t="s">
        <v>418</v>
      </c>
      <c r="H39" s="3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59</v>
      </c>
      <c r="E40" s="101"/>
      <c r="F40" s="3" t="s">
        <v>275</v>
      </c>
      <c r="G40" s="4">
        <v>3202406</v>
      </c>
      <c r="H40" s="3" t="s">
        <v>288</v>
      </c>
      <c r="I40" s="4">
        <v>3200908</v>
      </c>
    </row>
    <row r="41" spans="2:9" x14ac:dyDescent="0.3">
      <c r="B41" s="44">
        <v>45927</v>
      </c>
      <c r="C41" s="3" t="s">
        <v>416</v>
      </c>
      <c r="D41" s="3" t="s">
        <v>59</v>
      </c>
      <c r="E41" s="101"/>
      <c r="F41" s="4" t="s">
        <v>272</v>
      </c>
      <c r="G41" s="4">
        <v>3211205</v>
      </c>
      <c r="H41" s="3" t="s">
        <v>279</v>
      </c>
      <c r="I41" s="4">
        <v>3199706</v>
      </c>
    </row>
    <row r="42" spans="2:9" x14ac:dyDescent="0.3">
      <c r="B42" s="44">
        <v>45927</v>
      </c>
      <c r="C42" s="3" t="s">
        <v>416</v>
      </c>
      <c r="D42" s="3" t="s">
        <v>59</v>
      </c>
      <c r="E42" s="101"/>
      <c r="F42" s="4" t="s">
        <v>641</v>
      </c>
      <c r="G42" s="4">
        <v>3055707</v>
      </c>
      <c r="H42" s="3" t="s">
        <v>273</v>
      </c>
      <c r="I42" s="4">
        <v>3211007</v>
      </c>
    </row>
    <row r="43" spans="2:9" x14ac:dyDescent="0.3">
      <c r="B43" s="44">
        <v>45927</v>
      </c>
      <c r="C43" s="3" t="s">
        <v>416</v>
      </c>
      <c r="D43" s="3" t="s">
        <v>59</v>
      </c>
      <c r="E43" s="101"/>
      <c r="F43" s="4" t="s">
        <v>278</v>
      </c>
      <c r="G43" s="4">
        <v>3199800</v>
      </c>
      <c r="H43" s="3" t="s">
        <v>313</v>
      </c>
      <c r="I43" s="4">
        <v>3207901</v>
      </c>
    </row>
    <row r="44" spans="2:9" x14ac:dyDescent="0.3">
      <c r="B44" s="44">
        <v>45927</v>
      </c>
      <c r="C44" s="3" t="s">
        <v>416</v>
      </c>
      <c r="D44" s="3" t="s">
        <v>59</v>
      </c>
      <c r="E44" s="101"/>
      <c r="F44" s="4" t="s">
        <v>281</v>
      </c>
      <c r="G44" s="4">
        <v>3195700</v>
      </c>
      <c r="H44" s="3" t="s">
        <v>274</v>
      </c>
      <c r="I44" s="4">
        <v>3206902</v>
      </c>
    </row>
    <row r="45" spans="2:9" x14ac:dyDescent="0.3">
      <c r="B45" s="44">
        <v>45927</v>
      </c>
      <c r="C45" s="3" t="s">
        <v>416</v>
      </c>
      <c r="D45" s="3" t="s">
        <v>59</v>
      </c>
      <c r="E45" s="101"/>
      <c r="F45" s="4" t="s">
        <v>283</v>
      </c>
      <c r="G45" s="4">
        <v>3194107</v>
      </c>
      <c r="H45" s="3" t="s">
        <v>314</v>
      </c>
      <c r="I45" s="4">
        <v>3208004</v>
      </c>
    </row>
    <row r="46" spans="2:9" x14ac:dyDescent="0.3">
      <c r="B46" s="4"/>
      <c r="E46" s="101"/>
      <c r="F46" s="4" t="s">
        <v>418</v>
      </c>
      <c r="G46" s="4" t="s">
        <v>418</v>
      </c>
      <c r="H46" s="3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59</v>
      </c>
      <c r="E47" s="101"/>
      <c r="F47" s="4" t="s">
        <v>273</v>
      </c>
      <c r="G47" s="4">
        <v>3211007</v>
      </c>
      <c r="H47" s="4" t="s">
        <v>275</v>
      </c>
      <c r="I47" s="4">
        <v>3202406</v>
      </c>
    </row>
    <row r="48" spans="2:9" x14ac:dyDescent="0.3">
      <c r="B48" s="44">
        <v>45934</v>
      </c>
      <c r="C48" s="3" t="s">
        <v>416</v>
      </c>
      <c r="D48" s="3" t="s">
        <v>59</v>
      </c>
      <c r="E48" s="101"/>
      <c r="F48" s="4" t="s">
        <v>313</v>
      </c>
      <c r="G48" s="4">
        <v>3207901</v>
      </c>
      <c r="H48" s="3" t="s">
        <v>274</v>
      </c>
      <c r="I48" s="4">
        <v>3206902</v>
      </c>
    </row>
    <row r="49" spans="2:9" x14ac:dyDescent="0.3">
      <c r="B49" s="44">
        <v>45934</v>
      </c>
      <c r="C49" s="3" t="s">
        <v>416</v>
      </c>
      <c r="D49" s="3" t="s">
        <v>59</v>
      </c>
      <c r="E49" s="101"/>
      <c r="F49" s="3" t="s">
        <v>288</v>
      </c>
      <c r="G49" s="4">
        <v>3200908</v>
      </c>
      <c r="H49" s="3" t="s">
        <v>283</v>
      </c>
      <c r="I49" s="4">
        <v>3194107</v>
      </c>
    </row>
    <row r="50" spans="2:9" x14ac:dyDescent="0.3">
      <c r="B50" s="44">
        <v>45934</v>
      </c>
      <c r="C50" s="3" t="s">
        <v>416</v>
      </c>
      <c r="D50" s="3" t="s">
        <v>59</v>
      </c>
      <c r="E50" s="101"/>
      <c r="F50" s="3" t="s">
        <v>314</v>
      </c>
      <c r="G50" s="4">
        <v>3208004</v>
      </c>
      <c r="H50" s="4" t="s">
        <v>272</v>
      </c>
      <c r="I50" s="4">
        <v>3211205</v>
      </c>
    </row>
    <row r="51" spans="2:9" x14ac:dyDescent="0.3">
      <c r="B51" s="44">
        <v>45934</v>
      </c>
      <c r="C51" s="3" t="s">
        <v>416</v>
      </c>
      <c r="D51" s="3" t="s">
        <v>59</v>
      </c>
      <c r="E51" s="101"/>
      <c r="F51" s="3" t="s">
        <v>641</v>
      </c>
      <c r="G51" s="4">
        <v>3055707</v>
      </c>
      <c r="H51" s="4" t="s">
        <v>281</v>
      </c>
      <c r="I51" s="4">
        <v>3195700</v>
      </c>
    </row>
    <row r="52" spans="2:9" x14ac:dyDescent="0.3">
      <c r="B52" s="44">
        <v>45934</v>
      </c>
      <c r="C52" s="3" t="s">
        <v>416</v>
      </c>
      <c r="D52" s="3" t="s">
        <v>59</v>
      </c>
      <c r="E52" s="101"/>
      <c r="F52" s="3" t="s">
        <v>279</v>
      </c>
      <c r="G52" s="4">
        <v>3199706</v>
      </c>
      <c r="H52" s="4" t="s">
        <v>278</v>
      </c>
      <c r="I52" s="4">
        <v>3199800</v>
      </c>
    </row>
    <row r="53" spans="2:9" x14ac:dyDescent="0.3">
      <c r="B53" s="4"/>
      <c r="E53" s="101"/>
      <c r="F53" s="4" t="s">
        <v>418</v>
      </c>
      <c r="G53" s="4" t="s">
        <v>418</v>
      </c>
      <c r="H53" s="3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59</v>
      </c>
      <c r="E54" s="101"/>
      <c r="F54" s="3" t="s">
        <v>274</v>
      </c>
      <c r="G54" s="4">
        <v>3206902</v>
      </c>
      <c r="H54" s="3" t="s">
        <v>279</v>
      </c>
      <c r="I54" s="4">
        <v>3199706</v>
      </c>
    </row>
    <row r="55" spans="2:9" x14ac:dyDescent="0.3">
      <c r="B55" s="44">
        <v>45941</v>
      </c>
      <c r="C55" s="3" t="s">
        <v>416</v>
      </c>
      <c r="D55" s="3" t="s">
        <v>59</v>
      </c>
      <c r="E55" s="101"/>
      <c r="F55" s="3" t="s">
        <v>275</v>
      </c>
      <c r="G55" s="4">
        <v>3202406</v>
      </c>
      <c r="H55" s="3" t="s">
        <v>641</v>
      </c>
      <c r="I55" s="4">
        <v>3055707</v>
      </c>
    </row>
    <row r="56" spans="2:9" x14ac:dyDescent="0.3">
      <c r="B56" s="44">
        <v>45941</v>
      </c>
      <c r="C56" s="3" t="s">
        <v>416</v>
      </c>
      <c r="D56" s="3" t="s">
        <v>59</v>
      </c>
      <c r="E56" s="101"/>
      <c r="F56" s="4" t="s">
        <v>272</v>
      </c>
      <c r="G56" s="4">
        <v>3211205</v>
      </c>
      <c r="H56" s="4" t="s">
        <v>288</v>
      </c>
      <c r="I56" s="4">
        <v>3200908</v>
      </c>
    </row>
    <row r="57" spans="2:9" x14ac:dyDescent="0.3">
      <c r="B57" s="44">
        <v>45941</v>
      </c>
      <c r="C57" s="3" t="s">
        <v>416</v>
      </c>
      <c r="D57" s="3" t="s">
        <v>59</v>
      </c>
      <c r="E57" s="101"/>
      <c r="F57" s="4" t="s">
        <v>278</v>
      </c>
      <c r="G57" s="4">
        <v>3199800</v>
      </c>
      <c r="H57" s="3" t="s">
        <v>314</v>
      </c>
      <c r="I57" s="4">
        <v>3208004</v>
      </c>
    </row>
    <row r="58" spans="2:9" x14ac:dyDescent="0.3">
      <c r="B58" s="44">
        <v>45941</v>
      </c>
      <c r="C58" s="3" t="s">
        <v>416</v>
      </c>
      <c r="D58" s="3" t="s">
        <v>59</v>
      </c>
      <c r="E58" s="101"/>
      <c r="F58" s="4" t="s">
        <v>281</v>
      </c>
      <c r="G58" s="4">
        <v>3195700</v>
      </c>
      <c r="H58" s="3" t="s">
        <v>313</v>
      </c>
      <c r="I58" s="4">
        <v>3207901</v>
      </c>
    </row>
    <row r="59" spans="2:9" x14ac:dyDescent="0.3">
      <c r="B59" s="44">
        <v>45941</v>
      </c>
      <c r="C59" s="3" t="s">
        <v>416</v>
      </c>
      <c r="D59" s="3" t="s">
        <v>59</v>
      </c>
      <c r="E59" s="101"/>
      <c r="F59" s="4" t="s">
        <v>283</v>
      </c>
      <c r="G59" s="4">
        <v>3194107</v>
      </c>
      <c r="H59" s="3" t="s">
        <v>273</v>
      </c>
      <c r="I59" s="4">
        <v>3211007</v>
      </c>
    </row>
    <row r="60" spans="2:9" x14ac:dyDescent="0.3">
      <c r="B60" s="4"/>
      <c r="E60" s="101"/>
      <c r="F60" s="4" t="s">
        <v>418</v>
      </c>
      <c r="G60" s="4" t="s">
        <v>418</v>
      </c>
      <c r="H60" s="3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59</v>
      </c>
      <c r="E61" s="101"/>
      <c r="F61" s="4" t="s">
        <v>273</v>
      </c>
      <c r="G61" s="4">
        <v>3211007</v>
      </c>
      <c r="H61" s="4" t="s">
        <v>272</v>
      </c>
      <c r="I61" s="4">
        <v>3211205</v>
      </c>
    </row>
    <row r="62" spans="2:9" x14ac:dyDescent="0.3">
      <c r="B62" s="44">
        <v>45948</v>
      </c>
      <c r="C62" s="3" t="s">
        <v>416</v>
      </c>
      <c r="D62" s="3" t="s">
        <v>59</v>
      </c>
      <c r="E62" s="101"/>
      <c r="F62" s="4" t="s">
        <v>275</v>
      </c>
      <c r="G62" s="4">
        <v>3202406</v>
      </c>
      <c r="H62" s="4" t="s">
        <v>281</v>
      </c>
      <c r="I62" s="4">
        <v>3195700</v>
      </c>
    </row>
    <row r="63" spans="2:9" x14ac:dyDescent="0.3">
      <c r="B63" s="44">
        <v>45948</v>
      </c>
      <c r="C63" s="3" t="s">
        <v>416</v>
      </c>
      <c r="D63" s="3" t="s">
        <v>59</v>
      </c>
      <c r="E63" s="101"/>
      <c r="F63" s="4" t="s">
        <v>288</v>
      </c>
      <c r="G63" s="4">
        <v>3200908</v>
      </c>
      <c r="H63" s="3" t="s">
        <v>278</v>
      </c>
      <c r="I63" s="4">
        <v>3199800</v>
      </c>
    </row>
    <row r="64" spans="2:9" x14ac:dyDescent="0.3">
      <c r="B64" s="44">
        <v>45948</v>
      </c>
      <c r="C64" s="3" t="s">
        <v>416</v>
      </c>
      <c r="D64" s="3" t="s">
        <v>59</v>
      </c>
      <c r="E64" s="101"/>
      <c r="F64" s="3" t="s">
        <v>314</v>
      </c>
      <c r="G64" s="4">
        <v>3208004</v>
      </c>
      <c r="H64" s="4" t="s">
        <v>274</v>
      </c>
      <c r="I64" s="4">
        <v>3206902</v>
      </c>
    </row>
    <row r="65" spans="2:9" x14ac:dyDescent="0.3">
      <c r="B65" s="44">
        <v>45948</v>
      </c>
      <c r="C65" s="3" t="s">
        <v>416</v>
      </c>
      <c r="D65" s="3" t="s">
        <v>59</v>
      </c>
      <c r="E65" s="101"/>
      <c r="F65" s="3" t="s">
        <v>641</v>
      </c>
      <c r="G65" s="4">
        <v>3055707</v>
      </c>
      <c r="H65" s="3" t="s">
        <v>283</v>
      </c>
      <c r="I65" s="4">
        <v>3194107</v>
      </c>
    </row>
    <row r="66" spans="2:9" x14ac:dyDescent="0.3">
      <c r="B66" s="44">
        <v>45948</v>
      </c>
      <c r="C66" s="3" t="s">
        <v>416</v>
      </c>
      <c r="D66" s="3" t="s">
        <v>59</v>
      </c>
      <c r="E66" s="101"/>
      <c r="F66" s="3" t="s">
        <v>279</v>
      </c>
      <c r="G66" s="4">
        <v>3199706</v>
      </c>
      <c r="H66" s="3" t="s">
        <v>313</v>
      </c>
      <c r="I66" s="4">
        <v>3207901</v>
      </c>
    </row>
    <row r="67" spans="2:9" x14ac:dyDescent="0.3">
      <c r="B67" s="4"/>
      <c r="E67" s="101"/>
      <c r="F67" s="4" t="s">
        <v>418</v>
      </c>
      <c r="G67" s="4" t="s">
        <v>418</v>
      </c>
      <c r="H67" s="3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59</v>
      </c>
      <c r="E68" s="101"/>
      <c r="F68" s="3" t="s">
        <v>313</v>
      </c>
      <c r="G68" s="4">
        <v>3207901</v>
      </c>
      <c r="H68" s="3" t="s">
        <v>314</v>
      </c>
      <c r="I68" s="4">
        <v>3208004</v>
      </c>
    </row>
    <row r="69" spans="2:9" x14ac:dyDescent="0.3">
      <c r="B69" s="44">
        <v>45962</v>
      </c>
      <c r="C69" s="3" t="s">
        <v>416</v>
      </c>
      <c r="D69" s="3" t="s">
        <v>59</v>
      </c>
      <c r="E69" s="101"/>
      <c r="F69" s="3" t="s">
        <v>274</v>
      </c>
      <c r="G69" s="4">
        <v>3206902</v>
      </c>
      <c r="H69" s="3" t="s">
        <v>288</v>
      </c>
      <c r="I69" s="4">
        <v>3200908</v>
      </c>
    </row>
    <row r="70" spans="2:9" x14ac:dyDescent="0.3">
      <c r="B70" s="44">
        <v>45962</v>
      </c>
      <c r="C70" s="3" t="s">
        <v>416</v>
      </c>
      <c r="D70" s="3" t="s">
        <v>59</v>
      </c>
      <c r="E70" s="101"/>
      <c r="F70" s="3" t="s">
        <v>272</v>
      </c>
      <c r="G70" s="4">
        <v>3211205</v>
      </c>
      <c r="H70" s="3" t="s">
        <v>641</v>
      </c>
      <c r="I70" s="4">
        <v>3055707</v>
      </c>
    </row>
    <row r="71" spans="2:9" x14ac:dyDescent="0.3">
      <c r="B71" s="44">
        <v>45962</v>
      </c>
      <c r="C71" s="3" t="s">
        <v>416</v>
      </c>
      <c r="D71" s="3" t="s">
        <v>59</v>
      </c>
      <c r="E71" s="101"/>
      <c r="F71" s="4" t="s">
        <v>278</v>
      </c>
      <c r="G71" s="4">
        <v>3199800</v>
      </c>
      <c r="H71" s="4" t="s">
        <v>273</v>
      </c>
      <c r="I71" s="4">
        <v>3211007</v>
      </c>
    </row>
    <row r="72" spans="2:9" x14ac:dyDescent="0.3">
      <c r="B72" s="44">
        <v>45962</v>
      </c>
      <c r="C72" s="3" t="s">
        <v>416</v>
      </c>
      <c r="D72" s="3" t="s">
        <v>59</v>
      </c>
      <c r="E72" s="101"/>
      <c r="F72" s="4" t="s">
        <v>281</v>
      </c>
      <c r="G72" s="4">
        <v>3195700</v>
      </c>
      <c r="H72" s="4" t="s">
        <v>279</v>
      </c>
      <c r="I72" s="4">
        <v>3199706</v>
      </c>
    </row>
    <row r="73" spans="2:9" x14ac:dyDescent="0.3">
      <c r="B73" s="44">
        <v>45962</v>
      </c>
      <c r="C73" s="3" t="s">
        <v>416</v>
      </c>
      <c r="D73" s="3" t="s">
        <v>59</v>
      </c>
      <c r="E73" s="101"/>
      <c r="F73" s="4" t="s">
        <v>283</v>
      </c>
      <c r="G73" s="4">
        <v>3194107</v>
      </c>
      <c r="H73" s="3" t="s">
        <v>275</v>
      </c>
      <c r="I73" s="4">
        <v>3202406</v>
      </c>
    </row>
    <row r="74" spans="2:9" x14ac:dyDescent="0.3">
      <c r="B74" s="4"/>
      <c r="E74" s="101"/>
      <c r="F74" s="4" t="s">
        <v>418</v>
      </c>
      <c r="G74" s="4" t="s">
        <v>418</v>
      </c>
      <c r="H74" s="3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59</v>
      </c>
      <c r="E75" s="101"/>
      <c r="F75" s="4" t="s">
        <v>273</v>
      </c>
      <c r="G75" s="4">
        <v>3211007</v>
      </c>
      <c r="H75" s="3" t="s">
        <v>274</v>
      </c>
      <c r="I75" s="4">
        <v>3206902</v>
      </c>
    </row>
    <row r="76" spans="2:9" x14ac:dyDescent="0.3">
      <c r="B76" s="44">
        <v>45969</v>
      </c>
      <c r="C76" s="3" t="s">
        <v>416</v>
      </c>
      <c r="D76" s="3" t="s">
        <v>59</v>
      </c>
      <c r="E76" s="101"/>
      <c r="F76" s="4" t="s">
        <v>275</v>
      </c>
      <c r="G76" s="4">
        <v>3202406</v>
      </c>
      <c r="H76" s="4" t="s">
        <v>272</v>
      </c>
      <c r="I76" s="4">
        <v>3211205</v>
      </c>
    </row>
    <row r="77" spans="2:9" x14ac:dyDescent="0.3">
      <c r="B77" s="44">
        <v>45969</v>
      </c>
      <c r="C77" s="3" t="s">
        <v>416</v>
      </c>
      <c r="D77" s="3" t="s">
        <v>59</v>
      </c>
      <c r="E77" s="101"/>
      <c r="F77" s="4" t="s">
        <v>288</v>
      </c>
      <c r="G77" s="4">
        <v>3200908</v>
      </c>
      <c r="H77" s="4" t="s">
        <v>313</v>
      </c>
      <c r="I77" s="4">
        <v>3207901</v>
      </c>
    </row>
    <row r="78" spans="2:9" x14ac:dyDescent="0.3">
      <c r="B78" s="44">
        <v>45969</v>
      </c>
      <c r="C78" s="3" t="s">
        <v>416</v>
      </c>
      <c r="D78" s="3" t="s">
        <v>59</v>
      </c>
      <c r="E78" s="101"/>
      <c r="F78" s="4" t="s">
        <v>314</v>
      </c>
      <c r="G78" s="4">
        <v>3208004</v>
      </c>
      <c r="H78" s="3" t="s">
        <v>279</v>
      </c>
      <c r="I78" s="4">
        <v>3199706</v>
      </c>
    </row>
    <row r="79" spans="2:9" x14ac:dyDescent="0.3">
      <c r="B79" s="44">
        <v>45969</v>
      </c>
      <c r="C79" s="3" t="s">
        <v>416</v>
      </c>
      <c r="D79" s="3" t="s">
        <v>59</v>
      </c>
      <c r="E79" s="101"/>
      <c r="F79" s="3" t="s">
        <v>641</v>
      </c>
      <c r="G79" s="4">
        <v>3055707</v>
      </c>
      <c r="H79" s="3" t="s">
        <v>278</v>
      </c>
      <c r="I79" s="4">
        <v>3199800</v>
      </c>
    </row>
    <row r="80" spans="2:9" x14ac:dyDescent="0.3">
      <c r="B80" s="44">
        <v>45969</v>
      </c>
      <c r="C80" s="3" t="s">
        <v>416</v>
      </c>
      <c r="D80" s="3" t="s">
        <v>59</v>
      </c>
      <c r="E80" s="101"/>
      <c r="F80" s="3" t="s">
        <v>283</v>
      </c>
      <c r="G80" s="4">
        <v>3194107</v>
      </c>
      <c r="H80" s="3" t="s">
        <v>281</v>
      </c>
      <c r="I80" s="4">
        <v>3195700</v>
      </c>
    </row>
    <row r="81" spans="2:9" x14ac:dyDescent="0.3">
      <c r="B81" s="4"/>
      <c r="E81" s="101"/>
      <c r="F81" s="4" t="s">
        <v>418</v>
      </c>
      <c r="G81" s="4" t="s">
        <v>418</v>
      </c>
      <c r="H81" s="3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59</v>
      </c>
      <c r="E82" s="101"/>
      <c r="F82" s="3" t="s">
        <v>313</v>
      </c>
      <c r="G82" s="4">
        <v>3207901</v>
      </c>
      <c r="H82" s="3" t="s">
        <v>273</v>
      </c>
      <c r="I82" s="4">
        <v>3211007</v>
      </c>
    </row>
    <row r="83" spans="2:9" x14ac:dyDescent="0.3">
      <c r="B83" s="44">
        <v>45976</v>
      </c>
      <c r="C83" s="3" t="s">
        <v>416</v>
      </c>
      <c r="D83" s="3" t="s">
        <v>59</v>
      </c>
      <c r="E83" s="101"/>
      <c r="F83" s="3" t="s">
        <v>274</v>
      </c>
      <c r="G83" s="4">
        <v>3206902</v>
      </c>
      <c r="H83" s="4" t="s">
        <v>641</v>
      </c>
      <c r="I83" s="4">
        <v>3055707</v>
      </c>
    </row>
    <row r="84" spans="2:9" x14ac:dyDescent="0.3">
      <c r="B84" s="44">
        <v>45976</v>
      </c>
      <c r="C84" s="3" t="s">
        <v>416</v>
      </c>
      <c r="D84" s="3" t="s">
        <v>59</v>
      </c>
      <c r="E84" s="101"/>
      <c r="F84" s="3" t="s">
        <v>272</v>
      </c>
      <c r="G84" s="4">
        <v>3211205</v>
      </c>
      <c r="H84" s="3" t="s">
        <v>283</v>
      </c>
      <c r="I84" s="4">
        <v>3194107</v>
      </c>
    </row>
    <row r="85" spans="2:9" x14ac:dyDescent="0.3">
      <c r="B85" s="44">
        <v>45976</v>
      </c>
      <c r="C85" s="3" t="s">
        <v>416</v>
      </c>
      <c r="D85" s="3" t="s">
        <v>59</v>
      </c>
      <c r="E85" s="101"/>
      <c r="F85" s="4" t="s">
        <v>279</v>
      </c>
      <c r="G85" s="4">
        <v>3199706</v>
      </c>
      <c r="H85" s="4" t="s">
        <v>288</v>
      </c>
      <c r="I85" s="4">
        <v>3200908</v>
      </c>
    </row>
    <row r="86" spans="2:9" x14ac:dyDescent="0.3">
      <c r="B86" s="44">
        <v>45976</v>
      </c>
      <c r="C86" s="3" t="s">
        <v>416</v>
      </c>
      <c r="D86" s="3" t="s">
        <v>59</v>
      </c>
      <c r="E86" s="101"/>
      <c r="F86" s="4" t="s">
        <v>278</v>
      </c>
      <c r="G86" s="4">
        <v>3199800</v>
      </c>
      <c r="H86" s="4" t="s">
        <v>275</v>
      </c>
      <c r="I86" s="4">
        <v>3202406</v>
      </c>
    </row>
    <row r="87" spans="2:9" x14ac:dyDescent="0.3">
      <c r="B87" s="44">
        <v>45976</v>
      </c>
      <c r="C87" s="3" t="s">
        <v>416</v>
      </c>
      <c r="D87" s="3" t="s">
        <v>59</v>
      </c>
      <c r="E87" s="101"/>
      <c r="F87" s="3" t="s">
        <v>281</v>
      </c>
      <c r="G87" s="4">
        <v>3195700</v>
      </c>
      <c r="H87" s="3" t="s">
        <v>314</v>
      </c>
      <c r="I87" s="4">
        <v>3208004</v>
      </c>
    </row>
    <row r="88" spans="2:9" x14ac:dyDescent="0.3">
      <c r="B88" s="4"/>
      <c r="E88" s="101"/>
      <c r="F88" s="4" t="s">
        <v>418</v>
      </c>
      <c r="G88" s="4" t="s">
        <v>418</v>
      </c>
      <c r="H88" s="3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59</v>
      </c>
      <c r="E89" s="101"/>
      <c r="F89" s="4" t="s">
        <v>273</v>
      </c>
      <c r="G89" s="4">
        <v>3211007</v>
      </c>
      <c r="H89" s="3" t="s">
        <v>279</v>
      </c>
      <c r="I89" s="4">
        <v>3199706</v>
      </c>
    </row>
    <row r="90" spans="2:9" x14ac:dyDescent="0.3">
      <c r="B90" s="44">
        <v>45983</v>
      </c>
      <c r="C90" s="3" t="s">
        <v>416</v>
      </c>
      <c r="D90" s="3" t="s">
        <v>59</v>
      </c>
      <c r="E90" s="101"/>
      <c r="F90" s="4" t="s">
        <v>275</v>
      </c>
      <c r="G90" s="4">
        <v>3202406</v>
      </c>
      <c r="H90" s="3" t="s">
        <v>274</v>
      </c>
      <c r="I90" s="4">
        <v>3206902</v>
      </c>
    </row>
    <row r="91" spans="2:9" x14ac:dyDescent="0.3">
      <c r="B91" s="44">
        <v>45983</v>
      </c>
      <c r="C91" s="3" t="s">
        <v>416</v>
      </c>
      <c r="D91" s="3" t="s">
        <v>59</v>
      </c>
      <c r="E91" s="101"/>
      <c r="F91" s="4" t="s">
        <v>288</v>
      </c>
      <c r="G91" s="4">
        <v>3200908</v>
      </c>
      <c r="H91" s="3" t="s">
        <v>314</v>
      </c>
      <c r="I91" s="4">
        <v>3208004</v>
      </c>
    </row>
    <row r="92" spans="2:9" x14ac:dyDescent="0.3">
      <c r="B92" s="44">
        <v>45983</v>
      </c>
      <c r="C92" s="3" t="s">
        <v>416</v>
      </c>
      <c r="D92" s="3" t="s">
        <v>59</v>
      </c>
      <c r="E92" s="101"/>
      <c r="F92" s="4" t="s">
        <v>272</v>
      </c>
      <c r="G92" s="4">
        <v>3211205</v>
      </c>
      <c r="H92" s="4" t="s">
        <v>281</v>
      </c>
      <c r="I92" s="4">
        <v>3195700</v>
      </c>
    </row>
    <row r="93" spans="2:9" x14ac:dyDescent="0.3">
      <c r="B93" s="44">
        <v>45983</v>
      </c>
      <c r="C93" s="3" t="s">
        <v>416</v>
      </c>
      <c r="D93" s="3" t="s">
        <v>59</v>
      </c>
      <c r="E93" s="101"/>
      <c r="F93" s="4" t="s">
        <v>641</v>
      </c>
      <c r="G93" s="4">
        <v>3055707</v>
      </c>
      <c r="H93" s="3" t="s">
        <v>313</v>
      </c>
      <c r="I93" s="4">
        <v>3207901</v>
      </c>
    </row>
    <row r="94" spans="2:9" x14ac:dyDescent="0.3">
      <c r="B94" s="44">
        <v>45983</v>
      </c>
      <c r="C94" s="3" t="s">
        <v>416</v>
      </c>
      <c r="D94" s="3" t="s">
        <v>59</v>
      </c>
      <c r="E94" s="101"/>
      <c r="F94" s="3" t="s">
        <v>283</v>
      </c>
      <c r="G94" s="4">
        <v>3194107</v>
      </c>
      <c r="H94" s="3" t="s">
        <v>278</v>
      </c>
      <c r="I94" s="4">
        <v>3199800</v>
      </c>
    </row>
    <row r="95" spans="2:9" x14ac:dyDescent="0.3">
      <c r="B95" s="4"/>
      <c r="E95" s="101"/>
      <c r="F95" s="4" t="s">
        <v>418</v>
      </c>
      <c r="G95" s="4" t="s">
        <v>418</v>
      </c>
      <c r="H95" s="3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59</v>
      </c>
      <c r="E96" s="101"/>
      <c r="F96" s="3" t="s">
        <v>313</v>
      </c>
      <c r="G96" s="4">
        <v>3207901</v>
      </c>
      <c r="H96" s="3" t="s">
        <v>275</v>
      </c>
      <c r="I96" s="4">
        <v>3202406</v>
      </c>
    </row>
    <row r="97" spans="2:9" x14ac:dyDescent="0.3">
      <c r="B97" s="44">
        <v>45990</v>
      </c>
      <c r="C97" s="3" t="s">
        <v>416</v>
      </c>
      <c r="D97" s="3" t="s">
        <v>59</v>
      </c>
      <c r="E97" s="101"/>
      <c r="F97" s="3" t="s">
        <v>274</v>
      </c>
      <c r="G97" s="4">
        <v>3206902</v>
      </c>
      <c r="H97" s="4" t="s">
        <v>283</v>
      </c>
      <c r="I97" s="4">
        <v>3194107</v>
      </c>
    </row>
    <row r="98" spans="2:9" x14ac:dyDescent="0.3">
      <c r="B98" s="44">
        <v>45990</v>
      </c>
      <c r="C98" s="3" t="s">
        <v>416</v>
      </c>
      <c r="D98" s="3" t="s">
        <v>59</v>
      </c>
      <c r="E98" s="101"/>
      <c r="F98" s="3" t="s">
        <v>314</v>
      </c>
      <c r="G98" s="4">
        <v>3208004</v>
      </c>
      <c r="H98" s="4" t="s">
        <v>273</v>
      </c>
      <c r="I98" s="4">
        <v>3211007</v>
      </c>
    </row>
    <row r="99" spans="2:9" x14ac:dyDescent="0.3">
      <c r="B99" s="44">
        <v>45990</v>
      </c>
      <c r="C99" s="3" t="s">
        <v>416</v>
      </c>
      <c r="D99" s="3" t="s">
        <v>59</v>
      </c>
      <c r="E99" s="101"/>
      <c r="F99" s="4" t="s">
        <v>279</v>
      </c>
      <c r="G99" s="4">
        <v>3199706</v>
      </c>
      <c r="H99" s="4" t="s">
        <v>641</v>
      </c>
      <c r="I99" s="4">
        <v>3055707</v>
      </c>
    </row>
    <row r="100" spans="2:9" x14ac:dyDescent="0.3">
      <c r="B100" s="44">
        <v>45990</v>
      </c>
      <c r="C100" s="3" t="s">
        <v>416</v>
      </c>
      <c r="D100" s="3" t="s">
        <v>59</v>
      </c>
      <c r="E100" s="101"/>
      <c r="F100" s="3" t="s">
        <v>278</v>
      </c>
      <c r="G100" s="4">
        <v>3199800</v>
      </c>
      <c r="H100" s="4" t="s">
        <v>272</v>
      </c>
      <c r="I100" s="4">
        <v>3211205</v>
      </c>
    </row>
    <row r="101" spans="2:9" x14ac:dyDescent="0.3">
      <c r="B101" s="44">
        <v>45990</v>
      </c>
      <c r="C101" s="3" t="s">
        <v>416</v>
      </c>
      <c r="D101" s="3" t="s">
        <v>59</v>
      </c>
      <c r="E101" s="101"/>
      <c r="F101" s="3" t="s">
        <v>281</v>
      </c>
      <c r="G101" s="4">
        <v>3195700</v>
      </c>
      <c r="H101" s="4" t="s">
        <v>288</v>
      </c>
      <c r="I101" s="4">
        <v>3200908</v>
      </c>
    </row>
    <row r="102" spans="2:9" x14ac:dyDescent="0.3">
      <c r="B102" s="4"/>
      <c r="E102" s="101"/>
      <c r="F102" s="4" t="s">
        <v>418</v>
      </c>
      <c r="G102" s="4" t="s">
        <v>418</v>
      </c>
      <c r="H102" s="3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59</v>
      </c>
      <c r="E103" s="101"/>
      <c r="F103" s="3" t="s">
        <v>313</v>
      </c>
      <c r="G103" s="4">
        <v>3207901</v>
      </c>
      <c r="H103" s="4" t="s">
        <v>283</v>
      </c>
      <c r="I103" s="4">
        <v>3194107</v>
      </c>
    </row>
    <row r="104" spans="2:9" x14ac:dyDescent="0.3">
      <c r="B104" s="44">
        <v>46032</v>
      </c>
      <c r="C104" s="3" t="s">
        <v>416</v>
      </c>
      <c r="D104" s="3" t="s">
        <v>59</v>
      </c>
      <c r="E104" s="101"/>
      <c r="F104" s="3" t="s">
        <v>274</v>
      </c>
      <c r="G104" s="4">
        <v>3206902</v>
      </c>
      <c r="H104" s="4" t="s">
        <v>272</v>
      </c>
      <c r="I104" s="4">
        <v>3211205</v>
      </c>
    </row>
    <row r="105" spans="2:9" x14ac:dyDescent="0.3">
      <c r="B105" s="44">
        <v>46032</v>
      </c>
      <c r="C105" s="3" t="s">
        <v>416</v>
      </c>
      <c r="D105" s="3" t="s">
        <v>59</v>
      </c>
      <c r="E105" s="101"/>
      <c r="F105" s="3" t="s">
        <v>288</v>
      </c>
      <c r="G105" s="4">
        <v>3200908</v>
      </c>
      <c r="H105" s="4" t="s">
        <v>273</v>
      </c>
      <c r="I105" s="4">
        <v>3211007</v>
      </c>
    </row>
    <row r="106" spans="2:9" x14ac:dyDescent="0.3">
      <c r="B106" s="44">
        <v>46032</v>
      </c>
      <c r="C106" s="3" t="s">
        <v>416</v>
      </c>
      <c r="D106" s="3" t="s">
        <v>59</v>
      </c>
      <c r="E106" s="101"/>
      <c r="F106" s="3" t="s">
        <v>314</v>
      </c>
      <c r="G106" s="4">
        <v>3208004</v>
      </c>
      <c r="H106" s="3" t="s">
        <v>641</v>
      </c>
      <c r="I106" s="4">
        <v>3055707</v>
      </c>
    </row>
    <row r="107" spans="2:9" x14ac:dyDescent="0.3">
      <c r="B107" s="44">
        <v>46032</v>
      </c>
      <c r="C107" s="3" t="s">
        <v>416</v>
      </c>
      <c r="D107" s="3" t="s">
        <v>59</v>
      </c>
      <c r="E107" s="101"/>
      <c r="F107" s="3" t="s">
        <v>279</v>
      </c>
      <c r="G107" s="4">
        <v>3199706</v>
      </c>
      <c r="H107" s="4" t="s">
        <v>275</v>
      </c>
      <c r="I107" s="4">
        <v>3202406</v>
      </c>
    </row>
    <row r="108" spans="2:9" x14ac:dyDescent="0.3">
      <c r="B108" s="44">
        <v>46032</v>
      </c>
      <c r="C108" s="3" t="s">
        <v>416</v>
      </c>
      <c r="D108" s="3" t="s">
        <v>59</v>
      </c>
      <c r="E108" s="101"/>
      <c r="F108" s="3" t="s">
        <v>281</v>
      </c>
      <c r="G108" s="4">
        <v>3195700</v>
      </c>
      <c r="H108" s="4" t="s">
        <v>278</v>
      </c>
      <c r="I108" s="4">
        <v>3199800</v>
      </c>
    </row>
    <row r="109" spans="2:9" x14ac:dyDescent="0.3">
      <c r="B109" s="4"/>
      <c r="E109" s="101"/>
      <c r="F109" s="4" t="s">
        <v>418</v>
      </c>
      <c r="G109" s="4" t="s">
        <v>418</v>
      </c>
      <c r="H109" s="3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59</v>
      </c>
      <c r="E110" s="101"/>
      <c r="F110" s="4" t="s">
        <v>273</v>
      </c>
      <c r="G110" s="4">
        <v>3211007</v>
      </c>
      <c r="H110" s="3" t="s">
        <v>281</v>
      </c>
      <c r="I110" s="4">
        <v>3195700</v>
      </c>
    </row>
    <row r="111" spans="2:9" x14ac:dyDescent="0.3">
      <c r="B111" s="44">
        <v>46039</v>
      </c>
      <c r="C111" s="3" t="s">
        <v>416</v>
      </c>
      <c r="D111" s="3" t="s">
        <v>59</v>
      </c>
      <c r="E111" s="101"/>
      <c r="F111" s="4" t="s">
        <v>275</v>
      </c>
      <c r="G111" s="4">
        <v>3202406</v>
      </c>
      <c r="H111" s="3" t="s">
        <v>314</v>
      </c>
      <c r="I111" s="4">
        <v>3208004</v>
      </c>
    </row>
    <row r="112" spans="2:9" x14ac:dyDescent="0.3">
      <c r="B112" s="44">
        <v>46039</v>
      </c>
      <c r="C112" s="3" t="s">
        <v>416</v>
      </c>
      <c r="D112" s="3" t="s">
        <v>59</v>
      </c>
      <c r="E112" s="101"/>
      <c r="F112" s="4" t="s">
        <v>272</v>
      </c>
      <c r="G112" s="4">
        <v>3211205</v>
      </c>
      <c r="H112" s="3" t="s">
        <v>313</v>
      </c>
      <c r="I112" s="4">
        <v>3207901</v>
      </c>
    </row>
    <row r="113" spans="2:9" x14ac:dyDescent="0.3">
      <c r="B113" s="44">
        <v>46039</v>
      </c>
      <c r="C113" s="3" t="s">
        <v>416</v>
      </c>
      <c r="D113" s="3" t="s">
        <v>59</v>
      </c>
      <c r="E113" s="101"/>
      <c r="F113" s="4" t="s">
        <v>641</v>
      </c>
      <c r="G113" s="4">
        <v>3055707</v>
      </c>
      <c r="H113" s="3" t="s">
        <v>288</v>
      </c>
      <c r="I113" s="4">
        <v>3200908</v>
      </c>
    </row>
    <row r="114" spans="2:9" x14ac:dyDescent="0.3">
      <c r="B114" s="44">
        <v>46039</v>
      </c>
      <c r="C114" s="3" t="s">
        <v>416</v>
      </c>
      <c r="D114" s="3" t="s">
        <v>59</v>
      </c>
      <c r="E114" s="101"/>
      <c r="F114" s="4" t="s">
        <v>278</v>
      </c>
      <c r="G114" s="4">
        <v>3199800</v>
      </c>
      <c r="H114" s="3" t="s">
        <v>274</v>
      </c>
      <c r="I114" s="4">
        <v>3206902</v>
      </c>
    </row>
    <row r="115" spans="2:9" x14ac:dyDescent="0.3">
      <c r="B115" s="44">
        <v>46039</v>
      </c>
      <c r="C115" s="3" t="s">
        <v>416</v>
      </c>
      <c r="D115" s="3" t="s">
        <v>59</v>
      </c>
      <c r="E115" s="101"/>
      <c r="F115" s="4" t="s">
        <v>283</v>
      </c>
      <c r="G115" s="4">
        <v>3194107</v>
      </c>
      <c r="H115" s="3" t="s">
        <v>279</v>
      </c>
      <c r="I115" s="4">
        <v>3199706</v>
      </c>
    </row>
    <row r="116" spans="2:9" x14ac:dyDescent="0.3">
      <c r="B116" s="4"/>
      <c r="E116" s="101"/>
      <c r="F116" s="4" t="s">
        <v>418</v>
      </c>
      <c r="G116" s="4" t="s">
        <v>418</v>
      </c>
      <c r="H116" s="3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59</v>
      </c>
      <c r="E117" s="101"/>
      <c r="F117" s="4" t="s">
        <v>273</v>
      </c>
      <c r="G117" s="4">
        <v>3211007</v>
      </c>
      <c r="H117" s="4" t="s">
        <v>641</v>
      </c>
      <c r="I117" s="4">
        <v>3055707</v>
      </c>
    </row>
    <row r="118" spans="2:9" x14ac:dyDescent="0.3">
      <c r="B118" s="44">
        <v>46046</v>
      </c>
      <c r="C118" s="3" t="s">
        <v>416</v>
      </c>
      <c r="D118" s="3" t="s">
        <v>59</v>
      </c>
      <c r="E118" s="101"/>
      <c r="F118" s="3" t="s">
        <v>313</v>
      </c>
      <c r="G118" s="4">
        <v>3207901</v>
      </c>
      <c r="H118" s="3" t="s">
        <v>278</v>
      </c>
      <c r="I118" s="4">
        <v>3199800</v>
      </c>
    </row>
    <row r="119" spans="2:9" x14ac:dyDescent="0.3">
      <c r="B119" s="44">
        <v>46046</v>
      </c>
      <c r="C119" s="3" t="s">
        <v>416</v>
      </c>
      <c r="D119" s="3" t="s">
        <v>59</v>
      </c>
      <c r="E119" s="101"/>
      <c r="F119" s="3" t="s">
        <v>274</v>
      </c>
      <c r="G119" s="4">
        <v>3206902</v>
      </c>
      <c r="H119" s="4" t="s">
        <v>281</v>
      </c>
      <c r="I119" s="4">
        <v>3195700</v>
      </c>
    </row>
    <row r="120" spans="2:9" x14ac:dyDescent="0.3">
      <c r="B120" s="44">
        <v>46046</v>
      </c>
      <c r="C120" s="3" t="s">
        <v>416</v>
      </c>
      <c r="D120" s="3" t="s">
        <v>59</v>
      </c>
      <c r="E120" s="101"/>
      <c r="F120" s="3" t="s">
        <v>288</v>
      </c>
      <c r="G120" s="4">
        <v>3200908</v>
      </c>
      <c r="H120" s="4" t="s">
        <v>275</v>
      </c>
      <c r="I120" s="4">
        <v>3202406</v>
      </c>
    </row>
    <row r="121" spans="2:9" x14ac:dyDescent="0.3">
      <c r="B121" s="44">
        <v>46046</v>
      </c>
      <c r="C121" s="3" t="s">
        <v>416</v>
      </c>
      <c r="D121" s="3" t="s">
        <v>59</v>
      </c>
      <c r="E121" s="101"/>
      <c r="F121" s="3" t="s">
        <v>314</v>
      </c>
      <c r="G121" s="4">
        <v>3208004</v>
      </c>
      <c r="H121" s="4" t="s">
        <v>283</v>
      </c>
      <c r="I121" s="4">
        <v>3194107</v>
      </c>
    </row>
    <row r="122" spans="2:9" x14ac:dyDescent="0.3">
      <c r="B122" s="44">
        <v>46046</v>
      </c>
      <c r="C122" s="3" t="s">
        <v>416</v>
      </c>
      <c r="D122" s="3" t="s">
        <v>59</v>
      </c>
      <c r="E122" s="101"/>
      <c r="F122" s="3" t="s">
        <v>279</v>
      </c>
      <c r="G122" s="4">
        <v>3199706</v>
      </c>
      <c r="H122" s="4" t="s">
        <v>272</v>
      </c>
      <c r="I122" s="4">
        <v>3211205</v>
      </c>
    </row>
    <row r="123" spans="2:9" x14ac:dyDescent="0.3">
      <c r="B123" s="4"/>
      <c r="E123" s="101"/>
      <c r="F123" s="4" t="s">
        <v>418</v>
      </c>
      <c r="G123" s="4" t="s">
        <v>418</v>
      </c>
      <c r="H123" s="3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59</v>
      </c>
      <c r="E124" s="101"/>
      <c r="F124" s="3" t="s">
        <v>274</v>
      </c>
      <c r="G124" s="4">
        <v>3206902</v>
      </c>
      <c r="H124" s="4" t="s">
        <v>313</v>
      </c>
      <c r="I124" s="4">
        <v>3207901</v>
      </c>
    </row>
    <row r="125" spans="2:9" x14ac:dyDescent="0.3">
      <c r="B125" s="44">
        <v>46053</v>
      </c>
      <c r="C125" s="3" t="s">
        <v>416</v>
      </c>
      <c r="D125" s="3" t="s">
        <v>59</v>
      </c>
      <c r="E125" s="101"/>
      <c r="F125" s="3" t="s">
        <v>275</v>
      </c>
      <c r="G125" s="4">
        <v>3202406</v>
      </c>
      <c r="H125" s="3" t="s">
        <v>273</v>
      </c>
      <c r="I125" s="4">
        <v>3211007</v>
      </c>
    </row>
    <row r="126" spans="2:9" x14ac:dyDescent="0.3">
      <c r="B126" s="44">
        <v>46053</v>
      </c>
      <c r="C126" s="3" t="s">
        <v>416</v>
      </c>
      <c r="D126" s="3" t="s">
        <v>59</v>
      </c>
      <c r="E126" s="101"/>
      <c r="F126" s="4" t="s">
        <v>272</v>
      </c>
      <c r="G126" s="4">
        <v>3211205</v>
      </c>
      <c r="H126" s="3" t="s">
        <v>314</v>
      </c>
      <c r="I126" s="4">
        <v>3208004</v>
      </c>
    </row>
    <row r="127" spans="2:9" x14ac:dyDescent="0.3">
      <c r="B127" s="44">
        <v>46053</v>
      </c>
      <c r="C127" s="3" t="s">
        <v>416</v>
      </c>
      <c r="D127" s="3" t="s">
        <v>59</v>
      </c>
      <c r="E127" s="101"/>
      <c r="F127" s="4" t="s">
        <v>278</v>
      </c>
      <c r="G127" s="4">
        <v>3199800</v>
      </c>
      <c r="H127" s="3" t="s">
        <v>279</v>
      </c>
      <c r="I127" s="4">
        <v>3199706</v>
      </c>
    </row>
    <row r="128" spans="2:9" x14ac:dyDescent="0.3">
      <c r="B128" s="44">
        <v>46053</v>
      </c>
      <c r="C128" s="3" t="s">
        <v>416</v>
      </c>
      <c r="D128" s="3" t="s">
        <v>59</v>
      </c>
      <c r="E128" s="101"/>
      <c r="F128" s="4" t="s">
        <v>281</v>
      </c>
      <c r="G128" s="4">
        <v>3195700</v>
      </c>
      <c r="H128" s="3" t="s">
        <v>641</v>
      </c>
      <c r="I128" s="4">
        <v>3055707</v>
      </c>
    </row>
    <row r="129" spans="2:9" x14ac:dyDescent="0.3">
      <c r="B129" s="44">
        <v>46053</v>
      </c>
      <c r="C129" s="3" t="s">
        <v>416</v>
      </c>
      <c r="D129" s="3" t="s">
        <v>59</v>
      </c>
      <c r="E129" s="101"/>
      <c r="F129" s="4" t="s">
        <v>283</v>
      </c>
      <c r="G129" s="4">
        <v>3194107</v>
      </c>
      <c r="H129" s="3" t="s">
        <v>288</v>
      </c>
      <c r="I129" s="4">
        <v>3200908</v>
      </c>
    </row>
    <row r="130" spans="2:9" x14ac:dyDescent="0.3">
      <c r="B130" s="4"/>
      <c r="E130" s="101"/>
      <c r="F130" s="4" t="s">
        <v>418</v>
      </c>
      <c r="G130" s="4" t="s">
        <v>418</v>
      </c>
    </row>
    <row r="131" spans="2:9" x14ac:dyDescent="0.3">
      <c r="B131" s="44">
        <v>46060</v>
      </c>
      <c r="C131" s="3" t="s">
        <v>416</v>
      </c>
      <c r="D131" s="3" t="s">
        <v>59</v>
      </c>
      <c r="E131" s="101"/>
      <c r="F131" s="4" t="s">
        <v>273</v>
      </c>
      <c r="G131" s="4">
        <v>3211007</v>
      </c>
      <c r="H131" s="4" t="s">
        <v>283</v>
      </c>
      <c r="I131" s="4">
        <v>3194107</v>
      </c>
    </row>
    <row r="132" spans="2:9" x14ac:dyDescent="0.3">
      <c r="B132" s="44">
        <v>46060</v>
      </c>
      <c r="C132" s="3" t="s">
        <v>416</v>
      </c>
      <c r="D132" s="3" t="s">
        <v>59</v>
      </c>
      <c r="E132" s="101"/>
      <c r="F132" s="4" t="s">
        <v>313</v>
      </c>
      <c r="G132" s="4">
        <v>3207901</v>
      </c>
      <c r="H132" s="4" t="s">
        <v>281</v>
      </c>
      <c r="I132" s="4">
        <v>3195700</v>
      </c>
    </row>
    <row r="133" spans="2:9" x14ac:dyDescent="0.3">
      <c r="B133" s="44">
        <v>46060</v>
      </c>
      <c r="C133" s="3" t="s">
        <v>416</v>
      </c>
      <c r="D133" s="3" t="s">
        <v>59</v>
      </c>
      <c r="E133" s="101"/>
      <c r="F133" s="3" t="s">
        <v>288</v>
      </c>
      <c r="G133" s="4">
        <v>3200908</v>
      </c>
      <c r="H133" s="3" t="s">
        <v>272</v>
      </c>
      <c r="I133" s="4">
        <v>3211205</v>
      </c>
    </row>
    <row r="134" spans="2:9" x14ac:dyDescent="0.3">
      <c r="B134" s="44">
        <v>46060</v>
      </c>
      <c r="C134" s="3" t="s">
        <v>416</v>
      </c>
      <c r="D134" s="3" t="s">
        <v>59</v>
      </c>
      <c r="E134" s="101"/>
      <c r="F134" s="3" t="s">
        <v>314</v>
      </c>
      <c r="G134" s="4">
        <v>3208004</v>
      </c>
      <c r="H134" s="4" t="s">
        <v>278</v>
      </c>
      <c r="I134" s="4">
        <v>3199800</v>
      </c>
    </row>
    <row r="135" spans="2:9" x14ac:dyDescent="0.3">
      <c r="B135" s="44">
        <v>46060</v>
      </c>
      <c r="C135" s="3" t="s">
        <v>416</v>
      </c>
      <c r="D135" s="3" t="s">
        <v>59</v>
      </c>
      <c r="E135" s="101"/>
      <c r="F135" s="3" t="s">
        <v>641</v>
      </c>
      <c r="G135" s="4">
        <v>3055707</v>
      </c>
      <c r="H135" s="3" t="s">
        <v>275</v>
      </c>
      <c r="I135" s="4">
        <v>3202406</v>
      </c>
    </row>
    <row r="136" spans="2:9" x14ac:dyDescent="0.3">
      <c r="B136" s="44">
        <v>46060</v>
      </c>
      <c r="C136" s="3" t="s">
        <v>416</v>
      </c>
      <c r="D136" s="3" t="s">
        <v>59</v>
      </c>
      <c r="E136" s="101"/>
      <c r="F136" s="3" t="s">
        <v>279</v>
      </c>
      <c r="G136" s="4">
        <v>3199706</v>
      </c>
      <c r="H136" s="4" t="s">
        <v>274</v>
      </c>
      <c r="I136" s="4">
        <v>3206902</v>
      </c>
    </row>
    <row r="137" spans="2:9" x14ac:dyDescent="0.3">
      <c r="B137" s="4"/>
      <c r="E137" s="101"/>
      <c r="F137" s="4" t="s">
        <v>418</v>
      </c>
      <c r="G137" s="4" t="s">
        <v>418</v>
      </c>
      <c r="H137" s="3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59</v>
      </c>
      <c r="E138" s="101"/>
      <c r="F138" s="3" t="s">
        <v>313</v>
      </c>
      <c r="G138" s="4">
        <v>3207901</v>
      </c>
      <c r="H138" s="4" t="s">
        <v>279</v>
      </c>
      <c r="I138" s="4">
        <v>3199706</v>
      </c>
    </row>
    <row r="139" spans="2:9" x14ac:dyDescent="0.3">
      <c r="B139" s="44">
        <v>46074</v>
      </c>
      <c r="C139" s="3" t="s">
        <v>416</v>
      </c>
      <c r="D139" s="3" t="s">
        <v>59</v>
      </c>
      <c r="E139" s="101"/>
      <c r="F139" s="3" t="s">
        <v>274</v>
      </c>
      <c r="G139" s="4">
        <v>3206902</v>
      </c>
      <c r="H139" s="3" t="s">
        <v>314</v>
      </c>
      <c r="I139" s="4">
        <v>3208004</v>
      </c>
    </row>
    <row r="140" spans="2:9" x14ac:dyDescent="0.3">
      <c r="B140" s="44">
        <v>46074</v>
      </c>
      <c r="C140" s="3" t="s">
        <v>416</v>
      </c>
      <c r="D140" s="3" t="s">
        <v>59</v>
      </c>
      <c r="E140" s="101"/>
      <c r="F140" s="3" t="s">
        <v>272</v>
      </c>
      <c r="G140" s="4">
        <v>3211205</v>
      </c>
      <c r="H140" s="3" t="s">
        <v>273</v>
      </c>
      <c r="I140" s="4">
        <v>3211007</v>
      </c>
    </row>
    <row r="141" spans="2:9" x14ac:dyDescent="0.3">
      <c r="B141" s="44">
        <v>46074</v>
      </c>
      <c r="C141" s="3" t="s">
        <v>416</v>
      </c>
      <c r="D141" s="3" t="s">
        <v>59</v>
      </c>
      <c r="E141" s="101"/>
      <c r="F141" s="4" t="s">
        <v>278</v>
      </c>
      <c r="G141" s="4">
        <v>3199800</v>
      </c>
      <c r="H141" s="4" t="s">
        <v>288</v>
      </c>
      <c r="I141" s="4">
        <v>3200908</v>
      </c>
    </row>
    <row r="142" spans="2:9" x14ac:dyDescent="0.3">
      <c r="B142" s="44">
        <v>46074</v>
      </c>
      <c r="C142" s="3" t="s">
        <v>416</v>
      </c>
      <c r="D142" s="3" t="s">
        <v>59</v>
      </c>
      <c r="E142" s="101"/>
      <c r="F142" s="4" t="s">
        <v>281</v>
      </c>
      <c r="G142" s="4">
        <v>3195700</v>
      </c>
      <c r="H142" s="3" t="s">
        <v>275</v>
      </c>
      <c r="I142" s="4">
        <v>3202406</v>
      </c>
    </row>
    <row r="143" spans="2:9" x14ac:dyDescent="0.3">
      <c r="B143" s="44">
        <v>46074</v>
      </c>
      <c r="C143" s="3" t="s">
        <v>416</v>
      </c>
      <c r="D143" s="3" t="s">
        <v>59</v>
      </c>
      <c r="E143" s="101"/>
      <c r="F143" s="4" t="s">
        <v>283</v>
      </c>
      <c r="G143" s="4">
        <v>3194107</v>
      </c>
      <c r="H143" s="3" t="s">
        <v>641</v>
      </c>
      <c r="I143" s="4">
        <v>3055707</v>
      </c>
    </row>
    <row r="144" spans="2:9" x14ac:dyDescent="0.3">
      <c r="B144" s="4"/>
      <c r="E144" s="101"/>
      <c r="F144" s="4" t="s">
        <v>418</v>
      </c>
      <c r="G144" s="4" t="s">
        <v>418</v>
      </c>
      <c r="H144" s="3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59</v>
      </c>
      <c r="E145" s="101"/>
      <c r="F145" s="4" t="s">
        <v>273</v>
      </c>
      <c r="G145" s="4">
        <v>3211007</v>
      </c>
      <c r="H145" s="4" t="s">
        <v>278</v>
      </c>
      <c r="I145" s="4">
        <v>3199800</v>
      </c>
    </row>
    <row r="146" spans="2:9" x14ac:dyDescent="0.3">
      <c r="B146" s="44">
        <v>46081</v>
      </c>
      <c r="C146" s="3" t="s">
        <v>416</v>
      </c>
      <c r="D146" s="3" t="s">
        <v>59</v>
      </c>
      <c r="E146" s="101"/>
      <c r="F146" s="4" t="s">
        <v>275</v>
      </c>
      <c r="G146" s="4">
        <v>3202406</v>
      </c>
      <c r="H146" s="4" t="s">
        <v>283</v>
      </c>
      <c r="I146" s="4">
        <v>3194107</v>
      </c>
    </row>
    <row r="147" spans="2:9" x14ac:dyDescent="0.3">
      <c r="B147" s="44">
        <v>46081</v>
      </c>
      <c r="C147" s="3" t="s">
        <v>416</v>
      </c>
      <c r="D147" s="3" t="s">
        <v>59</v>
      </c>
      <c r="E147" s="101"/>
      <c r="F147" s="4" t="s">
        <v>288</v>
      </c>
      <c r="G147" s="4">
        <v>3200908</v>
      </c>
      <c r="H147" s="4" t="s">
        <v>274</v>
      </c>
      <c r="I147" s="4">
        <v>3206902</v>
      </c>
    </row>
    <row r="148" spans="2:9" x14ac:dyDescent="0.3">
      <c r="B148" s="44">
        <v>46081</v>
      </c>
      <c r="C148" s="3" t="s">
        <v>416</v>
      </c>
      <c r="D148" s="3" t="s">
        <v>59</v>
      </c>
      <c r="E148" s="101"/>
      <c r="F148" s="3" t="s">
        <v>314</v>
      </c>
      <c r="G148" s="4">
        <v>3208004</v>
      </c>
      <c r="H148" s="3" t="s">
        <v>313</v>
      </c>
      <c r="I148" s="4">
        <v>3207901</v>
      </c>
    </row>
    <row r="149" spans="2:9" x14ac:dyDescent="0.3">
      <c r="B149" s="44">
        <v>46081</v>
      </c>
      <c r="C149" s="3" t="s">
        <v>416</v>
      </c>
      <c r="D149" s="3" t="s">
        <v>59</v>
      </c>
      <c r="E149" s="101"/>
      <c r="F149" s="3" t="s">
        <v>641</v>
      </c>
      <c r="G149" s="4">
        <v>3055707</v>
      </c>
      <c r="H149" s="3" t="s">
        <v>272</v>
      </c>
      <c r="I149" s="4">
        <v>3211205</v>
      </c>
    </row>
    <row r="150" spans="2:9" x14ac:dyDescent="0.3">
      <c r="B150" s="44">
        <v>46081</v>
      </c>
      <c r="C150" s="3" t="s">
        <v>416</v>
      </c>
      <c r="D150" s="3" t="s">
        <v>59</v>
      </c>
      <c r="E150" s="101"/>
      <c r="F150" s="3" t="s">
        <v>279</v>
      </c>
      <c r="G150" s="4">
        <v>3199706</v>
      </c>
      <c r="H150" s="3" t="s">
        <v>281</v>
      </c>
      <c r="I150" s="4">
        <v>3195700</v>
      </c>
    </row>
    <row r="151" spans="2:9" x14ac:dyDescent="0.3">
      <c r="B151" s="4"/>
      <c r="E151" s="101"/>
      <c r="F151" s="4"/>
      <c r="G151" s="4" t="s">
        <v>418</v>
      </c>
      <c r="H151" s="3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59</v>
      </c>
      <c r="E152" s="101"/>
      <c r="F152" s="3" t="s">
        <v>313</v>
      </c>
      <c r="G152" s="4">
        <v>3207901</v>
      </c>
      <c r="H152" s="4" t="s">
        <v>288</v>
      </c>
      <c r="I152" s="4">
        <v>3200908</v>
      </c>
    </row>
    <row r="153" spans="2:9" x14ac:dyDescent="0.3">
      <c r="B153" s="44">
        <v>46088</v>
      </c>
      <c r="C153" s="3" t="s">
        <v>416</v>
      </c>
      <c r="D153" s="3" t="s">
        <v>59</v>
      </c>
      <c r="E153" s="101"/>
      <c r="F153" s="3" t="s">
        <v>274</v>
      </c>
      <c r="G153" s="4">
        <v>3206902</v>
      </c>
      <c r="H153" s="3" t="s">
        <v>273</v>
      </c>
      <c r="I153" s="4">
        <v>3211007</v>
      </c>
    </row>
    <row r="154" spans="2:9" x14ac:dyDescent="0.3">
      <c r="B154" s="44">
        <v>46088</v>
      </c>
      <c r="C154" s="3" t="s">
        <v>416</v>
      </c>
      <c r="D154" s="3" t="s">
        <v>59</v>
      </c>
      <c r="E154" s="101"/>
      <c r="F154" s="3" t="s">
        <v>272</v>
      </c>
      <c r="G154" s="4">
        <v>3211205</v>
      </c>
      <c r="H154" s="3" t="s">
        <v>275</v>
      </c>
      <c r="I154" s="4">
        <v>3202406</v>
      </c>
    </row>
    <row r="155" spans="2:9" x14ac:dyDescent="0.3">
      <c r="B155" s="44">
        <v>46088</v>
      </c>
      <c r="C155" s="3" t="s">
        <v>416</v>
      </c>
      <c r="D155" s="3" t="s">
        <v>59</v>
      </c>
      <c r="E155" s="101"/>
      <c r="F155" s="4" t="s">
        <v>279</v>
      </c>
      <c r="G155" s="4">
        <v>3199706</v>
      </c>
      <c r="H155" s="4" t="s">
        <v>314</v>
      </c>
      <c r="I155" s="4">
        <v>3208004</v>
      </c>
    </row>
    <row r="156" spans="2:9" x14ac:dyDescent="0.3">
      <c r="B156" s="44">
        <v>46088</v>
      </c>
      <c r="C156" s="3" t="s">
        <v>416</v>
      </c>
      <c r="D156" s="3" t="s">
        <v>59</v>
      </c>
      <c r="E156" s="101"/>
      <c r="F156" s="4" t="s">
        <v>278</v>
      </c>
      <c r="G156" s="4">
        <v>3199800</v>
      </c>
      <c r="H156" s="4" t="s">
        <v>641</v>
      </c>
      <c r="I156" s="4">
        <v>3055707</v>
      </c>
    </row>
    <row r="157" spans="2:9" x14ac:dyDescent="0.3">
      <c r="B157" s="44">
        <v>46088</v>
      </c>
      <c r="C157" s="3" t="s">
        <v>416</v>
      </c>
      <c r="D157" s="3" t="s">
        <v>59</v>
      </c>
      <c r="E157" s="101"/>
      <c r="F157" s="3" t="s">
        <v>281</v>
      </c>
      <c r="G157" s="4">
        <v>3195700</v>
      </c>
      <c r="H157" s="3" t="s">
        <v>283</v>
      </c>
      <c r="I157" s="4">
        <v>3194107</v>
      </c>
    </row>
    <row r="158" spans="2:9" x14ac:dyDescent="0.3">
      <c r="B158" s="4"/>
      <c r="E158" s="101"/>
      <c r="F158" s="4" t="s">
        <v>418</v>
      </c>
      <c r="G158" s="4" t="s">
        <v>418</v>
      </c>
      <c r="H158" s="3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59</v>
      </c>
      <c r="E159" s="101"/>
      <c r="F159" s="4" t="s">
        <v>273</v>
      </c>
      <c r="G159" s="4">
        <v>3211007</v>
      </c>
      <c r="H159" s="3" t="s">
        <v>313</v>
      </c>
      <c r="I159" s="4">
        <v>3207901</v>
      </c>
    </row>
    <row r="160" spans="2:9" x14ac:dyDescent="0.3">
      <c r="B160" s="44">
        <v>46095</v>
      </c>
      <c r="C160" s="3" t="s">
        <v>416</v>
      </c>
      <c r="D160" s="3" t="s">
        <v>59</v>
      </c>
      <c r="E160" s="101"/>
      <c r="F160" s="4" t="s">
        <v>275</v>
      </c>
      <c r="G160" s="4">
        <v>3202406</v>
      </c>
      <c r="H160" s="3" t="s">
        <v>278</v>
      </c>
      <c r="I160" s="4">
        <v>3199800</v>
      </c>
    </row>
    <row r="161" spans="2:9" x14ac:dyDescent="0.3">
      <c r="B161" s="44">
        <v>46095</v>
      </c>
      <c r="C161" s="3" t="s">
        <v>416</v>
      </c>
      <c r="D161" s="3" t="s">
        <v>59</v>
      </c>
      <c r="E161" s="101"/>
      <c r="F161" s="4" t="s">
        <v>288</v>
      </c>
      <c r="G161" s="4">
        <v>3200908</v>
      </c>
      <c r="H161" s="4" t="s">
        <v>279</v>
      </c>
      <c r="I161" s="4">
        <v>3199706</v>
      </c>
    </row>
    <row r="162" spans="2:9" x14ac:dyDescent="0.3">
      <c r="B162" s="44">
        <v>46095</v>
      </c>
      <c r="C162" s="3" t="s">
        <v>416</v>
      </c>
      <c r="D162" s="3" t="s">
        <v>59</v>
      </c>
      <c r="E162" s="101"/>
      <c r="F162" s="4" t="s">
        <v>314</v>
      </c>
      <c r="G162" s="4">
        <v>3208004</v>
      </c>
      <c r="H162" s="4" t="s">
        <v>281</v>
      </c>
      <c r="I162" s="4">
        <v>3195700</v>
      </c>
    </row>
    <row r="163" spans="2:9" x14ac:dyDescent="0.3">
      <c r="B163" s="44">
        <v>46095</v>
      </c>
      <c r="C163" s="3" t="s">
        <v>416</v>
      </c>
      <c r="D163" s="3" t="s">
        <v>59</v>
      </c>
      <c r="E163" s="101"/>
      <c r="F163" s="3" t="s">
        <v>641</v>
      </c>
      <c r="G163" s="4">
        <v>3055707</v>
      </c>
      <c r="H163" s="3" t="s">
        <v>274</v>
      </c>
      <c r="I163" s="4">
        <v>3206902</v>
      </c>
    </row>
    <row r="164" spans="2:9" x14ac:dyDescent="0.3">
      <c r="B164" s="44">
        <v>46095</v>
      </c>
      <c r="C164" s="3" t="s">
        <v>416</v>
      </c>
      <c r="D164" s="3" t="s">
        <v>59</v>
      </c>
      <c r="E164" s="101"/>
      <c r="F164" s="3" t="s">
        <v>283</v>
      </c>
      <c r="G164" s="4">
        <v>3194107</v>
      </c>
      <c r="H164" s="3" t="s">
        <v>272</v>
      </c>
      <c r="I164" s="4">
        <v>3211205</v>
      </c>
    </row>
    <row r="165" spans="2:9" x14ac:dyDescent="0.3">
      <c r="B165" s="4"/>
      <c r="E165" s="101"/>
      <c r="F165" s="4" t="s">
        <v>418</v>
      </c>
      <c r="G165" s="4" t="s">
        <v>418</v>
      </c>
      <c r="H165" s="3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59</v>
      </c>
      <c r="E166" s="101"/>
      <c r="F166" s="3" t="s">
        <v>313</v>
      </c>
      <c r="G166" s="4">
        <v>3207901</v>
      </c>
      <c r="H166" s="4" t="s">
        <v>641</v>
      </c>
      <c r="I166" s="4">
        <v>3055707</v>
      </c>
    </row>
    <row r="167" spans="2:9" x14ac:dyDescent="0.3">
      <c r="B167" s="44">
        <v>46102</v>
      </c>
      <c r="C167" s="3" t="s">
        <v>416</v>
      </c>
      <c r="D167" s="3" t="s">
        <v>59</v>
      </c>
      <c r="E167" s="101"/>
      <c r="F167" s="3" t="s">
        <v>274</v>
      </c>
      <c r="G167" s="4">
        <v>3206902</v>
      </c>
      <c r="H167" s="4" t="s">
        <v>275</v>
      </c>
      <c r="I167" s="4">
        <v>3202406</v>
      </c>
    </row>
    <row r="168" spans="2:9" x14ac:dyDescent="0.3">
      <c r="B168" s="44">
        <v>46102</v>
      </c>
      <c r="C168" s="3" t="s">
        <v>416</v>
      </c>
      <c r="D168" s="3" t="s">
        <v>59</v>
      </c>
      <c r="E168" s="101"/>
      <c r="F168" s="3" t="s">
        <v>314</v>
      </c>
      <c r="G168" s="4">
        <v>3208004</v>
      </c>
      <c r="H168" s="4" t="s">
        <v>288</v>
      </c>
      <c r="I168" s="4">
        <v>3200908</v>
      </c>
    </row>
    <row r="169" spans="2:9" x14ac:dyDescent="0.3">
      <c r="B169" s="44">
        <v>46102</v>
      </c>
      <c r="C169" s="3" t="s">
        <v>416</v>
      </c>
      <c r="D169" s="3" t="s">
        <v>59</v>
      </c>
      <c r="E169" s="101"/>
      <c r="F169" s="4" t="s">
        <v>279</v>
      </c>
      <c r="G169" s="4">
        <v>3199706</v>
      </c>
      <c r="H169" s="4" t="s">
        <v>273</v>
      </c>
      <c r="I169" s="4">
        <v>3211007</v>
      </c>
    </row>
    <row r="170" spans="2:9" x14ac:dyDescent="0.3">
      <c r="B170" s="44">
        <v>46102</v>
      </c>
      <c r="C170" s="3" t="s">
        <v>416</v>
      </c>
      <c r="D170" s="3" t="s">
        <v>59</v>
      </c>
      <c r="E170" s="101"/>
      <c r="F170" s="3" t="s">
        <v>278</v>
      </c>
      <c r="G170" s="4">
        <v>3199800</v>
      </c>
      <c r="H170" s="3" t="s">
        <v>283</v>
      </c>
      <c r="I170" s="4">
        <v>3194107</v>
      </c>
    </row>
    <row r="171" spans="2:9" x14ac:dyDescent="0.3">
      <c r="B171" s="44">
        <v>46102</v>
      </c>
      <c r="C171" s="3" t="s">
        <v>416</v>
      </c>
      <c r="D171" s="3" t="s">
        <v>59</v>
      </c>
      <c r="E171" s="101"/>
      <c r="F171" s="3" t="s">
        <v>281</v>
      </c>
      <c r="G171" s="4">
        <v>3195700</v>
      </c>
      <c r="H171" s="3" t="s">
        <v>272</v>
      </c>
      <c r="I171" s="4">
        <v>3211205</v>
      </c>
    </row>
    <row r="172" spans="2:9" x14ac:dyDescent="0.3">
      <c r="B172" s="4"/>
      <c r="E172" s="101"/>
      <c r="F172" s="4"/>
      <c r="G172" s="4" t="s">
        <v>418</v>
      </c>
      <c r="H172" s="3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59</v>
      </c>
      <c r="E173" s="101"/>
      <c r="F173" s="4" t="s">
        <v>273</v>
      </c>
      <c r="G173" s="4">
        <v>3211007</v>
      </c>
      <c r="H173" s="3" t="s">
        <v>314</v>
      </c>
      <c r="I173" s="4">
        <v>3208004</v>
      </c>
    </row>
    <row r="174" spans="2:9" x14ac:dyDescent="0.3">
      <c r="B174" s="44">
        <v>46109</v>
      </c>
      <c r="C174" s="3" t="s">
        <v>416</v>
      </c>
      <c r="D174" s="3" t="s">
        <v>59</v>
      </c>
      <c r="E174" s="101"/>
      <c r="F174" s="4" t="s">
        <v>275</v>
      </c>
      <c r="G174" s="4">
        <v>3202406</v>
      </c>
      <c r="H174" s="3" t="s">
        <v>313</v>
      </c>
      <c r="I174" s="4">
        <v>3207901</v>
      </c>
    </row>
    <row r="175" spans="2:9" x14ac:dyDescent="0.3">
      <c r="B175" s="44">
        <v>46109</v>
      </c>
      <c r="C175" s="3" t="s">
        <v>416</v>
      </c>
      <c r="D175" s="3" t="s">
        <v>59</v>
      </c>
      <c r="E175" s="101"/>
      <c r="F175" s="4" t="s">
        <v>288</v>
      </c>
      <c r="G175" s="4">
        <v>3200908</v>
      </c>
      <c r="H175" s="3" t="s">
        <v>281</v>
      </c>
      <c r="I175" s="4">
        <v>3195700</v>
      </c>
    </row>
    <row r="176" spans="2:9" x14ac:dyDescent="0.3">
      <c r="B176" s="44">
        <v>46109</v>
      </c>
      <c r="C176" s="3" t="s">
        <v>416</v>
      </c>
      <c r="D176" s="3" t="s">
        <v>59</v>
      </c>
      <c r="E176" s="101"/>
      <c r="F176" s="4" t="s">
        <v>272</v>
      </c>
      <c r="G176" s="4">
        <v>3211205</v>
      </c>
      <c r="H176" s="3" t="s">
        <v>278</v>
      </c>
      <c r="I176" s="4">
        <v>3199800</v>
      </c>
    </row>
    <row r="177" spans="2:9" x14ac:dyDescent="0.3">
      <c r="B177" s="44">
        <v>46109</v>
      </c>
      <c r="C177" s="3" t="s">
        <v>416</v>
      </c>
      <c r="D177" s="3" t="s">
        <v>59</v>
      </c>
      <c r="E177" s="101"/>
      <c r="F177" s="4" t="s">
        <v>641</v>
      </c>
      <c r="G177" s="4">
        <v>3055707</v>
      </c>
      <c r="H177" s="4" t="s">
        <v>279</v>
      </c>
      <c r="I177" s="4">
        <v>3199706</v>
      </c>
    </row>
    <row r="178" spans="2:9" x14ac:dyDescent="0.3">
      <c r="B178" s="44">
        <v>46109</v>
      </c>
      <c r="C178" s="3" t="s">
        <v>416</v>
      </c>
      <c r="D178" s="3" t="s">
        <v>59</v>
      </c>
      <c r="E178" s="101"/>
      <c r="F178" s="3" t="s">
        <v>283</v>
      </c>
      <c r="G178" s="4">
        <v>3194107</v>
      </c>
      <c r="H178" s="3" t="s">
        <v>274</v>
      </c>
      <c r="I178" s="4">
        <v>3206902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220" priority="526"/>
  </conditionalFormatting>
  <conditionalFormatting sqref="B10:B11 B14:B15 B18:B21">
    <cfRule type="duplicateValues" dxfId="5219" priority="1858"/>
  </conditionalFormatting>
  <conditionalFormatting sqref="F26:F31">
    <cfRule type="duplicateValues" dxfId="5218" priority="13"/>
  </conditionalFormatting>
  <conditionalFormatting sqref="F33:G33">
    <cfRule type="duplicateValues" dxfId="5217" priority="245"/>
  </conditionalFormatting>
  <conditionalFormatting sqref="F34:G34">
    <cfRule type="duplicateValues" dxfId="5216" priority="123"/>
  </conditionalFormatting>
  <conditionalFormatting sqref="F35:G35">
    <cfRule type="duplicateValues" dxfId="5215" priority="101"/>
  </conditionalFormatting>
  <conditionalFormatting sqref="F36:G36">
    <cfRule type="duplicateValues" dxfId="5214" priority="80"/>
  </conditionalFormatting>
  <conditionalFormatting sqref="F37:G37">
    <cfRule type="duplicateValues" dxfId="5213" priority="38"/>
  </conditionalFormatting>
  <conditionalFormatting sqref="F38:G38">
    <cfRule type="duplicateValues" dxfId="5212" priority="59"/>
  </conditionalFormatting>
  <conditionalFormatting sqref="F40:G40">
    <cfRule type="duplicateValues" dxfId="5211" priority="244"/>
  </conditionalFormatting>
  <conditionalFormatting sqref="F41:G41">
    <cfRule type="duplicateValues" dxfId="5210" priority="226"/>
  </conditionalFormatting>
  <conditionalFormatting sqref="F42:G42">
    <cfRule type="duplicateValues" dxfId="5209" priority="205"/>
  </conditionalFormatting>
  <conditionalFormatting sqref="F43:G43">
    <cfRule type="duplicateValues" dxfId="5208" priority="185"/>
  </conditionalFormatting>
  <conditionalFormatting sqref="F44:G44">
    <cfRule type="duplicateValues" dxfId="5207" priority="164"/>
  </conditionalFormatting>
  <conditionalFormatting sqref="F45:G45">
    <cfRule type="duplicateValues" dxfId="5206" priority="143"/>
  </conditionalFormatting>
  <conditionalFormatting sqref="F47:G47">
    <cfRule type="duplicateValues" dxfId="5205" priority="263"/>
  </conditionalFormatting>
  <conditionalFormatting sqref="F48:G48">
    <cfRule type="duplicateValues" dxfId="5204" priority="225"/>
  </conditionalFormatting>
  <conditionalFormatting sqref="F49:G49">
    <cfRule type="duplicateValues" dxfId="5203" priority="99"/>
  </conditionalFormatting>
  <conditionalFormatting sqref="F50:G50">
    <cfRule type="duplicateValues" dxfId="5202" priority="78"/>
  </conditionalFormatting>
  <conditionalFormatting sqref="F51:G51">
    <cfRule type="duplicateValues" dxfId="5201" priority="36"/>
  </conditionalFormatting>
  <conditionalFormatting sqref="F52:G52">
    <cfRule type="duplicateValues" dxfId="5200" priority="57"/>
  </conditionalFormatting>
  <conditionalFormatting sqref="F54:G54">
    <cfRule type="duplicateValues" dxfId="5199" priority="243"/>
  </conditionalFormatting>
  <conditionalFormatting sqref="F55:G55">
    <cfRule type="duplicateValues" dxfId="5198" priority="119"/>
  </conditionalFormatting>
  <conditionalFormatting sqref="F56:G56">
    <cfRule type="duplicateValues" dxfId="5197" priority="203"/>
  </conditionalFormatting>
  <conditionalFormatting sqref="F57:G57">
    <cfRule type="duplicateValues" dxfId="5196" priority="183"/>
  </conditionalFormatting>
  <conditionalFormatting sqref="F58:G58">
    <cfRule type="duplicateValues" dxfId="5195" priority="162"/>
  </conditionalFormatting>
  <conditionalFormatting sqref="F59:G59">
    <cfRule type="duplicateValues" dxfId="5194" priority="141"/>
  </conditionalFormatting>
  <conditionalFormatting sqref="F61:G61">
    <cfRule type="duplicateValues" dxfId="5193" priority="261"/>
  </conditionalFormatting>
  <conditionalFormatting sqref="F62:G62">
    <cfRule type="duplicateValues" dxfId="5192" priority="223"/>
  </conditionalFormatting>
  <conditionalFormatting sqref="F63:G63">
    <cfRule type="duplicateValues" dxfId="5191" priority="202"/>
  </conditionalFormatting>
  <conditionalFormatting sqref="F64:G64">
    <cfRule type="duplicateValues" dxfId="5190" priority="76"/>
  </conditionalFormatting>
  <conditionalFormatting sqref="F65:G65">
    <cfRule type="duplicateValues" dxfId="5189" priority="34"/>
  </conditionalFormatting>
  <conditionalFormatting sqref="F66:G66">
    <cfRule type="duplicateValues" dxfId="5188" priority="55"/>
  </conditionalFormatting>
  <conditionalFormatting sqref="F68:G68">
    <cfRule type="duplicateValues" dxfId="5187" priority="241"/>
  </conditionalFormatting>
  <conditionalFormatting sqref="F69:G69">
    <cfRule type="duplicateValues" dxfId="5186" priority="117"/>
  </conditionalFormatting>
  <conditionalFormatting sqref="F70:G70">
    <cfRule type="duplicateValues" dxfId="5185" priority="96"/>
  </conditionalFormatting>
  <conditionalFormatting sqref="F71:G71">
    <cfRule type="duplicateValues" dxfId="5184" priority="181"/>
  </conditionalFormatting>
  <conditionalFormatting sqref="F72:G72">
    <cfRule type="duplicateValues" dxfId="5183" priority="160"/>
  </conditionalFormatting>
  <conditionalFormatting sqref="F73:G73">
    <cfRule type="duplicateValues" dxfId="5182" priority="139"/>
  </conditionalFormatting>
  <conditionalFormatting sqref="F75:G75">
    <cfRule type="duplicateValues" dxfId="5181" priority="259"/>
  </conditionalFormatting>
  <conditionalFormatting sqref="F76:G76">
    <cfRule type="duplicateValues" dxfId="5180" priority="221"/>
  </conditionalFormatting>
  <conditionalFormatting sqref="F77:G77">
    <cfRule type="duplicateValues" dxfId="5179" priority="200"/>
  </conditionalFormatting>
  <conditionalFormatting sqref="F78:G78">
    <cfRule type="duplicateValues" dxfId="5178" priority="180"/>
  </conditionalFormatting>
  <conditionalFormatting sqref="F79:G79">
    <cfRule type="duplicateValues" dxfId="5177" priority="74"/>
  </conditionalFormatting>
  <conditionalFormatting sqref="F80:G80">
    <cfRule type="duplicateValues" dxfId="5176" priority="53"/>
  </conditionalFormatting>
  <conditionalFormatting sqref="F82:G82">
    <cfRule type="duplicateValues" dxfId="5175" priority="239"/>
  </conditionalFormatting>
  <conditionalFormatting sqref="F83:G83">
    <cfRule type="duplicateValues" dxfId="5174" priority="115"/>
  </conditionalFormatting>
  <conditionalFormatting sqref="F84:G84">
    <cfRule type="duplicateValues" dxfId="5173" priority="94"/>
  </conditionalFormatting>
  <conditionalFormatting sqref="F85:G85">
    <cfRule type="duplicateValues" dxfId="5172" priority="158"/>
  </conditionalFormatting>
  <conditionalFormatting sqref="F86:G86">
    <cfRule type="duplicateValues" dxfId="5171" priority="137"/>
  </conditionalFormatting>
  <conditionalFormatting sqref="F87:G87">
    <cfRule type="duplicateValues" dxfId="5170" priority="31"/>
  </conditionalFormatting>
  <conditionalFormatting sqref="F89:G89">
    <cfRule type="duplicateValues" dxfId="5169" priority="257"/>
  </conditionalFormatting>
  <conditionalFormatting sqref="F90:G90">
    <cfRule type="duplicateValues" dxfId="5168" priority="219"/>
  </conditionalFormatting>
  <conditionalFormatting sqref="F91:G91">
    <cfRule type="duplicateValues" dxfId="5167" priority="17"/>
  </conditionalFormatting>
  <conditionalFormatting sqref="F92:G92">
    <cfRule type="duplicateValues" dxfId="5166" priority="178"/>
  </conditionalFormatting>
  <conditionalFormatting sqref="F93:G93">
    <cfRule type="duplicateValues" dxfId="5165" priority="157"/>
  </conditionalFormatting>
  <conditionalFormatting sqref="F94:G94">
    <cfRule type="duplicateValues" dxfId="5164" priority="72"/>
  </conditionalFormatting>
  <conditionalFormatting sqref="F96:G96">
    <cfRule type="duplicateValues" dxfId="5163" priority="237"/>
  </conditionalFormatting>
  <conditionalFormatting sqref="F97:G97">
    <cfRule type="duplicateValues" dxfId="5162" priority="113"/>
  </conditionalFormatting>
  <conditionalFormatting sqref="F98:G98">
    <cfRule type="duplicateValues" dxfId="5161" priority="92"/>
  </conditionalFormatting>
  <conditionalFormatting sqref="F99:G99">
    <cfRule type="duplicateValues" dxfId="5160" priority="135"/>
  </conditionalFormatting>
  <conditionalFormatting sqref="F100:G100">
    <cfRule type="duplicateValues" dxfId="5159" priority="29"/>
  </conditionalFormatting>
  <conditionalFormatting sqref="F101:G101">
    <cfRule type="duplicateValues" dxfId="5158" priority="50"/>
  </conditionalFormatting>
  <conditionalFormatting sqref="F103:G103">
    <cfRule type="duplicateValues" dxfId="5157" priority="236"/>
  </conditionalFormatting>
  <conditionalFormatting sqref="F104:G104">
    <cfRule type="duplicateValues" dxfId="5156" priority="112"/>
  </conditionalFormatting>
  <conditionalFormatting sqref="F105:G105">
    <cfRule type="duplicateValues" dxfId="5155" priority="91"/>
  </conditionalFormatting>
  <conditionalFormatting sqref="F106:G106">
    <cfRule type="duplicateValues" dxfId="5154" priority="70"/>
  </conditionalFormatting>
  <conditionalFormatting sqref="F107:G107">
    <cfRule type="duplicateValues" dxfId="5153" priority="28"/>
  </conditionalFormatting>
  <conditionalFormatting sqref="F108:G108">
    <cfRule type="duplicateValues" dxfId="5152" priority="49"/>
  </conditionalFormatting>
  <conditionalFormatting sqref="F110:G110">
    <cfRule type="duplicateValues" dxfId="5151" priority="256"/>
  </conditionalFormatting>
  <conditionalFormatting sqref="F111:G111">
    <cfRule type="duplicateValues" dxfId="5150" priority="215"/>
  </conditionalFormatting>
  <conditionalFormatting sqref="F112:G112">
    <cfRule type="duplicateValues" dxfId="5149" priority="196"/>
  </conditionalFormatting>
  <conditionalFormatting sqref="F113:G113">
    <cfRule type="duplicateValues" dxfId="5148" priority="175"/>
  </conditionalFormatting>
  <conditionalFormatting sqref="F114:G114">
    <cfRule type="duplicateValues" dxfId="5147" priority="154"/>
  </conditionalFormatting>
  <conditionalFormatting sqref="F115:G115">
    <cfRule type="duplicateValues" dxfId="5146" priority="133"/>
  </conditionalFormatting>
  <conditionalFormatting sqref="F117:G117">
    <cfRule type="duplicateValues" dxfId="5145" priority="254"/>
  </conditionalFormatting>
  <conditionalFormatting sqref="F118:G118">
    <cfRule type="duplicateValues" dxfId="5144" priority="110"/>
  </conditionalFormatting>
  <conditionalFormatting sqref="F119:G119">
    <cfRule type="duplicateValues" dxfId="5143" priority="89"/>
  </conditionalFormatting>
  <conditionalFormatting sqref="F120:G120">
    <cfRule type="duplicateValues" dxfId="5142" priority="68"/>
  </conditionalFormatting>
  <conditionalFormatting sqref="F121:G121">
    <cfRule type="duplicateValues" dxfId="5141" priority="26"/>
  </conditionalFormatting>
  <conditionalFormatting sqref="F122:G122">
    <cfRule type="duplicateValues" dxfId="5140" priority="47"/>
  </conditionalFormatting>
  <conditionalFormatting sqref="F124:G124">
    <cfRule type="duplicateValues" dxfId="5139" priority="234"/>
  </conditionalFormatting>
  <conditionalFormatting sqref="F125:G125">
    <cfRule type="duplicateValues" dxfId="5138" priority="109"/>
  </conditionalFormatting>
  <conditionalFormatting sqref="F126:G126">
    <cfRule type="duplicateValues" dxfId="5137" priority="194"/>
  </conditionalFormatting>
  <conditionalFormatting sqref="F127:G127">
    <cfRule type="duplicateValues" dxfId="5136" priority="173"/>
  </conditionalFormatting>
  <conditionalFormatting sqref="F128:G128">
    <cfRule type="duplicateValues" dxfId="5135" priority="152"/>
  </conditionalFormatting>
  <conditionalFormatting sqref="F129:G129">
    <cfRule type="duplicateValues" dxfId="5134" priority="130"/>
  </conditionalFormatting>
  <conditionalFormatting sqref="F131:G131">
    <cfRule type="duplicateValues" dxfId="5133" priority="252"/>
  </conditionalFormatting>
  <conditionalFormatting sqref="F132:G132">
    <cfRule type="duplicateValues" dxfId="5132" priority="213"/>
  </conditionalFormatting>
  <conditionalFormatting sqref="F133:G133">
    <cfRule type="duplicateValues" dxfId="5131" priority="87"/>
  </conditionalFormatting>
  <conditionalFormatting sqref="F134:G134">
    <cfRule type="duplicateValues" dxfId="5130" priority="66"/>
  </conditionalFormatting>
  <conditionalFormatting sqref="F135:G135">
    <cfRule type="duplicateValues" dxfId="5129" priority="24"/>
  </conditionalFormatting>
  <conditionalFormatting sqref="F136:G136">
    <cfRule type="duplicateValues" dxfId="5128" priority="45"/>
  </conditionalFormatting>
  <conditionalFormatting sqref="F138:G138">
    <cfRule type="duplicateValues" dxfId="5127" priority="233"/>
  </conditionalFormatting>
  <conditionalFormatting sqref="F139:G139">
    <cfRule type="duplicateValues" dxfId="5126" priority="107"/>
  </conditionalFormatting>
  <conditionalFormatting sqref="F140:G140">
    <cfRule type="duplicateValues" dxfId="5125" priority="86"/>
  </conditionalFormatting>
  <conditionalFormatting sqref="F141:G141">
    <cfRule type="duplicateValues" dxfId="5124" priority="171"/>
  </conditionalFormatting>
  <conditionalFormatting sqref="F142:G142">
    <cfRule type="duplicateValues" dxfId="5123" priority="150"/>
  </conditionalFormatting>
  <conditionalFormatting sqref="F143:G143">
    <cfRule type="duplicateValues" dxfId="5122" priority="129"/>
  </conditionalFormatting>
  <conditionalFormatting sqref="F145:G145">
    <cfRule type="duplicateValues" dxfId="5121" priority="250"/>
  </conditionalFormatting>
  <conditionalFormatting sqref="F146:G146">
    <cfRule type="duplicateValues" dxfId="5120" priority="211"/>
  </conditionalFormatting>
  <conditionalFormatting sqref="F147:G147">
    <cfRule type="duplicateValues" dxfId="5119" priority="191"/>
  </conditionalFormatting>
  <conditionalFormatting sqref="F148:G148">
    <cfRule type="duplicateValues" dxfId="5118" priority="64"/>
  </conditionalFormatting>
  <conditionalFormatting sqref="F149:G149">
    <cfRule type="duplicateValues" dxfId="5117" priority="22"/>
  </conditionalFormatting>
  <conditionalFormatting sqref="F150:G150">
    <cfRule type="duplicateValues" dxfId="5116" priority="43"/>
  </conditionalFormatting>
  <conditionalFormatting sqref="F152:G152">
    <cfRule type="duplicateValues" dxfId="5115" priority="232"/>
  </conditionalFormatting>
  <conditionalFormatting sqref="F153:G153">
    <cfRule type="duplicateValues" dxfId="5114" priority="105"/>
  </conditionalFormatting>
  <conditionalFormatting sqref="F154:G154">
    <cfRule type="duplicateValues" dxfId="5113" priority="84"/>
  </conditionalFormatting>
  <conditionalFormatting sqref="F155:G155">
    <cfRule type="duplicateValues" dxfId="5112" priority="148"/>
  </conditionalFormatting>
  <conditionalFormatting sqref="F156:G156">
    <cfRule type="duplicateValues" dxfId="5111" priority="127"/>
  </conditionalFormatting>
  <conditionalFormatting sqref="F157:G157">
    <cfRule type="duplicateValues" dxfId="5110" priority="21"/>
  </conditionalFormatting>
  <conditionalFormatting sqref="F159:G159">
    <cfRule type="duplicateValues" dxfId="5109" priority="248"/>
  </conditionalFormatting>
  <conditionalFormatting sqref="F160:G160">
    <cfRule type="duplicateValues" dxfId="5108" priority="209"/>
  </conditionalFormatting>
  <conditionalFormatting sqref="F161:G161">
    <cfRule type="duplicateValues" dxfId="5107" priority="189"/>
  </conditionalFormatting>
  <conditionalFormatting sqref="F162:G162">
    <cfRule type="duplicateValues" dxfId="5106" priority="168"/>
  </conditionalFormatting>
  <conditionalFormatting sqref="F163:G163">
    <cfRule type="duplicateValues" dxfId="5105" priority="62"/>
  </conditionalFormatting>
  <conditionalFormatting sqref="F164:G164">
    <cfRule type="duplicateValues" dxfId="5104" priority="41"/>
  </conditionalFormatting>
  <conditionalFormatting sqref="F166:G166">
    <cfRule type="duplicateValues" dxfId="5103" priority="230"/>
  </conditionalFormatting>
  <conditionalFormatting sqref="F167:G167">
    <cfRule type="duplicateValues" dxfId="5102" priority="103"/>
  </conditionalFormatting>
  <conditionalFormatting sqref="F168:G168">
    <cfRule type="duplicateValues" dxfId="5101" priority="82"/>
  </conditionalFormatting>
  <conditionalFormatting sqref="F169:G169">
    <cfRule type="duplicateValues" dxfId="5100" priority="125"/>
  </conditionalFormatting>
  <conditionalFormatting sqref="F170:G170">
    <cfRule type="duplicateValues" dxfId="5099" priority="19"/>
  </conditionalFormatting>
  <conditionalFormatting sqref="F171:G171">
    <cfRule type="duplicateValues" dxfId="5098" priority="40"/>
  </conditionalFormatting>
  <conditionalFormatting sqref="F173:G173">
    <cfRule type="duplicateValues" dxfId="5097" priority="246"/>
  </conditionalFormatting>
  <conditionalFormatting sqref="F174:G174">
    <cfRule type="duplicateValues" dxfId="5096" priority="207"/>
  </conditionalFormatting>
  <conditionalFormatting sqref="F175:G175">
    <cfRule type="duplicateValues" dxfId="5095" priority="187"/>
  </conditionalFormatting>
  <conditionalFormatting sqref="F176:G176">
    <cfRule type="duplicateValues" dxfId="5094" priority="166"/>
  </conditionalFormatting>
  <conditionalFormatting sqref="F177:G177">
    <cfRule type="duplicateValues" dxfId="5093" priority="145"/>
  </conditionalFormatting>
  <conditionalFormatting sqref="F178:G178">
    <cfRule type="duplicateValues" dxfId="5092" priority="60"/>
  </conditionalFormatting>
  <conditionalFormatting sqref="G26:G31">
    <cfRule type="duplicateValues" dxfId="5091" priority="11"/>
  </conditionalFormatting>
  <conditionalFormatting sqref="H26:H31">
    <cfRule type="duplicateValues" dxfId="5090" priority="12"/>
  </conditionalFormatting>
  <conditionalFormatting sqref="H33:I33">
    <cfRule type="duplicateValues" dxfId="5089" priority="265"/>
  </conditionalFormatting>
  <conditionalFormatting sqref="H34:I34">
    <cfRule type="duplicateValues" dxfId="5088" priority="144"/>
  </conditionalFormatting>
  <conditionalFormatting sqref="H35:I35">
    <cfRule type="duplicateValues" dxfId="5087" priority="165"/>
  </conditionalFormatting>
  <conditionalFormatting sqref="H36:I36">
    <cfRule type="duplicateValues" dxfId="5086" priority="227"/>
  </conditionalFormatting>
  <conditionalFormatting sqref="H37:I37">
    <cfRule type="duplicateValues" dxfId="5085" priority="186"/>
  </conditionalFormatting>
  <conditionalFormatting sqref="H38:I38">
    <cfRule type="duplicateValues" dxfId="5084" priority="206"/>
  </conditionalFormatting>
  <conditionalFormatting sqref="H40:I40">
    <cfRule type="duplicateValues" dxfId="5083" priority="122"/>
  </conditionalFormatting>
  <conditionalFormatting sqref="H41:I41">
    <cfRule type="duplicateValues" dxfId="5082" priority="264"/>
  </conditionalFormatting>
  <conditionalFormatting sqref="H42:I42">
    <cfRule type="duplicateValues" dxfId="5081" priority="79"/>
  </conditionalFormatting>
  <conditionalFormatting sqref="H43:I43">
    <cfRule type="duplicateValues" dxfId="5080" priority="58"/>
  </conditionalFormatting>
  <conditionalFormatting sqref="H44:I44">
    <cfRule type="duplicateValues" dxfId="5079" priority="37"/>
  </conditionalFormatting>
  <conditionalFormatting sqref="H45:I45">
    <cfRule type="duplicateValues" dxfId="5078" priority="100"/>
  </conditionalFormatting>
  <conditionalFormatting sqref="H47:I47">
    <cfRule type="duplicateValues" dxfId="5077" priority="204"/>
  </conditionalFormatting>
  <conditionalFormatting sqref="H48:I48">
    <cfRule type="duplicateValues" dxfId="5076" priority="120"/>
  </conditionalFormatting>
  <conditionalFormatting sqref="H49:I49">
    <cfRule type="duplicateValues" dxfId="5075" priority="121"/>
  </conditionalFormatting>
  <conditionalFormatting sqref="H50:I50">
    <cfRule type="duplicateValues" dxfId="5074" priority="184"/>
  </conditionalFormatting>
  <conditionalFormatting sqref="H51:I51">
    <cfRule type="duplicateValues" dxfId="5073" priority="142"/>
  </conditionalFormatting>
  <conditionalFormatting sqref="H52:I52">
    <cfRule type="duplicateValues" dxfId="5072" priority="163"/>
  </conditionalFormatting>
  <conditionalFormatting sqref="H54:I54">
    <cfRule type="duplicateValues" dxfId="5071" priority="98"/>
  </conditionalFormatting>
  <conditionalFormatting sqref="H55:I55">
    <cfRule type="duplicateValues" dxfId="5070" priority="35"/>
  </conditionalFormatting>
  <conditionalFormatting sqref="H56:I56">
    <cfRule type="duplicateValues" dxfId="5069" priority="224"/>
  </conditionalFormatting>
  <conditionalFormatting sqref="H57:I57">
    <cfRule type="duplicateValues" dxfId="5068" priority="262"/>
  </conditionalFormatting>
  <conditionalFormatting sqref="H58:I58">
    <cfRule type="duplicateValues" dxfId="5067" priority="77"/>
  </conditionalFormatting>
  <conditionalFormatting sqref="H59:I59">
    <cfRule type="duplicateValues" dxfId="5066" priority="56"/>
  </conditionalFormatting>
  <conditionalFormatting sqref="H61:I61">
    <cfRule type="duplicateValues" dxfId="5065" priority="161"/>
  </conditionalFormatting>
  <conditionalFormatting sqref="H62:I62">
    <cfRule type="duplicateValues" dxfId="5064" priority="182"/>
  </conditionalFormatting>
  <conditionalFormatting sqref="H63:I63">
    <cfRule type="duplicateValues" dxfId="5063" priority="242"/>
  </conditionalFormatting>
  <conditionalFormatting sqref="H64:I64">
    <cfRule type="duplicateValues" dxfId="5062" priority="140"/>
  </conditionalFormatting>
  <conditionalFormatting sqref="H65:I65">
    <cfRule type="duplicateValues" dxfId="5061" priority="97"/>
  </conditionalFormatting>
  <conditionalFormatting sqref="H66:I66">
    <cfRule type="duplicateValues" dxfId="5060" priority="118"/>
  </conditionalFormatting>
  <conditionalFormatting sqref="H68:I68">
    <cfRule type="duplicateValues" dxfId="5059" priority="33"/>
  </conditionalFormatting>
  <conditionalFormatting sqref="H69:I69">
    <cfRule type="duplicateValues" dxfId="5058" priority="75"/>
  </conditionalFormatting>
  <conditionalFormatting sqref="H70:I70">
    <cfRule type="duplicateValues" dxfId="5057" priority="54"/>
  </conditionalFormatting>
  <conditionalFormatting sqref="H71:I71">
    <cfRule type="duplicateValues" dxfId="5056" priority="201"/>
  </conditionalFormatting>
  <conditionalFormatting sqref="H72:I72">
    <cfRule type="duplicateValues" dxfId="5055" priority="222"/>
  </conditionalFormatting>
  <conditionalFormatting sqref="H73:I73">
    <cfRule type="duplicateValues" dxfId="5054" priority="260"/>
  </conditionalFormatting>
  <conditionalFormatting sqref="H75:I75">
    <cfRule type="duplicateValues" dxfId="5053" priority="116"/>
  </conditionalFormatting>
  <conditionalFormatting sqref="H76:I76">
    <cfRule type="duplicateValues" dxfId="5052" priority="138"/>
  </conditionalFormatting>
  <conditionalFormatting sqref="H77:I77">
    <cfRule type="duplicateValues" dxfId="5051" priority="159"/>
  </conditionalFormatting>
  <conditionalFormatting sqref="H78:I78">
    <cfRule type="duplicateValues" dxfId="5050" priority="240"/>
  </conditionalFormatting>
  <conditionalFormatting sqref="H79:I79">
    <cfRule type="duplicateValues" dxfId="5049" priority="95"/>
  </conditionalFormatting>
  <conditionalFormatting sqref="H80:I80">
    <cfRule type="duplicateValues" dxfId="5048" priority="32"/>
  </conditionalFormatting>
  <conditionalFormatting sqref="H82:I82">
    <cfRule type="duplicateValues" dxfId="5047" priority="52"/>
  </conditionalFormatting>
  <conditionalFormatting sqref="H83:I83">
    <cfRule type="duplicateValues" dxfId="5046" priority="220"/>
  </conditionalFormatting>
  <conditionalFormatting sqref="H84:I84">
    <cfRule type="duplicateValues" dxfId="5045" priority="258"/>
  </conditionalFormatting>
  <conditionalFormatting sqref="H85:I85">
    <cfRule type="duplicateValues" dxfId="5044" priority="179"/>
  </conditionalFormatting>
  <conditionalFormatting sqref="H86:I86">
    <cfRule type="duplicateValues" dxfId="5043" priority="199"/>
  </conditionalFormatting>
  <conditionalFormatting sqref="H87:I87">
    <cfRule type="duplicateValues" dxfId="5042" priority="73"/>
  </conditionalFormatting>
  <conditionalFormatting sqref="H89:I89">
    <cfRule type="duplicateValues" dxfId="5041" priority="30"/>
  </conditionalFormatting>
  <conditionalFormatting sqref="H90:I90">
    <cfRule type="duplicateValues" dxfId="5040" priority="93"/>
  </conditionalFormatting>
  <conditionalFormatting sqref="H91:I91">
    <cfRule type="duplicateValues" dxfId="5039" priority="114"/>
  </conditionalFormatting>
  <conditionalFormatting sqref="H92:I92">
    <cfRule type="duplicateValues" dxfId="5038" priority="136"/>
  </conditionalFormatting>
  <conditionalFormatting sqref="H93:I93">
    <cfRule type="duplicateValues" dxfId="5037" priority="238"/>
  </conditionalFormatting>
  <conditionalFormatting sqref="H94:I94">
    <cfRule type="duplicateValues" dxfId="5036" priority="51"/>
  </conditionalFormatting>
  <conditionalFormatting sqref="H96:I96">
    <cfRule type="duplicateValues" dxfId="5035" priority="71"/>
  </conditionalFormatting>
  <conditionalFormatting sqref="H97:I97">
    <cfRule type="duplicateValues" dxfId="5034" priority="177"/>
  </conditionalFormatting>
  <conditionalFormatting sqref="H98:I98">
    <cfRule type="duplicateValues" dxfId="5033" priority="198"/>
  </conditionalFormatting>
  <conditionalFormatting sqref="H99:I99">
    <cfRule type="duplicateValues" dxfId="5032" priority="156"/>
  </conditionalFormatting>
  <conditionalFormatting sqref="H100:I100">
    <cfRule type="duplicateValues" dxfId="5031" priority="218"/>
  </conditionalFormatting>
  <conditionalFormatting sqref="H101:I101">
    <cfRule type="duplicateValues" dxfId="5030" priority="16"/>
  </conditionalFormatting>
  <conditionalFormatting sqref="H103:I103">
    <cfRule type="duplicateValues" dxfId="5029" priority="134"/>
  </conditionalFormatting>
  <conditionalFormatting sqref="H104:I104">
    <cfRule type="duplicateValues" dxfId="5028" priority="155"/>
  </conditionalFormatting>
  <conditionalFormatting sqref="H105:I105">
    <cfRule type="duplicateValues" dxfId="5027" priority="176"/>
  </conditionalFormatting>
  <conditionalFormatting sqref="H106:I106">
    <cfRule type="duplicateValues" dxfId="5026" priority="255"/>
  </conditionalFormatting>
  <conditionalFormatting sqref="H107:I107">
    <cfRule type="duplicateValues" dxfId="5025" priority="197"/>
  </conditionalFormatting>
  <conditionalFormatting sqref="H108:I108">
    <cfRule type="duplicateValues" dxfId="5024" priority="217"/>
  </conditionalFormatting>
  <conditionalFormatting sqref="H110:I110">
    <cfRule type="duplicateValues" dxfId="5023" priority="235"/>
  </conditionalFormatting>
  <conditionalFormatting sqref="H111:I111">
    <cfRule type="duplicateValues" dxfId="5022" priority="69"/>
  </conditionalFormatting>
  <conditionalFormatting sqref="H112:I112">
    <cfRule type="duplicateValues" dxfId="5021" priority="48"/>
  </conditionalFormatting>
  <conditionalFormatting sqref="H113:I113">
    <cfRule type="duplicateValues" dxfId="5020" priority="27"/>
  </conditionalFormatting>
  <conditionalFormatting sqref="H114:I114">
    <cfRule type="duplicateValues" dxfId="5019" priority="90"/>
  </conditionalFormatting>
  <conditionalFormatting sqref="H115:I115">
    <cfRule type="duplicateValues" dxfId="5018" priority="111"/>
  </conditionalFormatting>
  <conditionalFormatting sqref="H117:I117">
    <cfRule type="duplicateValues" dxfId="5017" priority="216"/>
  </conditionalFormatting>
  <conditionalFormatting sqref="H118:I118">
    <cfRule type="duplicateValues" dxfId="5016" priority="15"/>
  </conditionalFormatting>
  <conditionalFormatting sqref="H119:I119">
    <cfRule type="duplicateValues" dxfId="5015" priority="132"/>
  </conditionalFormatting>
  <conditionalFormatting sqref="H120:I120">
    <cfRule type="duplicateValues" dxfId="5014" priority="195"/>
  </conditionalFormatting>
  <conditionalFormatting sqref="H121:I121">
    <cfRule type="duplicateValues" dxfId="5013" priority="153"/>
  </conditionalFormatting>
  <conditionalFormatting sqref="H122:I122">
    <cfRule type="duplicateValues" dxfId="5012" priority="174"/>
  </conditionalFormatting>
  <conditionalFormatting sqref="H124:I124">
    <cfRule type="duplicateValues" dxfId="5011" priority="214"/>
  </conditionalFormatting>
  <conditionalFormatting sqref="H125:I125">
    <cfRule type="duplicateValues" dxfId="5010" priority="88"/>
  </conditionalFormatting>
  <conditionalFormatting sqref="H126:I126">
    <cfRule type="duplicateValues" dxfId="5009" priority="253"/>
  </conditionalFormatting>
  <conditionalFormatting sqref="H127:I127">
    <cfRule type="duplicateValues" dxfId="5008" priority="67"/>
  </conditionalFormatting>
  <conditionalFormatting sqref="H128:I128">
    <cfRule type="duplicateValues" dxfId="5007" priority="46"/>
  </conditionalFormatting>
  <conditionalFormatting sqref="H129:I129">
    <cfRule type="duplicateValues" dxfId="5006" priority="25"/>
  </conditionalFormatting>
  <conditionalFormatting sqref="H131:I131">
    <cfRule type="duplicateValues" dxfId="5005" priority="172"/>
  </conditionalFormatting>
  <conditionalFormatting sqref="H132:I132">
    <cfRule type="duplicateValues" dxfId="5004" priority="193"/>
  </conditionalFormatting>
  <conditionalFormatting sqref="H133:I133">
    <cfRule type="duplicateValues" dxfId="5003" priority="14"/>
  </conditionalFormatting>
  <conditionalFormatting sqref="H134:I134">
    <cfRule type="duplicateValues" dxfId="5002" priority="151"/>
  </conditionalFormatting>
  <conditionalFormatting sqref="H135:I135">
    <cfRule type="duplicateValues" dxfId="5001" priority="108"/>
  </conditionalFormatting>
  <conditionalFormatting sqref="H136:I136">
    <cfRule type="duplicateValues" dxfId="5000" priority="131"/>
  </conditionalFormatting>
  <conditionalFormatting sqref="H138:I138">
    <cfRule type="duplicateValues" dxfId="4999" priority="192"/>
  </conditionalFormatting>
  <conditionalFormatting sqref="H139:I139">
    <cfRule type="duplicateValues" dxfId="4998" priority="44"/>
  </conditionalFormatting>
  <conditionalFormatting sqref="H140:I140">
    <cfRule type="duplicateValues" dxfId="4997" priority="23"/>
  </conditionalFormatting>
  <conditionalFormatting sqref="H141:I141">
    <cfRule type="duplicateValues" dxfId="4996" priority="212"/>
  </conditionalFormatting>
  <conditionalFormatting sqref="H142:I142">
    <cfRule type="duplicateValues" dxfId="4995" priority="251"/>
  </conditionalFormatting>
  <conditionalFormatting sqref="H143:I143">
    <cfRule type="duplicateValues" dxfId="4994" priority="65"/>
  </conditionalFormatting>
  <conditionalFormatting sqref="H145:I145">
    <cfRule type="duplicateValues" dxfId="4993" priority="128"/>
  </conditionalFormatting>
  <conditionalFormatting sqref="H146:I146">
    <cfRule type="duplicateValues" dxfId="4992" priority="149"/>
  </conditionalFormatting>
  <conditionalFormatting sqref="H147:I147">
    <cfRule type="duplicateValues" dxfId="4991" priority="170"/>
  </conditionalFormatting>
  <conditionalFormatting sqref="H148:I148">
    <cfRule type="duplicateValues" dxfId="4990" priority="106"/>
  </conditionalFormatting>
  <conditionalFormatting sqref="H149:I149">
    <cfRule type="duplicateValues" dxfId="4989" priority="231"/>
  </conditionalFormatting>
  <conditionalFormatting sqref="H150:I150">
    <cfRule type="duplicateValues" dxfId="4988" priority="85"/>
  </conditionalFormatting>
  <conditionalFormatting sqref="H152:I152">
    <cfRule type="duplicateValues" dxfId="4987" priority="169"/>
  </conditionalFormatting>
  <conditionalFormatting sqref="H153:I153">
    <cfRule type="duplicateValues" dxfId="4986" priority="249"/>
  </conditionalFormatting>
  <conditionalFormatting sqref="H154:I154">
    <cfRule type="duplicateValues" dxfId="4985" priority="63"/>
  </conditionalFormatting>
  <conditionalFormatting sqref="H155:I155">
    <cfRule type="duplicateValues" dxfId="4984" priority="190"/>
  </conditionalFormatting>
  <conditionalFormatting sqref="H156:I156">
    <cfRule type="duplicateValues" dxfId="4983" priority="210"/>
  </conditionalFormatting>
  <conditionalFormatting sqref="H157:I157">
    <cfRule type="duplicateValues" dxfId="4982" priority="42"/>
  </conditionalFormatting>
  <conditionalFormatting sqref="H159:I159">
    <cfRule type="duplicateValues" dxfId="4981" priority="83"/>
  </conditionalFormatting>
  <conditionalFormatting sqref="H160:I160">
    <cfRule type="duplicateValues" dxfId="4980" priority="104"/>
  </conditionalFormatting>
  <conditionalFormatting sqref="H161:I161">
    <cfRule type="duplicateValues" dxfId="4979" priority="126"/>
  </conditionalFormatting>
  <conditionalFormatting sqref="H162:I162">
    <cfRule type="duplicateValues" dxfId="4978" priority="147"/>
  </conditionalFormatting>
  <conditionalFormatting sqref="H163:I163">
    <cfRule type="duplicateValues" dxfId="4977" priority="20"/>
  </conditionalFormatting>
  <conditionalFormatting sqref="H164:I164">
    <cfRule type="duplicateValues" dxfId="4976" priority="229"/>
  </conditionalFormatting>
  <conditionalFormatting sqref="H166:I166">
    <cfRule type="duplicateValues" dxfId="4975" priority="146"/>
  </conditionalFormatting>
  <conditionalFormatting sqref="H167:I167">
    <cfRule type="duplicateValues" dxfId="4974" priority="188"/>
  </conditionalFormatting>
  <conditionalFormatting sqref="H168:I168">
    <cfRule type="duplicateValues" dxfId="4973" priority="208"/>
  </conditionalFormatting>
  <conditionalFormatting sqref="H169:I169">
    <cfRule type="duplicateValues" dxfId="4972" priority="167"/>
  </conditionalFormatting>
  <conditionalFormatting sqref="H170:I170">
    <cfRule type="duplicateValues" dxfId="4971" priority="247"/>
  </conditionalFormatting>
  <conditionalFormatting sqref="H171:I171">
    <cfRule type="duplicateValues" dxfId="4970" priority="61"/>
  </conditionalFormatting>
  <conditionalFormatting sqref="H173:I173">
    <cfRule type="duplicateValues" dxfId="4969" priority="39"/>
  </conditionalFormatting>
  <conditionalFormatting sqref="H174:I174">
    <cfRule type="duplicateValues" dxfId="4968" priority="18"/>
  </conditionalFormatting>
  <conditionalFormatting sqref="H175:I175">
    <cfRule type="duplicateValues" dxfId="4967" priority="81"/>
  </conditionalFormatting>
  <conditionalFormatting sqref="H176:I176">
    <cfRule type="duplicateValues" dxfId="4966" priority="102"/>
  </conditionalFormatting>
  <conditionalFormatting sqref="H177:I177">
    <cfRule type="duplicateValues" dxfId="4965" priority="124"/>
  </conditionalFormatting>
  <conditionalFormatting sqref="H178:I178">
    <cfRule type="duplicateValues" dxfId="4964" priority="228"/>
  </conditionalFormatting>
  <conditionalFormatting sqref="I5:I8">
    <cfRule type="duplicateValues" dxfId="4963" priority="528"/>
  </conditionalFormatting>
  <conditionalFormatting sqref="I26:I31">
    <cfRule type="duplicateValues" dxfId="4962" priority="10"/>
  </conditionalFormatting>
  <conditionalFormatting sqref="I10:L21">
    <cfRule type="cellIs" dxfId="4961" priority="2" operator="lessThan">
      <formula>5</formula>
    </cfRule>
    <cfRule type="cellIs" dxfId="4960" priority="3" operator="greaterThan">
      <formula>6</formula>
    </cfRule>
  </conditionalFormatting>
  <conditionalFormatting sqref="J10:J21">
    <cfRule type="containsText" dxfId="4959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4958" priority="527"/>
  </conditionalFormatting>
  <conditionalFormatting sqref="K5">
    <cfRule type="duplicateValues" dxfId="4957" priority="524"/>
  </conditionalFormatting>
  <conditionalFormatting sqref="K9:K21">
    <cfRule type="containsText" dxfId="4956" priority="7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4955" priority="6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3EEEB62C-7D78-4EF6-B41B-AEDC3AD858D5}"/>
    <hyperlink ref="K5:K6" location="'All Fixtures'!A1" display="See all NW Fixtures" xr:uid="{CDA724D4-F799-4B9E-BDF0-1D7CF6484F10}"/>
  </hyperlinks>
  <pageMargins left="0.7" right="0.7" top="0.75" bottom="0.75" header="0.3" footer="0.3"/>
  <ignoredErrors>
    <ignoredError sqref="J10:J11 K10:K11 J13:J21 K13:K21" formula="1"/>
  </ignoredError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58DF7-B3CE-4A4B-85BC-7B5FF43E30FC}">
  <dimension ref="A2:AQ178"/>
  <sheetViews>
    <sheetView workbookViewId="0"/>
  </sheetViews>
  <sheetFormatPr defaultRowHeight="14.4" x14ac:dyDescent="0.3"/>
  <cols>
    <col min="1" max="1" width="4.77734375" style="3" customWidth="1"/>
    <col min="2" max="2" width="24.88671875" style="3" customWidth="1"/>
    <col min="3" max="3" width="28.33203125" style="3" customWidth="1"/>
    <col min="4" max="4" width="34.88671875" style="3" customWidth="1"/>
    <col min="5" max="5" width="14.88671875" style="3" customWidth="1"/>
    <col min="6" max="6" width="25.6640625" style="3" customWidth="1"/>
    <col min="7" max="7" width="12" style="4" customWidth="1"/>
    <col min="8" max="8" width="25.77734375" style="3" customWidth="1"/>
    <col min="9" max="9" width="15.44140625" style="4" customWidth="1"/>
    <col min="10" max="10" width="8.88671875" style="3"/>
    <col min="11" max="11" width="19.1093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590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12" s="59" customFormat="1" ht="15" customHeight="1" x14ac:dyDescent="0.3">
      <c r="A10" s="47">
        <f>COUNTIF(F$26:H$178,"Bangor City 1 (W)")</f>
        <v>22</v>
      </c>
      <c r="B10" s="15" t="s">
        <v>449</v>
      </c>
      <c r="C10" s="113">
        <v>3961500</v>
      </c>
      <c r="D10" s="57">
        <f>COUNTIF(F$26:I$178,"3961500")</f>
        <v>22</v>
      </c>
      <c r="F10" s="57">
        <f>COUNTIF(F$26:F$178,"Bangor City 1 (W)")</f>
        <v>11</v>
      </c>
      <c r="G10" s="57"/>
      <c r="H10" s="57">
        <f>COUNTIF(H$26:H$178,"Bangor City 1 (W)")</f>
        <v>11</v>
      </c>
      <c r="I10" s="57">
        <f>COUNTIF(F$26:F$101,"Bangor City 1 (W)")</f>
        <v>5</v>
      </c>
      <c r="J10" s="57">
        <f>COUNTIF(F$102:F$178,"Bangor City 1 (W)")</f>
        <v>6</v>
      </c>
      <c r="K10" s="57">
        <f>COUNTIF(H$26:H$101,"Bangor City 1 (W)")</f>
        <v>6</v>
      </c>
      <c r="L10" s="57">
        <f>COUNTIF(H$102:H$178,"Bangor City 1 (W)")</f>
        <v>5</v>
      </c>
    </row>
    <row r="11" spans="1:12" s="59" customFormat="1" ht="15" customHeight="1" x14ac:dyDescent="0.3">
      <c r="A11" s="47">
        <f>COUNTIF(F$26:H$178,"Bowdon 4 (W)")</f>
        <v>22</v>
      </c>
      <c r="B11" s="15" t="s">
        <v>284</v>
      </c>
      <c r="C11" s="53">
        <v>3210904</v>
      </c>
      <c r="D11" s="57">
        <f>COUNTIF(F$26:I$178,"3210904")</f>
        <v>22</v>
      </c>
      <c r="F11" s="57">
        <f>COUNTIF(F$26:F$178,"Bowdon 4 (W)")</f>
        <v>11</v>
      </c>
      <c r="G11" s="57"/>
      <c r="H11" s="57">
        <f>COUNTIF(H$26:H$178,"Bowdon 4 (W)")</f>
        <v>11</v>
      </c>
      <c r="I11" s="57">
        <f>COUNTIF(F$26:F$101,"Bowdon 4 (W)")</f>
        <v>6</v>
      </c>
      <c r="J11" s="57">
        <f>COUNTIF(F$102:F$178,"Bowdon 4 (W)")</f>
        <v>5</v>
      </c>
      <c r="K11" s="57">
        <f>COUNTIF(H$26:H$101,"Bowdon 4 (W)")</f>
        <v>5</v>
      </c>
      <c r="L11" s="57">
        <f>COUNTIF(H$102:H$178,"Bowdon 4 (W)")</f>
        <v>6</v>
      </c>
    </row>
    <row r="12" spans="1:12" s="59" customFormat="1" ht="15" customHeight="1" x14ac:dyDescent="0.3">
      <c r="A12" s="47">
        <f>COUNTIF(F$26:H$178,"Buxton 1 (W)")</f>
        <v>22</v>
      </c>
      <c r="B12" s="105" t="s">
        <v>321</v>
      </c>
      <c r="C12" s="53">
        <v>3209607</v>
      </c>
      <c r="D12" s="57">
        <f>COUNTIF(F$26:I$178,"3209607")</f>
        <v>22</v>
      </c>
      <c r="F12" s="57">
        <f>COUNTIF(F$26:F$178,"Buxton 1 (W)")</f>
        <v>11</v>
      </c>
      <c r="G12" s="57"/>
      <c r="H12" s="57">
        <f>COUNTIF(H$26:H$178,"Buxton 1 (W)")</f>
        <v>11</v>
      </c>
      <c r="I12" s="57">
        <f>COUNTIF(F$26:F$101,"Buxton 1 (W)")</f>
        <v>6</v>
      </c>
      <c r="J12" s="57">
        <f>COUNTIF(F$102:F$178,"Buxton 1 (W)")</f>
        <v>5</v>
      </c>
      <c r="K12" s="57">
        <f>COUNTIF(H$26:H$101,"Buxton 1 (W)")</f>
        <v>5</v>
      </c>
      <c r="L12" s="57">
        <f>COUNTIF(H$102:H$178,"Buxton 1 (W)")</f>
        <v>6</v>
      </c>
    </row>
    <row r="13" spans="1:12" s="59" customFormat="1" ht="15" customHeight="1" x14ac:dyDescent="0.3">
      <c r="A13" s="47">
        <f>COUNTIF(F$26:H$178,"Chester 2 (W)")</f>
        <v>22</v>
      </c>
      <c r="B13" s="105" t="s">
        <v>311</v>
      </c>
      <c r="C13" s="53">
        <v>3209003</v>
      </c>
      <c r="D13" s="57">
        <f>COUNTIF(F$26:I$178,"3209003")</f>
        <v>22</v>
      </c>
      <c r="F13" s="57">
        <f>COUNTIF(F$26:F$178,"Chester 2 (W)")</f>
        <v>11</v>
      </c>
      <c r="G13" s="57"/>
      <c r="H13" s="57">
        <f>COUNTIF(H$26:H$178,"Chester 2 (W)")</f>
        <v>11</v>
      </c>
      <c r="I13" s="57">
        <f>COUNTIF(F$26:F$101,"Chester 2 (W)")</f>
        <v>6</v>
      </c>
      <c r="J13" s="57">
        <f>COUNTIF(F$102:F$178,"Chester 2 (W)")</f>
        <v>5</v>
      </c>
      <c r="K13" s="57">
        <f>COUNTIF(H$26:H$101,"Chester 2 (W)")</f>
        <v>5</v>
      </c>
      <c r="L13" s="57">
        <f>COUNTIF(H$102:H$178,"Chester 2 (W)")</f>
        <v>6</v>
      </c>
    </row>
    <row r="14" spans="1:12" s="59" customFormat="1" ht="15" customHeight="1" x14ac:dyDescent="0.3">
      <c r="A14" s="47">
        <f>COUNTIF(F$26:H$178,"City of Manchester 1 (W)")</f>
        <v>22</v>
      </c>
      <c r="B14" s="4" t="s">
        <v>285</v>
      </c>
      <c r="C14" s="53">
        <v>3208504</v>
      </c>
      <c r="D14" s="57">
        <f>COUNTIF(F$26:I$178,"3208504")</f>
        <v>22</v>
      </c>
      <c r="F14" s="57">
        <f>COUNTIF(F$26:F$178,"City of Manchester 1 (W)")</f>
        <v>11</v>
      </c>
      <c r="G14" s="57"/>
      <c r="H14" s="57">
        <f>COUNTIF(H$26:H$178,"City of Manchester 1 (W)")</f>
        <v>11</v>
      </c>
      <c r="I14" s="57">
        <f>COUNTIF(F$26:F$101,"City of Manchester 1 (W)")</f>
        <v>5</v>
      </c>
      <c r="J14" s="57">
        <f>COUNTIF(F$102:F$178,"City of Manchester 1 (W)")</f>
        <v>6</v>
      </c>
      <c r="K14" s="57">
        <f>COUNTIF(H$26:H$101,"City of Manchester 1 (W)")</f>
        <v>6</v>
      </c>
      <c r="L14" s="57">
        <f>COUNTIF(H$102:H$178,"City of Manchester 1 (W)")</f>
        <v>5</v>
      </c>
    </row>
    <row r="15" spans="1:12" s="59" customFormat="1" ht="15" customHeight="1" x14ac:dyDescent="0.3">
      <c r="A15" s="47">
        <f>COUNTIF(F$26:H$178,"Deeside Ramblers 2 (W)")</f>
        <v>22</v>
      </c>
      <c r="B15" s="15" t="s">
        <v>315</v>
      </c>
      <c r="C15" s="53">
        <v>3455307</v>
      </c>
      <c r="D15" s="57">
        <f>COUNTIF(F$26:I$178,"3455307")</f>
        <v>22</v>
      </c>
      <c r="F15" s="57">
        <f>COUNTIF(F$26:F$178,"Deeside Ramblers 2 (W)")</f>
        <v>11</v>
      </c>
      <c r="G15" s="57"/>
      <c r="H15" s="57">
        <f>COUNTIF(H$26:H$178,"Deeside Ramblers 2 (W)")</f>
        <v>11</v>
      </c>
      <c r="I15" s="57">
        <f>COUNTIF(F$26:F$101,"Deeside Ramblers 2 (W)")</f>
        <v>6</v>
      </c>
      <c r="J15" s="57">
        <f>COUNTIF(F$102:F$178,"Deeside Ramblers 2 (W)")</f>
        <v>5</v>
      </c>
      <c r="K15" s="57">
        <f>COUNTIF(H$26:H$101,"Deeside Ramblers 2 (W)")</f>
        <v>5</v>
      </c>
      <c r="L15" s="57">
        <f>COUNTIF(H$102:H$178,"Deeside Ramblers 2 (W)")</f>
        <v>6</v>
      </c>
    </row>
    <row r="16" spans="1:12" s="59" customFormat="1" ht="15" customHeight="1" x14ac:dyDescent="0.3">
      <c r="A16" s="47">
        <f>COUNTIF(F$26:H$178,"Didsbury Greys 2 (W)")</f>
        <v>22</v>
      </c>
      <c r="B16" s="15" t="s">
        <v>322</v>
      </c>
      <c r="C16" s="53">
        <v>3207005</v>
      </c>
      <c r="D16" s="57">
        <f>COUNTIF(F$26:I$178,"3207005")</f>
        <v>22</v>
      </c>
      <c r="F16" s="57">
        <f>COUNTIF(F$26:F$178,"Didsbury Greys 2 (W)")</f>
        <v>11</v>
      </c>
      <c r="G16" s="57"/>
      <c r="H16" s="57">
        <f>COUNTIF(H$26:H$178,"Didsbury Greys 2 (W)")</f>
        <v>11</v>
      </c>
      <c r="I16" s="57">
        <f>COUNTIF(F$26:F$101,"Didsbury Greys 2 (W)")</f>
        <v>5</v>
      </c>
      <c r="J16" s="57">
        <f>COUNTIF(F$102:F$178,"Didsbury Greys 2 (W)")</f>
        <v>6</v>
      </c>
      <c r="K16" s="57">
        <f>COUNTIF(H$26:H$101,"Didsbury Greys 2 (W)")</f>
        <v>6</v>
      </c>
      <c r="L16" s="57">
        <f>COUNTIF(H$102:H$178,"Didsbury Greys 2 (W)")</f>
        <v>5</v>
      </c>
    </row>
    <row r="17" spans="1:12" s="59" customFormat="1" ht="15" customHeight="1" x14ac:dyDescent="0.3">
      <c r="A17" s="47">
        <f>COUNTIF(F$26:H$178,"Neston 2 (W)")</f>
        <v>22</v>
      </c>
      <c r="B17" s="105" t="s">
        <v>317</v>
      </c>
      <c r="C17" s="53">
        <v>3200700</v>
      </c>
      <c r="D17" s="57">
        <f>COUNTIF(F$26:I$178,"3200700")</f>
        <v>22</v>
      </c>
      <c r="F17" s="57">
        <f>COUNTIF(F$26:F$178,"Neston 2 (W)")</f>
        <v>11</v>
      </c>
      <c r="G17" s="57"/>
      <c r="H17" s="57">
        <f>COUNTIF(H$26:H$178,"Neston 2 (W)")</f>
        <v>11</v>
      </c>
      <c r="I17" s="57">
        <f>COUNTIF(F$26:F$101,"Neston 2 (W)")</f>
        <v>6</v>
      </c>
      <c r="J17" s="57">
        <f>COUNTIF(F$102:F$178,"Neston 2 (W)")</f>
        <v>5</v>
      </c>
      <c r="K17" s="57">
        <f>COUNTIF(H$26:H$101,"Neston 2 (W)")</f>
        <v>5</v>
      </c>
      <c r="L17" s="57">
        <f>COUNTIF(H$102:H$178,"Neston 2 (W)")</f>
        <v>6</v>
      </c>
    </row>
    <row r="18" spans="1:12" s="59" customFormat="1" x14ac:dyDescent="0.3">
      <c r="A18" s="47">
        <f>COUNTIF(F$26:H$178,"Northop Hall 1 (W)")</f>
        <v>22</v>
      </c>
      <c r="B18" s="15" t="s">
        <v>277</v>
      </c>
      <c r="C18" s="53">
        <v>3088400</v>
      </c>
      <c r="D18" s="57">
        <f>COUNTIF(F$26:I$178,"3088400")</f>
        <v>22</v>
      </c>
      <c r="F18" s="57">
        <f>COUNTIF(F$26:F$178,"Northop Hall 1 (W)")</f>
        <v>11</v>
      </c>
      <c r="G18" s="57"/>
      <c r="H18" s="57">
        <f>COUNTIF(H$26:H$178,"Northop Hall 1 (W)")</f>
        <v>11</v>
      </c>
      <c r="I18" s="57">
        <f>COUNTIF(F$26:F$101,"Northop Hall 1 (W)")</f>
        <v>5</v>
      </c>
      <c r="J18" s="57">
        <f>COUNTIF(F$102:F$178,"Northop Hall 1 (W)")</f>
        <v>6</v>
      </c>
      <c r="K18" s="57">
        <f>COUNTIF(H$26:H$101,"Northop Hall 1 (W)")</f>
        <v>6</v>
      </c>
      <c r="L18" s="57">
        <f>COUNTIF(H$102:H$178,"Northop Hall 1 (W)")</f>
        <v>5</v>
      </c>
    </row>
    <row r="19" spans="1:12" s="59" customFormat="1" x14ac:dyDescent="0.3">
      <c r="A19" s="47">
        <f>COUNTIF(F$26:H$178,"Sale 1 (W)")</f>
        <v>22</v>
      </c>
      <c r="B19" s="15" t="s">
        <v>289</v>
      </c>
      <c r="C19" s="53">
        <v>3068804</v>
      </c>
      <c r="D19" s="57">
        <f>COUNTIF(F$26:I$178,"3068804")</f>
        <v>22</v>
      </c>
      <c r="F19" s="57">
        <f>COUNTIF(F$26:F$178,"Sale 1 (W)")</f>
        <v>11</v>
      </c>
      <c r="G19" s="57"/>
      <c r="H19" s="57">
        <f>COUNTIF(H$26:H$178,"Sale 1 (W)")</f>
        <v>11</v>
      </c>
      <c r="I19" s="57">
        <f>COUNTIF(F$26:F$101,"Sale 1 (W)")</f>
        <v>5</v>
      </c>
      <c r="J19" s="57">
        <f>COUNTIF(F$102:F$178,"Sale 1 (W)")</f>
        <v>6</v>
      </c>
      <c r="K19" s="57">
        <f>COUNTIF(H$26:H$101,"Sale 1 (W)")</f>
        <v>6</v>
      </c>
      <c r="L19" s="57">
        <f>COUNTIF(H$102:H$178,"Sale 1 (W)")</f>
        <v>5</v>
      </c>
    </row>
    <row r="20" spans="1:12" s="59" customFormat="1" x14ac:dyDescent="0.3">
      <c r="A20" s="47">
        <f>COUNTIF(F$26:H$178,"Timperley 3 (W)")</f>
        <v>22</v>
      </c>
      <c r="B20" s="15" t="s">
        <v>291</v>
      </c>
      <c r="C20" s="53">
        <v>3196709</v>
      </c>
      <c r="D20" s="57">
        <f>COUNTIF(F$26:I$178,"3196709")</f>
        <v>22</v>
      </c>
      <c r="F20" s="57">
        <f>COUNTIF(F$26:F$178,"Timperley 3 (W)")</f>
        <v>11</v>
      </c>
      <c r="G20" s="57"/>
      <c r="H20" s="57">
        <f>COUNTIF(H$26:H$178,"Timperley 3 (W)")</f>
        <v>11</v>
      </c>
      <c r="I20" s="57">
        <f>COUNTIF(F$26:F$101,"Timperley 3 (W)")</f>
        <v>6</v>
      </c>
      <c r="J20" s="57">
        <f>COUNTIF(F$102:F$178,"Timperley 3 (W)")</f>
        <v>5</v>
      </c>
      <c r="K20" s="57">
        <f>COUNTIF(H$26:H$101,"Timperley 3 (W)")</f>
        <v>5</v>
      </c>
      <c r="L20" s="57">
        <f>COUNTIF(H$102:H$178,"Timperley 3 (W)")</f>
        <v>6</v>
      </c>
    </row>
    <row r="21" spans="1:12" s="59" customFormat="1" x14ac:dyDescent="0.3">
      <c r="A21" s="47">
        <f>COUNTIF(F$26:H$178,"University of Liverpool 1 (W)")</f>
        <v>22</v>
      </c>
      <c r="B21" s="15" t="s">
        <v>594</v>
      </c>
      <c r="C21" s="106">
        <v>3196407</v>
      </c>
      <c r="D21" s="57">
        <f>COUNTIF(F$26:I$178,"3196407")</f>
        <v>22</v>
      </c>
      <c r="F21" s="57">
        <f>COUNTIF(F$26:F$178,"University of Liverpool 1 (W)")</f>
        <v>11</v>
      </c>
      <c r="G21" s="57"/>
      <c r="H21" s="57">
        <f>COUNTIF(H$26:H$178,"University of Liverpool 1 (W)")</f>
        <v>11</v>
      </c>
      <c r="I21" s="57">
        <f>COUNTIF(F$26:F$101,"University of Liverpool 1 (W)")</f>
        <v>5</v>
      </c>
      <c r="J21" s="57">
        <f>COUNTIF(F$102:F$178,"University of Liverpool 1 (W)")</f>
        <v>6</v>
      </c>
      <c r="K21" s="57">
        <f>COUNTIF(H$26:H$101,"University of Liverpool 1 (W)")</f>
        <v>6</v>
      </c>
      <c r="L21" s="57">
        <f>COUNTIF(H$102:H$178,"University of Liverpool 1 (W)")</f>
        <v>5</v>
      </c>
    </row>
    <row r="23" spans="1:12" s="3" customFormat="1" ht="21" x14ac:dyDescent="0.4">
      <c r="B23" s="22" t="s">
        <v>93</v>
      </c>
      <c r="G23" s="4"/>
      <c r="I23" s="4"/>
      <c r="K23" s="51"/>
    </row>
    <row r="24" spans="1:12" s="3" customFormat="1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  <c r="K24" s="51"/>
    </row>
    <row r="25" spans="1:12" s="3" customFormat="1" x14ac:dyDescent="0.3">
      <c r="B25" s="40"/>
      <c r="C25" s="14"/>
      <c r="D25" s="14"/>
      <c r="E25" s="14"/>
      <c r="F25" s="14"/>
      <c r="G25" s="14"/>
      <c r="H25" s="13"/>
      <c r="I25" s="14"/>
      <c r="K25" s="51"/>
    </row>
    <row r="26" spans="1:12" x14ac:dyDescent="0.3">
      <c r="B26" s="44">
        <v>45913</v>
      </c>
      <c r="C26" s="3" t="s">
        <v>416</v>
      </c>
      <c r="D26" s="3" t="s">
        <v>590</v>
      </c>
      <c r="E26" s="101"/>
      <c r="F26" s="4" t="s">
        <v>277</v>
      </c>
      <c r="G26" s="4">
        <v>3088400</v>
      </c>
      <c r="H26" s="3" t="s">
        <v>322</v>
      </c>
      <c r="I26" s="4">
        <v>3207005</v>
      </c>
    </row>
    <row r="27" spans="1:12" x14ac:dyDescent="0.3">
      <c r="B27" s="44">
        <v>45913</v>
      </c>
      <c r="C27" s="3" t="s">
        <v>416</v>
      </c>
      <c r="D27" s="3" t="s">
        <v>590</v>
      </c>
      <c r="E27" s="101"/>
      <c r="F27" s="4" t="s">
        <v>291</v>
      </c>
      <c r="G27" s="4">
        <v>3196709</v>
      </c>
      <c r="H27" s="3" t="s">
        <v>285</v>
      </c>
      <c r="I27" s="4">
        <v>3208504</v>
      </c>
    </row>
    <row r="28" spans="1:12" x14ac:dyDescent="0.3">
      <c r="B28" s="44">
        <v>45913</v>
      </c>
      <c r="C28" s="3" t="s">
        <v>416</v>
      </c>
      <c r="D28" s="3" t="s">
        <v>590</v>
      </c>
      <c r="E28" s="101"/>
      <c r="F28" s="4" t="s">
        <v>321</v>
      </c>
      <c r="G28" s="4">
        <v>3209607</v>
      </c>
      <c r="H28" s="3" t="s">
        <v>449</v>
      </c>
      <c r="I28" s="4">
        <v>3961500</v>
      </c>
    </row>
    <row r="29" spans="1:12" x14ac:dyDescent="0.3">
      <c r="B29" s="44">
        <v>45913</v>
      </c>
      <c r="C29" s="3" t="s">
        <v>416</v>
      </c>
      <c r="D29" s="3" t="s">
        <v>590</v>
      </c>
      <c r="E29" s="101"/>
      <c r="F29" s="4" t="s">
        <v>317</v>
      </c>
      <c r="G29" s="4">
        <v>3200700</v>
      </c>
      <c r="H29" s="3" t="s">
        <v>594</v>
      </c>
      <c r="I29" s="4">
        <v>3196407</v>
      </c>
    </row>
    <row r="30" spans="1:12" x14ac:dyDescent="0.3">
      <c r="B30" s="44">
        <v>45913</v>
      </c>
      <c r="C30" s="3" t="s">
        <v>416</v>
      </c>
      <c r="D30" s="3" t="s">
        <v>590</v>
      </c>
      <c r="E30" s="101"/>
      <c r="F30" s="4" t="s">
        <v>311</v>
      </c>
      <c r="G30" s="4">
        <v>3209003</v>
      </c>
      <c r="H30" s="3" t="s">
        <v>284</v>
      </c>
      <c r="I30" s="4">
        <v>3210904</v>
      </c>
    </row>
    <row r="31" spans="1:12" x14ac:dyDescent="0.3">
      <c r="B31" s="44">
        <v>45913</v>
      </c>
      <c r="C31" s="3" t="s">
        <v>416</v>
      </c>
      <c r="D31" s="3" t="s">
        <v>590</v>
      </c>
      <c r="E31" s="101"/>
      <c r="F31" s="4" t="s">
        <v>315</v>
      </c>
      <c r="G31" s="4">
        <v>3455307</v>
      </c>
      <c r="H31" s="3" t="s">
        <v>289</v>
      </c>
      <c r="I31" s="4">
        <v>3068804</v>
      </c>
    </row>
    <row r="32" spans="1:12" x14ac:dyDescent="0.3">
      <c r="B32" s="4"/>
      <c r="E32" s="101"/>
      <c r="F32" s="4" t="s">
        <v>418</v>
      </c>
      <c r="G32" s="4" t="s">
        <v>418</v>
      </c>
      <c r="H32" s="3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590</v>
      </c>
      <c r="E33" s="101"/>
      <c r="F33" s="3" t="s">
        <v>289</v>
      </c>
      <c r="G33" s="4">
        <v>3068804</v>
      </c>
      <c r="H33" s="3" t="s">
        <v>321</v>
      </c>
      <c r="I33" s="4">
        <v>3209607</v>
      </c>
    </row>
    <row r="34" spans="2:9" x14ac:dyDescent="0.3">
      <c r="B34" s="44">
        <v>45920</v>
      </c>
      <c r="C34" s="3" t="s">
        <v>416</v>
      </c>
      <c r="D34" s="3" t="s">
        <v>590</v>
      </c>
      <c r="E34" s="101"/>
      <c r="F34" s="3" t="s">
        <v>449</v>
      </c>
      <c r="G34" s="4">
        <v>3961500</v>
      </c>
      <c r="H34" s="4" t="s">
        <v>311</v>
      </c>
      <c r="I34" s="4">
        <v>3209003</v>
      </c>
    </row>
    <row r="35" spans="2:9" x14ac:dyDescent="0.3">
      <c r="B35" s="44">
        <v>45920</v>
      </c>
      <c r="C35" s="3" t="s">
        <v>416</v>
      </c>
      <c r="D35" s="3" t="s">
        <v>590</v>
      </c>
      <c r="E35" s="101"/>
      <c r="F35" s="3" t="s">
        <v>322</v>
      </c>
      <c r="G35" s="4">
        <v>3207005</v>
      </c>
      <c r="H35" s="4" t="s">
        <v>317</v>
      </c>
      <c r="I35" s="4">
        <v>3200700</v>
      </c>
    </row>
    <row r="36" spans="2:9" x14ac:dyDescent="0.3">
      <c r="B36" s="44">
        <v>45920</v>
      </c>
      <c r="C36" s="3" t="s">
        <v>416</v>
      </c>
      <c r="D36" s="3" t="s">
        <v>590</v>
      </c>
      <c r="E36" s="101"/>
      <c r="F36" s="3" t="s">
        <v>594</v>
      </c>
      <c r="G36" s="4">
        <v>3196407</v>
      </c>
      <c r="H36" s="4" t="s">
        <v>291</v>
      </c>
      <c r="I36" s="4">
        <v>3196709</v>
      </c>
    </row>
    <row r="37" spans="2:9" x14ac:dyDescent="0.3">
      <c r="B37" s="44">
        <v>45920</v>
      </c>
      <c r="C37" s="3" t="s">
        <v>416</v>
      </c>
      <c r="D37" s="3" t="s">
        <v>590</v>
      </c>
      <c r="E37" s="101"/>
      <c r="F37" s="3" t="s">
        <v>285</v>
      </c>
      <c r="G37" s="4">
        <v>3208504</v>
      </c>
      <c r="H37" s="4" t="s">
        <v>315</v>
      </c>
      <c r="I37" s="4">
        <v>3455307</v>
      </c>
    </row>
    <row r="38" spans="2:9" x14ac:dyDescent="0.3">
      <c r="B38" s="44">
        <v>45920</v>
      </c>
      <c r="C38" s="3" t="s">
        <v>416</v>
      </c>
      <c r="D38" s="3" t="s">
        <v>590</v>
      </c>
      <c r="E38" s="101"/>
      <c r="F38" s="3" t="s">
        <v>284</v>
      </c>
      <c r="G38" s="4">
        <v>3210904</v>
      </c>
      <c r="H38" s="4" t="s">
        <v>277</v>
      </c>
      <c r="I38" s="4">
        <v>3088400</v>
      </c>
    </row>
    <row r="39" spans="2:9" x14ac:dyDescent="0.3">
      <c r="B39" s="4"/>
      <c r="E39" s="101"/>
      <c r="F39" s="4" t="s">
        <v>418</v>
      </c>
      <c r="G39" s="4" t="s">
        <v>418</v>
      </c>
      <c r="H39" s="3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590</v>
      </c>
      <c r="E40" s="101"/>
      <c r="F40" s="3" t="s">
        <v>291</v>
      </c>
      <c r="G40" s="4">
        <v>3196709</v>
      </c>
      <c r="H40" s="3" t="s">
        <v>322</v>
      </c>
      <c r="I40" s="4">
        <v>3207005</v>
      </c>
    </row>
    <row r="41" spans="2:9" x14ac:dyDescent="0.3">
      <c r="B41" s="44">
        <v>45927</v>
      </c>
      <c r="C41" s="3" t="s">
        <v>416</v>
      </c>
      <c r="D41" s="3" t="s">
        <v>590</v>
      </c>
      <c r="E41" s="101"/>
      <c r="F41" s="4" t="s">
        <v>321</v>
      </c>
      <c r="G41" s="4">
        <v>3209607</v>
      </c>
      <c r="H41" s="3" t="s">
        <v>285</v>
      </c>
      <c r="I41" s="4">
        <v>3208504</v>
      </c>
    </row>
    <row r="42" spans="2:9" x14ac:dyDescent="0.3">
      <c r="B42" s="44">
        <v>45927</v>
      </c>
      <c r="C42" s="3" t="s">
        <v>416</v>
      </c>
      <c r="D42" s="3" t="s">
        <v>590</v>
      </c>
      <c r="E42" s="101"/>
      <c r="F42" s="4" t="s">
        <v>317</v>
      </c>
      <c r="G42" s="4">
        <v>3200700</v>
      </c>
      <c r="H42" s="3" t="s">
        <v>277</v>
      </c>
      <c r="I42" s="4">
        <v>3088400</v>
      </c>
    </row>
    <row r="43" spans="2:9" x14ac:dyDescent="0.3">
      <c r="B43" s="44">
        <v>45927</v>
      </c>
      <c r="C43" s="3" t="s">
        <v>416</v>
      </c>
      <c r="D43" s="3" t="s">
        <v>590</v>
      </c>
      <c r="E43" s="101"/>
      <c r="F43" s="4" t="s">
        <v>311</v>
      </c>
      <c r="G43" s="4">
        <v>3209003</v>
      </c>
      <c r="H43" s="3" t="s">
        <v>289</v>
      </c>
      <c r="I43" s="4">
        <v>3068804</v>
      </c>
    </row>
    <row r="44" spans="2:9" x14ac:dyDescent="0.3">
      <c r="B44" s="44">
        <v>45927</v>
      </c>
      <c r="C44" s="3" t="s">
        <v>416</v>
      </c>
      <c r="D44" s="3" t="s">
        <v>590</v>
      </c>
      <c r="E44" s="101"/>
      <c r="F44" s="4" t="s">
        <v>284</v>
      </c>
      <c r="G44" s="4">
        <v>3210904</v>
      </c>
      <c r="H44" s="3" t="s">
        <v>449</v>
      </c>
      <c r="I44" s="4">
        <v>3961500</v>
      </c>
    </row>
    <row r="45" spans="2:9" x14ac:dyDescent="0.3">
      <c r="B45" s="44">
        <v>45927</v>
      </c>
      <c r="C45" s="3" t="s">
        <v>416</v>
      </c>
      <c r="D45" s="3" t="s">
        <v>590</v>
      </c>
      <c r="E45" s="101"/>
      <c r="F45" s="4" t="s">
        <v>315</v>
      </c>
      <c r="G45" s="4">
        <v>3455307</v>
      </c>
      <c r="H45" s="3" t="s">
        <v>594</v>
      </c>
      <c r="I45" s="4">
        <v>3196407</v>
      </c>
    </row>
    <row r="46" spans="2:9" x14ac:dyDescent="0.3">
      <c r="B46" s="4"/>
      <c r="E46" s="101"/>
      <c r="F46" s="4" t="s">
        <v>418</v>
      </c>
      <c r="G46" s="4" t="s">
        <v>418</v>
      </c>
      <c r="H46" s="3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590</v>
      </c>
      <c r="E47" s="101"/>
      <c r="F47" s="4" t="s">
        <v>277</v>
      </c>
      <c r="G47" s="4">
        <v>3088400</v>
      </c>
      <c r="H47" s="4" t="s">
        <v>291</v>
      </c>
      <c r="I47" s="4">
        <v>3196709</v>
      </c>
    </row>
    <row r="48" spans="2:9" x14ac:dyDescent="0.3">
      <c r="B48" s="44">
        <v>45934</v>
      </c>
      <c r="C48" s="3" t="s">
        <v>416</v>
      </c>
      <c r="D48" s="3" t="s">
        <v>590</v>
      </c>
      <c r="E48" s="101"/>
      <c r="F48" s="4" t="s">
        <v>289</v>
      </c>
      <c r="G48" s="4">
        <v>3068804</v>
      </c>
      <c r="H48" s="3" t="s">
        <v>449</v>
      </c>
      <c r="I48" s="4">
        <v>3961500</v>
      </c>
    </row>
    <row r="49" spans="2:9" x14ac:dyDescent="0.3">
      <c r="B49" s="44">
        <v>45934</v>
      </c>
      <c r="C49" s="3" t="s">
        <v>416</v>
      </c>
      <c r="D49" s="3" t="s">
        <v>590</v>
      </c>
      <c r="E49" s="101"/>
      <c r="F49" s="3" t="s">
        <v>322</v>
      </c>
      <c r="G49" s="4">
        <v>3207005</v>
      </c>
      <c r="H49" s="3" t="s">
        <v>315</v>
      </c>
      <c r="I49" s="4">
        <v>3455307</v>
      </c>
    </row>
    <row r="50" spans="2:9" x14ac:dyDescent="0.3">
      <c r="B50" s="44">
        <v>45934</v>
      </c>
      <c r="C50" s="3" t="s">
        <v>416</v>
      </c>
      <c r="D50" s="3" t="s">
        <v>590</v>
      </c>
      <c r="E50" s="101"/>
      <c r="F50" s="3" t="s">
        <v>594</v>
      </c>
      <c r="G50" s="4">
        <v>3196407</v>
      </c>
      <c r="H50" s="4" t="s">
        <v>321</v>
      </c>
      <c r="I50" s="4">
        <v>3209607</v>
      </c>
    </row>
    <row r="51" spans="2:9" x14ac:dyDescent="0.3">
      <c r="B51" s="44">
        <v>45934</v>
      </c>
      <c r="C51" s="3" t="s">
        <v>416</v>
      </c>
      <c r="D51" s="3" t="s">
        <v>590</v>
      </c>
      <c r="E51" s="101"/>
      <c r="F51" s="3" t="s">
        <v>317</v>
      </c>
      <c r="G51" s="4">
        <v>3200700</v>
      </c>
      <c r="H51" s="4" t="s">
        <v>284</v>
      </c>
      <c r="I51" s="4">
        <v>3210904</v>
      </c>
    </row>
    <row r="52" spans="2:9" x14ac:dyDescent="0.3">
      <c r="B52" s="44">
        <v>45934</v>
      </c>
      <c r="C52" s="3" t="s">
        <v>416</v>
      </c>
      <c r="D52" s="3" t="s">
        <v>590</v>
      </c>
      <c r="E52" s="101"/>
      <c r="F52" s="3" t="s">
        <v>285</v>
      </c>
      <c r="G52" s="4">
        <v>3208504</v>
      </c>
      <c r="H52" s="4" t="s">
        <v>311</v>
      </c>
      <c r="I52" s="4">
        <v>3209003</v>
      </c>
    </row>
    <row r="53" spans="2:9" x14ac:dyDescent="0.3">
      <c r="B53" s="4"/>
      <c r="E53" s="101"/>
      <c r="F53" s="4" t="s">
        <v>418</v>
      </c>
      <c r="G53" s="4" t="s">
        <v>418</v>
      </c>
      <c r="H53" s="3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590</v>
      </c>
      <c r="E54" s="101"/>
      <c r="F54" s="3" t="s">
        <v>449</v>
      </c>
      <c r="G54" s="4">
        <v>3961500</v>
      </c>
      <c r="H54" s="3" t="s">
        <v>285</v>
      </c>
      <c r="I54" s="4">
        <v>3208504</v>
      </c>
    </row>
    <row r="55" spans="2:9" x14ac:dyDescent="0.3">
      <c r="B55" s="44">
        <v>45941</v>
      </c>
      <c r="C55" s="3" t="s">
        <v>416</v>
      </c>
      <c r="D55" s="3" t="s">
        <v>590</v>
      </c>
      <c r="E55" s="101"/>
      <c r="F55" s="3" t="s">
        <v>291</v>
      </c>
      <c r="G55" s="4">
        <v>3196709</v>
      </c>
      <c r="H55" s="3" t="s">
        <v>317</v>
      </c>
      <c r="I55" s="4">
        <v>3200700</v>
      </c>
    </row>
    <row r="56" spans="2:9" x14ac:dyDescent="0.3">
      <c r="B56" s="44">
        <v>45941</v>
      </c>
      <c r="C56" s="3" t="s">
        <v>416</v>
      </c>
      <c r="D56" s="3" t="s">
        <v>590</v>
      </c>
      <c r="E56" s="101"/>
      <c r="F56" s="4" t="s">
        <v>321</v>
      </c>
      <c r="G56" s="4">
        <v>3209607</v>
      </c>
      <c r="H56" s="4" t="s">
        <v>322</v>
      </c>
      <c r="I56" s="4">
        <v>3207005</v>
      </c>
    </row>
    <row r="57" spans="2:9" x14ac:dyDescent="0.3">
      <c r="B57" s="44">
        <v>45941</v>
      </c>
      <c r="C57" s="3" t="s">
        <v>416</v>
      </c>
      <c r="D57" s="3" t="s">
        <v>590</v>
      </c>
      <c r="E57" s="101"/>
      <c r="F57" s="4" t="s">
        <v>311</v>
      </c>
      <c r="G57" s="4">
        <v>3209003</v>
      </c>
      <c r="H57" s="3" t="s">
        <v>594</v>
      </c>
      <c r="I57" s="4">
        <v>3196407</v>
      </c>
    </row>
    <row r="58" spans="2:9" x14ac:dyDescent="0.3">
      <c r="B58" s="44">
        <v>45941</v>
      </c>
      <c r="C58" s="3" t="s">
        <v>416</v>
      </c>
      <c r="D58" s="3" t="s">
        <v>590</v>
      </c>
      <c r="E58" s="101"/>
      <c r="F58" s="4" t="s">
        <v>284</v>
      </c>
      <c r="G58" s="4">
        <v>3210904</v>
      </c>
      <c r="H58" s="3" t="s">
        <v>289</v>
      </c>
      <c r="I58" s="4">
        <v>3068804</v>
      </c>
    </row>
    <row r="59" spans="2:9" x14ac:dyDescent="0.3">
      <c r="B59" s="44">
        <v>45941</v>
      </c>
      <c r="C59" s="3" t="s">
        <v>416</v>
      </c>
      <c r="D59" s="3" t="s">
        <v>590</v>
      </c>
      <c r="E59" s="101"/>
      <c r="F59" s="4" t="s">
        <v>315</v>
      </c>
      <c r="G59" s="4">
        <v>3455307</v>
      </c>
      <c r="H59" s="3" t="s">
        <v>277</v>
      </c>
      <c r="I59" s="4">
        <v>3088400</v>
      </c>
    </row>
    <row r="60" spans="2:9" x14ac:dyDescent="0.3">
      <c r="B60" s="4"/>
      <c r="E60" s="101"/>
      <c r="F60" s="4" t="s">
        <v>418</v>
      </c>
      <c r="G60" s="4" t="s">
        <v>418</v>
      </c>
      <c r="H60" s="3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590</v>
      </c>
      <c r="E61" s="101"/>
      <c r="F61" s="4" t="s">
        <v>277</v>
      </c>
      <c r="G61" s="4">
        <v>3088400</v>
      </c>
      <c r="H61" s="4" t="s">
        <v>321</v>
      </c>
      <c r="I61" s="4">
        <v>3209607</v>
      </c>
    </row>
    <row r="62" spans="2:9" x14ac:dyDescent="0.3">
      <c r="B62" s="44">
        <v>45948</v>
      </c>
      <c r="C62" s="3" t="s">
        <v>416</v>
      </c>
      <c r="D62" s="3" t="s">
        <v>590</v>
      </c>
      <c r="E62" s="101"/>
      <c r="F62" s="4" t="s">
        <v>291</v>
      </c>
      <c r="G62" s="4">
        <v>3196709</v>
      </c>
      <c r="H62" s="4" t="s">
        <v>284</v>
      </c>
      <c r="I62" s="4">
        <v>3210904</v>
      </c>
    </row>
    <row r="63" spans="2:9" x14ac:dyDescent="0.3">
      <c r="B63" s="44">
        <v>45948</v>
      </c>
      <c r="C63" s="3" t="s">
        <v>416</v>
      </c>
      <c r="D63" s="3" t="s">
        <v>590</v>
      </c>
      <c r="E63" s="101"/>
      <c r="F63" s="4" t="s">
        <v>322</v>
      </c>
      <c r="G63" s="4">
        <v>3207005</v>
      </c>
      <c r="H63" s="3" t="s">
        <v>311</v>
      </c>
      <c r="I63" s="4">
        <v>3209003</v>
      </c>
    </row>
    <row r="64" spans="2:9" x14ac:dyDescent="0.3">
      <c r="B64" s="44">
        <v>45948</v>
      </c>
      <c r="C64" s="3" t="s">
        <v>416</v>
      </c>
      <c r="D64" s="3" t="s">
        <v>590</v>
      </c>
      <c r="E64" s="101"/>
      <c r="F64" s="3" t="s">
        <v>594</v>
      </c>
      <c r="G64" s="4">
        <v>3196407</v>
      </c>
      <c r="H64" s="4" t="s">
        <v>449</v>
      </c>
      <c r="I64" s="4">
        <v>3961500</v>
      </c>
    </row>
    <row r="65" spans="2:9" x14ac:dyDescent="0.3">
      <c r="B65" s="44">
        <v>45948</v>
      </c>
      <c r="C65" s="3" t="s">
        <v>416</v>
      </c>
      <c r="D65" s="3" t="s">
        <v>590</v>
      </c>
      <c r="E65" s="101"/>
      <c r="F65" s="3" t="s">
        <v>317</v>
      </c>
      <c r="G65" s="4">
        <v>3200700</v>
      </c>
      <c r="H65" s="3" t="s">
        <v>315</v>
      </c>
      <c r="I65" s="4">
        <v>3455307</v>
      </c>
    </row>
    <row r="66" spans="2:9" x14ac:dyDescent="0.3">
      <c r="B66" s="44">
        <v>45948</v>
      </c>
      <c r="C66" s="3" t="s">
        <v>416</v>
      </c>
      <c r="D66" s="3" t="s">
        <v>590</v>
      </c>
      <c r="E66" s="101"/>
      <c r="F66" s="3" t="s">
        <v>285</v>
      </c>
      <c r="G66" s="4">
        <v>3208504</v>
      </c>
      <c r="H66" s="3" t="s">
        <v>289</v>
      </c>
      <c r="I66" s="4">
        <v>3068804</v>
      </c>
    </row>
    <row r="67" spans="2:9" x14ac:dyDescent="0.3">
      <c r="B67" s="4"/>
      <c r="E67" s="101"/>
      <c r="F67" s="4" t="s">
        <v>418</v>
      </c>
      <c r="G67" s="4" t="s">
        <v>418</v>
      </c>
      <c r="H67" s="3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590</v>
      </c>
      <c r="E68" s="101"/>
      <c r="F68" s="3" t="s">
        <v>289</v>
      </c>
      <c r="G68" s="4">
        <v>3068804</v>
      </c>
      <c r="H68" s="3" t="s">
        <v>594</v>
      </c>
      <c r="I68" s="4">
        <v>3196407</v>
      </c>
    </row>
    <row r="69" spans="2:9" x14ac:dyDescent="0.3">
      <c r="B69" s="44">
        <v>45962</v>
      </c>
      <c r="C69" s="3" t="s">
        <v>416</v>
      </c>
      <c r="D69" s="3" t="s">
        <v>590</v>
      </c>
      <c r="E69" s="101"/>
      <c r="F69" s="3" t="s">
        <v>449</v>
      </c>
      <c r="G69" s="4">
        <v>3961500</v>
      </c>
      <c r="H69" s="3" t="s">
        <v>322</v>
      </c>
      <c r="I69" s="4">
        <v>3207005</v>
      </c>
    </row>
    <row r="70" spans="2:9" x14ac:dyDescent="0.3">
      <c r="B70" s="44">
        <v>45962</v>
      </c>
      <c r="C70" s="3" t="s">
        <v>416</v>
      </c>
      <c r="D70" s="3" t="s">
        <v>590</v>
      </c>
      <c r="E70" s="101"/>
      <c r="F70" s="3" t="s">
        <v>321</v>
      </c>
      <c r="G70" s="4">
        <v>3209607</v>
      </c>
      <c r="H70" s="3" t="s">
        <v>317</v>
      </c>
      <c r="I70" s="4">
        <v>3200700</v>
      </c>
    </row>
    <row r="71" spans="2:9" x14ac:dyDescent="0.3">
      <c r="B71" s="44">
        <v>45962</v>
      </c>
      <c r="C71" s="3" t="s">
        <v>416</v>
      </c>
      <c r="D71" s="3" t="s">
        <v>590</v>
      </c>
      <c r="E71" s="101"/>
      <c r="F71" s="4" t="s">
        <v>311</v>
      </c>
      <c r="G71" s="4">
        <v>3209003</v>
      </c>
      <c r="H71" s="4" t="s">
        <v>277</v>
      </c>
      <c r="I71" s="4">
        <v>3088400</v>
      </c>
    </row>
    <row r="72" spans="2:9" x14ac:dyDescent="0.3">
      <c r="B72" s="44">
        <v>45962</v>
      </c>
      <c r="C72" s="3" t="s">
        <v>416</v>
      </c>
      <c r="D72" s="3" t="s">
        <v>590</v>
      </c>
      <c r="E72" s="101"/>
      <c r="F72" s="4" t="s">
        <v>284</v>
      </c>
      <c r="G72" s="4">
        <v>3210904</v>
      </c>
      <c r="H72" s="4" t="s">
        <v>285</v>
      </c>
      <c r="I72" s="4">
        <v>3208504</v>
      </c>
    </row>
    <row r="73" spans="2:9" x14ac:dyDescent="0.3">
      <c r="B73" s="44">
        <v>45962</v>
      </c>
      <c r="C73" s="3" t="s">
        <v>416</v>
      </c>
      <c r="D73" s="3" t="s">
        <v>590</v>
      </c>
      <c r="E73" s="101"/>
      <c r="F73" s="4" t="s">
        <v>315</v>
      </c>
      <c r="G73" s="4">
        <v>3455307</v>
      </c>
      <c r="H73" s="3" t="s">
        <v>291</v>
      </c>
      <c r="I73" s="4">
        <v>3196709</v>
      </c>
    </row>
    <row r="74" spans="2:9" x14ac:dyDescent="0.3">
      <c r="B74" s="4"/>
      <c r="E74" s="101"/>
      <c r="F74" s="4" t="s">
        <v>418</v>
      </c>
      <c r="G74" s="4" t="s">
        <v>418</v>
      </c>
      <c r="H74" s="3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590</v>
      </c>
      <c r="E75" s="101"/>
      <c r="F75" s="4" t="s">
        <v>277</v>
      </c>
      <c r="G75" s="4">
        <v>3088400</v>
      </c>
      <c r="H75" s="3" t="s">
        <v>449</v>
      </c>
      <c r="I75" s="4">
        <v>3961500</v>
      </c>
    </row>
    <row r="76" spans="2:9" x14ac:dyDescent="0.3">
      <c r="B76" s="44">
        <v>45969</v>
      </c>
      <c r="C76" s="3" t="s">
        <v>416</v>
      </c>
      <c r="D76" s="3" t="s">
        <v>590</v>
      </c>
      <c r="E76" s="101"/>
      <c r="F76" s="4" t="s">
        <v>291</v>
      </c>
      <c r="G76" s="4">
        <v>3196709</v>
      </c>
      <c r="H76" s="4" t="s">
        <v>321</v>
      </c>
      <c r="I76" s="4">
        <v>3209607</v>
      </c>
    </row>
    <row r="77" spans="2:9" x14ac:dyDescent="0.3">
      <c r="B77" s="44">
        <v>45969</v>
      </c>
      <c r="C77" s="3" t="s">
        <v>416</v>
      </c>
      <c r="D77" s="3" t="s">
        <v>590</v>
      </c>
      <c r="E77" s="101"/>
      <c r="F77" s="4" t="s">
        <v>322</v>
      </c>
      <c r="G77" s="4">
        <v>3207005</v>
      </c>
      <c r="H77" s="4" t="s">
        <v>289</v>
      </c>
      <c r="I77" s="4">
        <v>3068804</v>
      </c>
    </row>
    <row r="78" spans="2:9" x14ac:dyDescent="0.3">
      <c r="B78" s="44">
        <v>45969</v>
      </c>
      <c r="C78" s="3" t="s">
        <v>416</v>
      </c>
      <c r="D78" s="3" t="s">
        <v>590</v>
      </c>
      <c r="E78" s="101"/>
      <c r="F78" s="4" t="s">
        <v>594</v>
      </c>
      <c r="G78" s="4">
        <v>3196407</v>
      </c>
      <c r="H78" s="3" t="s">
        <v>285</v>
      </c>
      <c r="I78" s="4">
        <v>3208504</v>
      </c>
    </row>
    <row r="79" spans="2:9" x14ac:dyDescent="0.3">
      <c r="B79" s="44">
        <v>45969</v>
      </c>
      <c r="C79" s="3" t="s">
        <v>416</v>
      </c>
      <c r="D79" s="3" t="s">
        <v>590</v>
      </c>
      <c r="E79" s="101"/>
      <c r="F79" s="3" t="s">
        <v>317</v>
      </c>
      <c r="G79" s="4">
        <v>3200700</v>
      </c>
      <c r="H79" s="3" t="s">
        <v>311</v>
      </c>
      <c r="I79" s="4">
        <v>3209003</v>
      </c>
    </row>
    <row r="80" spans="2:9" x14ac:dyDescent="0.3">
      <c r="B80" s="44">
        <v>45969</v>
      </c>
      <c r="C80" s="3" t="s">
        <v>416</v>
      </c>
      <c r="D80" s="3" t="s">
        <v>590</v>
      </c>
      <c r="E80" s="101"/>
      <c r="F80" s="3" t="s">
        <v>315</v>
      </c>
      <c r="G80" s="4">
        <v>3455307</v>
      </c>
      <c r="H80" s="3" t="s">
        <v>284</v>
      </c>
      <c r="I80" s="4">
        <v>3210904</v>
      </c>
    </row>
    <row r="81" spans="2:9" x14ac:dyDescent="0.3">
      <c r="B81" s="4"/>
      <c r="E81" s="101"/>
      <c r="F81" s="4" t="s">
        <v>418</v>
      </c>
      <c r="G81" s="4" t="s">
        <v>418</v>
      </c>
      <c r="H81" s="3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590</v>
      </c>
      <c r="E82" s="101"/>
      <c r="F82" s="3" t="s">
        <v>289</v>
      </c>
      <c r="G82" s="4">
        <v>3068804</v>
      </c>
      <c r="H82" s="3" t="s">
        <v>277</v>
      </c>
      <c r="I82" s="4">
        <v>3088400</v>
      </c>
    </row>
    <row r="83" spans="2:9" x14ac:dyDescent="0.3">
      <c r="B83" s="44">
        <v>45976</v>
      </c>
      <c r="C83" s="3" t="s">
        <v>416</v>
      </c>
      <c r="D83" s="3" t="s">
        <v>590</v>
      </c>
      <c r="E83" s="101"/>
      <c r="F83" s="3" t="s">
        <v>449</v>
      </c>
      <c r="G83" s="4">
        <v>3961500</v>
      </c>
      <c r="H83" s="4" t="s">
        <v>317</v>
      </c>
      <c r="I83" s="4">
        <v>3200700</v>
      </c>
    </row>
    <row r="84" spans="2:9" x14ac:dyDescent="0.3">
      <c r="B84" s="44">
        <v>45976</v>
      </c>
      <c r="C84" s="3" t="s">
        <v>416</v>
      </c>
      <c r="D84" s="3" t="s">
        <v>590</v>
      </c>
      <c r="E84" s="101"/>
      <c r="F84" s="3" t="s">
        <v>321</v>
      </c>
      <c r="G84" s="4">
        <v>3209607</v>
      </c>
      <c r="H84" s="3" t="s">
        <v>315</v>
      </c>
      <c r="I84" s="4">
        <v>3455307</v>
      </c>
    </row>
    <row r="85" spans="2:9" x14ac:dyDescent="0.3">
      <c r="B85" s="44">
        <v>45976</v>
      </c>
      <c r="C85" s="3" t="s">
        <v>416</v>
      </c>
      <c r="D85" s="3" t="s">
        <v>590</v>
      </c>
      <c r="E85" s="101"/>
      <c r="F85" s="4" t="s">
        <v>285</v>
      </c>
      <c r="G85" s="4">
        <v>3208504</v>
      </c>
      <c r="H85" s="4" t="s">
        <v>322</v>
      </c>
      <c r="I85" s="4">
        <v>3207005</v>
      </c>
    </row>
    <row r="86" spans="2:9" x14ac:dyDescent="0.3">
      <c r="B86" s="44">
        <v>45976</v>
      </c>
      <c r="C86" s="3" t="s">
        <v>416</v>
      </c>
      <c r="D86" s="3" t="s">
        <v>590</v>
      </c>
      <c r="E86" s="101"/>
      <c r="F86" s="4" t="s">
        <v>311</v>
      </c>
      <c r="G86" s="4">
        <v>3209003</v>
      </c>
      <c r="H86" s="4" t="s">
        <v>291</v>
      </c>
      <c r="I86" s="4">
        <v>3196709</v>
      </c>
    </row>
    <row r="87" spans="2:9" x14ac:dyDescent="0.3">
      <c r="B87" s="44">
        <v>45976</v>
      </c>
      <c r="C87" s="3" t="s">
        <v>416</v>
      </c>
      <c r="D87" s="3" t="s">
        <v>590</v>
      </c>
      <c r="E87" s="101"/>
      <c r="F87" s="3" t="s">
        <v>284</v>
      </c>
      <c r="G87" s="4">
        <v>3210904</v>
      </c>
      <c r="H87" s="3" t="s">
        <v>594</v>
      </c>
      <c r="I87" s="4">
        <v>3196407</v>
      </c>
    </row>
    <row r="88" spans="2:9" x14ac:dyDescent="0.3">
      <c r="B88" s="4"/>
      <c r="E88" s="101"/>
      <c r="F88" s="4" t="s">
        <v>418</v>
      </c>
      <c r="G88" s="4" t="s">
        <v>418</v>
      </c>
      <c r="H88" s="3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590</v>
      </c>
      <c r="E89" s="101"/>
      <c r="F89" s="4" t="s">
        <v>277</v>
      </c>
      <c r="G89" s="4">
        <v>3088400</v>
      </c>
      <c r="H89" s="3" t="s">
        <v>285</v>
      </c>
      <c r="I89" s="4">
        <v>3208504</v>
      </c>
    </row>
    <row r="90" spans="2:9" x14ac:dyDescent="0.3">
      <c r="B90" s="44">
        <v>45983</v>
      </c>
      <c r="C90" s="3" t="s">
        <v>416</v>
      </c>
      <c r="D90" s="3" t="s">
        <v>590</v>
      </c>
      <c r="E90" s="101"/>
      <c r="F90" s="4" t="s">
        <v>291</v>
      </c>
      <c r="G90" s="4">
        <v>3196709</v>
      </c>
      <c r="H90" s="3" t="s">
        <v>449</v>
      </c>
      <c r="I90" s="4">
        <v>3961500</v>
      </c>
    </row>
    <row r="91" spans="2:9" x14ac:dyDescent="0.3">
      <c r="B91" s="44">
        <v>45983</v>
      </c>
      <c r="C91" s="3" t="s">
        <v>416</v>
      </c>
      <c r="D91" s="3" t="s">
        <v>590</v>
      </c>
      <c r="E91" s="101"/>
      <c r="F91" s="4" t="s">
        <v>322</v>
      </c>
      <c r="G91" s="4">
        <v>3207005</v>
      </c>
      <c r="H91" s="3" t="s">
        <v>594</v>
      </c>
      <c r="I91" s="4">
        <v>3196407</v>
      </c>
    </row>
    <row r="92" spans="2:9" x14ac:dyDescent="0.3">
      <c r="B92" s="44">
        <v>45983</v>
      </c>
      <c r="C92" s="3" t="s">
        <v>416</v>
      </c>
      <c r="D92" s="3" t="s">
        <v>590</v>
      </c>
      <c r="E92" s="101"/>
      <c r="F92" s="4" t="s">
        <v>321</v>
      </c>
      <c r="G92" s="4">
        <v>3209607</v>
      </c>
      <c r="H92" s="4" t="s">
        <v>284</v>
      </c>
      <c r="I92" s="4">
        <v>3210904</v>
      </c>
    </row>
    <row r="93" spans="2:9" x14ac:dyDescent="0.3">
      <c r="B93" s="44">
        <v>45983</v>
      </c>
      <c r="C93" s="3" t="s">
        <v>416</v>
      </c>
      <c r="D93" s="3" t="s">
        <v>590</v>
      </c>
      <c r="E93" s="101"/>
      <c r="F93" s="4" t="s">
        <v>317</v>
      </c>
      <c r="G93" s="4">
        <v>3200700</v>
      </c>
      <c r="H93" s="3" t="s">
        <v>289</v>
      </c>
      <c r="I93" s="4">
        <v>3068804</v>
      </c>
    </row>
    <row r="94" spans="2:9" x14ac:dyDescent="0.3">
      <c r="B94" s="44">
        <v>45983</v>
      </c>
      <c r="C94" s="3" t="s">
        <v>416</v>
      </c>
      <c r="D94" s="3" t="s">
        <v>590</v>
      </c>
      <c r="E94" s="101"/>
      <c r="F94" s="3" t="s">
        <v>315</v>
      </c>
      <c r="G94" s="4">
        <v>3455307</v>
      </c>
      <c r="H94" s="3" t="s">
        <v>311</v>
      </c>
      <c r="I94" s="4">
        <v>3209003</v>
      </c>
    </row>
    <row r="95" spans="2:9" x14ac:dyDescent="0.3">
      <c r="B95" s="4"/>
      <c r="E95" s="101"/>
      <c r="F95" s="4" t="s">
        <v>418</v>
      </c>
      <c r="G95" s="4" t="s">
        <v>418</v>
      </c>
      <c r="H95" s="3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590</v>
      </c>
      <c r="E96" s="101"/>
      <c r="F96" s="3" t="s">
        <v>289</v>
      </c>
      <c r="G96" s="4">
        <v>3068804</v>
      </c>
      <c r="H96" s="3" t="s">
        <v>291</v>
      </c>
      <c r="I96" s="4">
        <v>3196709</v>
      </c>
    </row>
    <row r="97" spans="2:9" x14ac:dyDescent="0.3">
      <c r="B97" s="44">
        <v>45990</v>
      </c>
      <c r="C97" s="3" t="s">
        <v>416</v>
      </c>
      <c r="D97" s="3" t="s">
        <v>590</v>
      </c>
      <c r="E97" s="101"/>
      <c r="F97" s="3" t="s">
        <v>449</v>
      </c>
      <c r="G97" s="4">
        <v>3961500</v>
      </c>
      <c r="H97" s="4" t="s">
        <v>315</v>
      </c>
      <c r="I97" s="4">
        <v>3455307</v>
      </c>
    </row>
    <row r="98" spans="2:9" x14ac:dyDescent="0.3">
      <c r="B98" s="44">
        <v>45990</v>
      </c>
      <c r="C98" s="3" t="s">
        <v>416</v>
      </c>
      <c r="D98" s="3" t="s">
        <v>590</v>
      </c>
      <c r="E98" s="101"/>
      <c r="F98" s="3" t="s">
        <v>594</v>
      </c>
      <c r="G98" s="4">
        <v>3196407</v>
      </c>
      <c r="H98" s="4" t="s">
        <v>277</v>
      </c>
      <c r="I98" s="4">
        <v>3088400</v>
      </c>
    </row>
    <row r="99" spans="2:9" x14ac:dyDescent="0.3">
      <c r="B99" s="44">
        <v>45990</v>
      </c>
      <c r="C99" s="3" t="s">
        <v>416</v>
      </c>
      <c r="D99" s="3" t="s">
        <v>590</v>
      </c>
      <c r="E99" s="101"/>
      <c r="F99" s="4" t="s">
        <v>285</v>
      </c>
      <c r="G99" s="4">
        <v>3208504</v>
      </c>
      <c r="H99" s="4" t="s">
        <v>317</v>
      </c>
      <c r="I99" s="4">
        <v>3200700</v>
      </c>
    </row>
    <row r="100" spans="2:9" x14ac:dyDescent="0.3">
      <c r="B100" s="44">
        <v>45990</v>
      </c>
      <c r="C100" s="3" t="s">
        <v>416</v>
      </c>
      <c r="D100" s="3" t="s">
        <v>590</v>
      </c>
      <c r="E100" s="101"/>
      <c r="F100" s="3" t="s">
        <v>311</v>
      </c>
      <c r="G100" s="4">
        <v>3209003</v>
      </c>
      <c r="H100" s="4" t="s">
        <v>321</v>
      </c>
      <c r="I100" s="4">
        <v>3209607</v>
      </c>
    </row>
    <row r="101" spans="2:9" x14ac:dyDescent="0.3">
      <c r="B101" s="44">
        <v>45990</v>
      </c>
      <c r="C101" s="3" t="s">
        <v>416</v>
      </c>
      <c r="D101" s="3" t="s">
        <v>590</v>
      </c>
      <c r="E101" s="101"/>
      <c r="F101" s="3" t="s">
        <v>284</v>
      </c>
      <c r="G101" s="4">
        <v>3210904</v>
      </c>
      <c r="H101" s="4" t="s">
        <v>322</v>
      </c>
      <c r="I101" s="4">
        <v>3207005</v>
      </c>
    </row>
    <row r="102" spans="2:9" x14ac:dyDescent="0.3">
      <c r="B102" s="4"/>
      <c r="E102" s="101"/>
      <c r="F102" s="4" t="s">
        <v>418</v>
      </c>
      <c r="G102" s="4" t="s">
        <v>418</v>
      </c>
      <c r="H102" s="3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590</v>
      </c>
      <c r="E103" s="101"/>
      <c r="F103" s="3" t="s">
        <v>289</v>
      </c>
      <c r="G103" s="4">
        <v>3068804</v>
      </c>
      <c r="H103" s="4" t="s">
        <v>315</v>
      </c>
      <c r="I103" s="4">
        <v>3455307</v>
      </c>
    </row>
    <row r="104" spans="2:9" x14ac:dyDescent="0.3">
      <c r="B104" s="44">
        <v>46032</v>
      </c>
      <c r="C104" s="3" t="s">
        <v>416</v>
      </c>
      <c r="D104" s="3" t="s">
        <v>590</v>
      </c>
      <c r="E104" s="101"/>
      <c r="F104" s="3" t="s">
        <v>449</v>
      </c>
      <c r="G104" s="4">
        <v>3961500</v>
      </c>
      <c r="H104" s="4" t="s">
        <v>321</v>
      </c>
      <c r="I104" s="4">
        <v>3209607</v>
      </c>
    </row>
    <row r="105" spans="2:9" x14ac:dyDescent="0.3">
      <c r="B105" s="44">
        <v>46032</v>
      </c>
      <c r="C105" s="3" t="s">
        <v>416</v>
      </c>
      <c r="D105" s="3" t="s">
        <v>590</v>
      </c>
      <c r="E105" s="101"/>
      <c r="F105" s="3" t="s">
        <v>322</v>
      </c>
      <c r="G105" s="4">
        <v>3207005</v>
      </c>
      <c r="H105" s="4" t="s">
        <v>277</v>
      </c>
      <c r="I105" s="4">
        <v>3088400</v>
      </c>
    </row>
    <row r="106" spans="2:9" x14ac:dyDescent="0.3">
      <c r="B106" s="44">
        <v>46032</v>
      </c>
      <c r="C106" s="3" t="s">
        <v>416</v>
      </c>
      <c r="D106" s="3" t="s">
        <v>590</v>
      </c>
      <c r="E106" s="101"/>
      <c r="F106" s="3" t="s">
        <v>594</v>
      </c>
      <c r="G106" s="4">
        <v>3196407</v>
      </c>
      <c r="H106" s="3" t="s">
        <v>317</v>
      </c>
      <c r="I106" s="4">
        <v>3200700</v>
      </c>
    </row>
    <row r="107" spans="2:9" x14ac:dyDescent="0.3">
      <c r="B107" s="44">
        <v>46032</v>
      </c>
      <c r="C107" s="3" t="s">
        <v>416</v>
      </c>
      <c r="D107" s="3" t="s">
        <v>590</v>
      </c>
      <c r="E107" s="101"/>
      <c r="F107" s="3" t="s">
        <v>285</v>
      </c>
      <c r="G107" s="4">
        <v>3208504</v>
      </c>
      <c r="H107" s="4" t="s">
        <v>291</v>
      </c>
      <c r="I107" s="4">
        <v>3196709</v>
      </c>
    </row>
    <row r="108" spans="2:9" x14ac:dyDescent="0.3">
      <c r="B108" s="44">
        <v>46032</v>
      </c>
      <c r="C108" s="3" t="s">
        <v>416</v>
      </c>
      <c r="D108" s="3" t="s">
        <v>590</v>
      </c>
      <c r="E108" s="101"/>
      <c r="F108" s="3" t="s">
        <v>284</v>
      </c>
      <c r="G108" s="4">
        <v>3210904</v>
      </c>
      <c r="H108" s="4" t="s">
        <v>311</v>
      </c>
      <c r="I108" s="4">
        <v>3209003</v>
      </c>
    </row>
    <row r="109" spans="2:9" x14ac:dyDescent="0.3">
      <c r="B109" s="4"/>
      <c r="E109" s="101"/>
      <c r="F109" s="4" t="s">
        <v>418</v>
      </c>
      <c r="G109" s="4" t="s">
        <v>418</v>
      </c>
      <c r="H109" s="3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590</v>
      </c>
      <c r="E110" s="101"/>
      <c r="F110" s="4" t="s">
        <v>277</v>
      </c>
      <c r="G110" s="4">
        <v>3088400</v>
      </c>
      <c r="H110" s="3" t="s">
        <v>284</v>
      </c>
      <c r="I110" s="4">
        <v>3210904</v>
      </c>
    </row>
    <row r="111" spans="2:9" x14ac:dyDescent="0.3">
      <c r="B111" s="44">
        <v>46039</v>
      </c>
      <c r="C111" s="3" t="s">
        <v>416</v>
      </c>
      <c r="D111" s="3" t="s">
        <v>590</v>
      </c>
      <c r="E111" s="101"/>
      <c r="F111" s="4" t="s">
        <v>291</v>
      </c>
      <c r="G111" s="4">
        <v>3196709</v>
      </c>
      <c r="H111" s="3" t="s">
        <v>594</v>
      </c>
      <c r="I111" s="4">
        <v>3196407</v>
      </c>
    </row>
    <row r="112" spans="2:9" x14ac:dyDescent="0.3">
      <c r="B112" s="44">
        <v>46039</v>
      </c>
      <c r="C112" s="3" t="s">
        <v>416</v>
      </c>
      <c r="D112" s="3" t="s">
        <v>590</v>
      </c>
      <c r="E112" s="101"/>
      <c r="F112" s="4" t="s">
        <v>321</v>
      </c>
      <c r="G112" s="4">
        <v>3209607</v>
      </c>
      <c r="H112" s="3" t="s">
        <v>289</v>
      </c>
      <c r="I112" s="4">
        <v>3068804</v>
      </c>
    </row>
    <row r="113" spans="2:9" x14ac:dyDescent="0.3">
      <c r="B113" s="44">
        <v>46039</v>
      </c>
      <c r="C113" s="3" t="s">
        <v>416</v>
      </c>
      <c r="D113" s="3" t="s">
        <v>590</v>
      </c>
      <c r="E113" s="101"/>
      <c r="F113" s="4" t="s">
        <v>317</v>
      </c>
      <c r="G113" s="4">
        <v>3200700</v>
      </c>
      <c r="H113" s="3" t="s">
        <v>322</v>
      </c>
      <c r="I113" s="4">
        <v>3207005</v>
      </c>
    </row>
    <row r="114" spans="2:9" x14ac:dyDescent="0.3">
      <c r="B114" s="44">
        <v>46039</v>
      </c>
      <c r="C114" s="3" t="s">
        <v>416</v>
      </c>
      <c r="D114" s="3" t="s">
        <v>590</v>
      </c>
      <c r="E114" s="101"/>
      <c r="F114" s="4" t="s">
        <v>311</v>
      </c>
      <c r="G114" s="4">
        <v>3209003</v>
      </c>
      <c r="H114" s="3" t="s">
        <v>449</v>
      </c>
      <c r="I114" s="4">
        <v>3961500</v>
      </c>
    </row>
    <row r="115" spans="2:9" x14ac:dyDescent="0.3">
      <c r="B115" s="44">
        <v>46039</v>
      </c>
      <c r="C115" s="3" t="s">
        <v>416</v>
      </c>
      <c r="D115" s="3" t="s">
        <v>590</v>
      </c>
      <c r="E115" s="101"/>
      <c r="F115" s="4" t="s">
        <v>315</v>
      </c>
      <c r="G115" s="4">
        <v>3455307</v>
      </c>
      <c r="H115" s="3" t="s">
        <v>285</v>
      </c>
      <c r="I115" s="4">
        <v>3208504</v>
      </c>
    </row>
    <row r="116" spans="2:9" x14ac:dyDescent="0.3">
      <c r="B116" s="4"/>
      <c r="E116" s="101"/>
      <c r="F116" s="4" t="s">
        <v>418</v>
      </c>
      <c r="G116" s="4" t="s">
        <v>418</v>
      </c>
      <c r="H116" s="3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590</v>
      </c>
      <c r="E117" s="101"/>
      <c r="F117" s="4" t="s">
        <v>277</v>
      </c>
      <c r="G117" s="4">
        <v>3088400</v>
      </c>
      <c r="H117" s="4" t="s">
        <v>317</v>
      </c>
      <c r="I117" s="4">
        <v>3200700</v>
      </c>
    </row>
    <row r="118" spans="2:9" x14ac:dyDescent="0.3">
      <c r="B118" s="44">
        <v>46046</v>
      </c>
      <c r="C118" s="3" t="s">
        <v>416</v>
      </c>
      <c r="D118" s="3" t="s">
        <v>590</v>
      </c>
      <c r="E118" s="101"/>
      <c r="F118" s="3" t="s">
        <v>289</v>
      </c>
      <c r="G118" s="4">
        <v>3068804</v>
      </c>
      <c r="H118" s="3" t="s">
        <v>311</v>
      </c>
      <c r="I118" s="4">
        <v>3209003</v>
      </c>
    </row>
    <row r="119" spans="2:9" x14ac:dyDescent="0.3">
      <c r="B119" s="44">
        <v>46046</v>
      </c>
      <c r="C119" s="3" t="s">
        <v>416</v>
      </c>
      <c r="D119" s="3" t="s">
        <v>590</v>
      </c>
      <c r="E119" s="101"/>
      <c r="F119" s="3" t="s">
        <v>449</v>
      </c>
      <c r="G119" s="4">
        <v>3961500</v>
      </c>
      <c r="H119" s="4" t="s">
        <v>284</v>
      </c>
      <c r="I119" s="4">
        <v>3210904</v>
      </c>
    </row>
    <row r="120" spans="2:9" x14ac:dyDescent="0.3">
      <c r="B120" s="44">
        <v>46046</v>
      </c>
      <c r="C120" s="3" t="s">
        <v>416</v>
      </c>
      <c r="D120" s="3" t="s">
        <v>590</v>
      </c>
      <c r="E120" s="101"/>
      <c r="F120" s="3" t="s">
        <v>322</v>
      </c>
      <c r="G120" s="4">
        <v>3207005</v>
      </c>
      <c r="H120" s="4" t="s">
        <v>291</v>
      </c>
      <c r="I120" s="4">
        <v>3196709</v>
      </c>
    </row>
    <row r="121" spans="2:9" x14ac:dyDescent="0.3">
      <c r="B121" s="44">
        <v>46046</v>
      </c>
      <c r="C121" s="3" t="s">
        <v>416</v>
      </c>
      <c r="D121" s="3" t="s">
        <v>590</v>
      </c>
      <c r="E121" s="101"/>
      <c r="F121" s="3" t="s">
        <v>594</v>
      </c>
      <c r="G121" s="4">
        <v>3196407</v>
      </c>
      <c r="H121" s="4" t="s">
        <v>315</v>
      </c>
      <c r="I121" s="4">
        <v>3455307</v>
      </c>
    </row>
    <row r="122" spans="2:9" x14ac:dyDescent="0.3">
      <c r="B122" s="44">
        <v>46046</v>
      </c>
      <c r="C122" s="3" t="s">
        <v>416</v>
      </c>
      <c r="D122" s="3" t="s">
        <v>590</v>
      </c>
      <c r="E122" s="101"/>
      <c r="F122" s="3" t="s">
        <v>285</v>
      </c>
      <c r="G122" s="4">
        <v>3208504</v>
      </c>
      <c r="H122" s="4" t="s">
        <v>321</v>
      </c>
      <c r="I122" s="4">
        <v>3209607</v>
      </c>
    </row>
    <row r="123" spans="2:9" x14ac:dyDescent="0.3">
      <c r="B123" s="4"/>
      <c r="E123" s="101"/>
      <c r="F123" s="4" t="s">
        <v>418</v>
      </c>
      <c r="G123" s="4" t="s">
        <v>418</v>
      </c>
      <c r="H123" s="3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590</v>
      </c>
      <c r="E124" s="101"/>
      <c r="F124" s="3" t="s">
        <v>449</v>
      </c>
      <c r="G124" s="4">
        <v>3961500</v>
      </c>
      <c r="H124" s="4" t="s">
        <v>289</v>
      </c>
      <c r="I124" s="4">
        <v>3068804</v>
      </c>
    </row>
    <row r="125" spans="2:9" x14ac:dyDescent="0.3">
      <c r="B125" s="44">
        <v>46053</v>
      </c>
      <c r="C125" s="3" t="s">
        <v>416</v>
      </c>
      <c r="D125" s="3" t="s">
        <v>590</v>
      </c>
      <c r="E125" s="101"/>
      <c r="F125" s="3" t="s">
        <v>291</v>
      </c>
      <c r="G125" s="4">
        <v>3196709</v>
      </c>
      <c r="H125" s="3" t="s">
        <v>277</v>
      </c>
      <c r="I125" s="4">
        <v>3088400</v>
      </c>
    </row>
    <row r="126" spans="2:9" x14ac:dyDescent="0.3">
      <c r="B126" s="44">
        <v>46053</v>
      </c>
      <c r="C126" s="3" t="s">
        <v>416</v>
      </c>
      <c r="D126" s="3" t="s">
        <v>590</v>
      </c>
      <c r="E126" s="101"/>
      <c r="F126" s="4" t="s">
        <v>321</v>
      </c>
      <c r="G126" s="4">
        <v>3209607</v>
      </c>
      <c r="H126" s="3" t="s">
        <v>594</v>
      </c>
      <c r="I126" s="4">
        <v>3196407</v>
      </c>
    </row>
    <row r="127" spans="2:9" x14ac:dyDescent="0.3">
      <c r="B127" s="44">
        <v>46053</v>
      </c>
      <c r="C127" s="3" t="s">
        <v>416</v>
      </c>
      <c r="D127" s="3" t="s">
        <v>590</v>
      </c>
      <c r="E127" s="101"/>
      <c r="F127" s="4" t="s">
        <v>311</v>
      </c>
      <c r="G127" s="4">
        <v>3209003</v>
      </c>
      <c r="H127" s="3" t="s">
        <v>285</v>
      </c>
      <c r="I127" s="4">
        <v>3208504</v>
      </c>
    </row>
    <row r="128" spans="2:9" x14ac:dyDescent="0.3">
      <c r="B128" s="44">
        <v>46053</v>
      </c>
      <c r="C128" s="3" t="s">
        <v>416</v>
      </c>
      <c r="D128" s="3" t="s">
        <v>590</v>
      </c>
      <c r="E128" s="101"/>
      <c r="F128" s="4" t="s">
        <v>284</v>
      </c>
      <c r="G128" s="4">
        <v>3210904</v>
      </c>
      <c r="H128" s="3" t="s">
        <v>317</v>
      </c>
      <c r="I128" s="4">
        <v>3200700</v>
      </c>
    </row>
    <row r="129" spans="2:9" x14ac:dyDescent="0.3">
      <c r="B129" s="44">
        <v>46053</v>
      </c>
      <c r="C129" s="3" t="s">
        <v>416</v>
      </c>
      <c r="D129" s="3" t="s">
        <v>590</v>
      </c>
      <c r="E129" s="101"/>
      <c r="F129" s="4" t="s">
        <v>315</v>
      </c>
      <c r="G129" s="4">
        <v>3455307</v>
      </c>
      <c r="H129" s="3" t="s">
        <v>322</v>
      </c>
      <c r="I129" s="4">
        <v>3207005</v>
      </c>
    </row>
    <row r="130" spans="2:9" x14ac:dyDescent="0.3">
      <c r="B130" s="4"/>
      <c r="E130" s="101"/>
      <c r="F130" s="4" t="s">
        <v>418</v>
      </c>
      <c r="G130" s="4" t="s">
        <v>418</v>
      </c>
    </row>
    <row r="131" spans="2:9" x14ac:dyDescent="0.3">
      <c r="B131" s="44">
        <v>46060</v>
      </c>
      <c r="C131" s="3" t="s">
        <v>416</v>
      </c>
      <c r="D131" s="3" t="s">
        <v>590</v>
      </c>
      <c r="E131" s="101"/>
      <c r="F131" s="4" t="s">
        <v>277</v>
      </c>
      <c r="G131" s="4">
        <v>3088400</v>
      </c>
      <c r="H131" s="4" t="s">
        <v>315</v>
      </c>
      <c r="I131" s="4">
        <v>3455307</v>
      </c>
    </row>
    <row r="132" spans="2:9" x14ac:dyDescent="0.3">
      <c r="B132" s="44">
        <v>46060</v>
      </c>
      <c r="C132" s="3" t="s">
        <v>416</v>
      </c>
      <c r="D132" s="3" t="s">
        <v>590</v>
      </c>
      <c r="E132" s="101"/>
      <c r="F132" s="4" t="s">
        <v>289</v>
      </c>
      <c r="G132" s="4">
        <v>3068804</v>
      </c>
      <c r="H132" s="4" t="s">
        <v>284</v>
      </c>
      <c r="I132" s="4">
        <v>3210904</v>
      </c>
    </row>
    <row r="133" spans="2:9" x14ac:dyDescent="0.3">
      <c r="B133" s="44">
        <v>46060</v>
      </c>
      <c r="C133" s="3" t="s">
        <v>416</v>
      </c>
      <c r="D133" s="3" t="s">
        <v>590</v>
      </c>
      <c r="E133" s="101"/>
      <c r="F133" s="3" t="s">
        <v>322</v>
      </c>
      <c r="G133" s="4">
        <v>3207005</v>
      </c>
      <c r="H133" s="3" t="s">
        <v>321</v>
      </c>
      <c r="I133" s="4">
        <v>3209607</v>
      </c>
    </row>
    <row r="134" spans="2:9" x14ac:dyDescent="0.3">
      <c r="B134" s="44">
        <v>46060</v>
      </c>
      <c r="C134" s="3" t="s">
        <v>416</v>
      </c>
      <c r="D134" s="3" t="s">
        <v>590</v>
      </c>
      <c r="E134" s="101"/>
      <c r="F134" s="3" t="s">
        <v>594</v>
      </c>
      <c r="G134" s="4">
        <v>3196407</v>
      </c>
      <c r="H134" s="4" t="s">
        <v>311</v>
      </c>
      <c r="I134" s="4">
        <v>3209003</v>
      </c>
    </row>
    <row r="135" spans="2:9" x14ac:dyDescent="0.3">
      <c r="B135" s="44">
        <v>46060</v>
      </c>
      <c r="C135" s="3" t="s">
        <v>416</v>
      </c>
      <c r="D135" s="3" t="s">
        <v>590</v>
      </c>
      <c r="E135" s="101"/>
      <c r="F135" s="3" t="s">
        <v>317</v>
      </c>
      <c r="G135" s="4">
        <v>3200700</v>
      </c>
      <c r="H135" s="3" t="s">
        <v>291</v>
      </c>
      <c r="I135" s="4">
        <v>3196709</v>
      </c>
    </row>
    <row r="136" spans="2:9" x14ac:dyDescent="0.3">
      <c r="B136" s="44">
        <v>46060</v>
      </c>
      <c r="C136" s="3" t="s">
        <v>416</v>
      </c>
      <c r="D136" s="3" t="s">
        <v>590</v>
      </c>
      <c r="E136" s="101"/>
      <c r="F136" s="3" t="s">
        <v>285</v>
      </c>
      <c r="G136" s="4">
        <v>3208504</v>
      </c>
      <c r="H136" s="4" t="s">
        <v>449</v>
      </c>
      <c r="I136" s="4">
        <v>3961500</v>
      </c>
    </row>
    <row r="137" spans="2:9" x14ac:dyDescent="0.3">
      <c r="B137" s="4"/>
      <c r="E137" s="101"/>
      <c r="F137" s="4" t="s">
        <v>418</v>
      </c>
      <c r="G137" s="4" t="s">
        <v>418</v>
      </c>
      <c r="H137" s="3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590</v>
      </c>
      <c r="E138" s="101"/>
      <c r="F138" s="3" t="s">
        <v>289</v>
      </c>
      <c r="G138" s="4">
        <v>3068804</v>
      </c>
      <c r="H138" s="4" t="s">
        <v>285</v>
      </c>
      <c r="I138" s="4">
        <v>3208504</v>
      </c>
    </row>
    <row r="139" spans="2:9" x14ac:dyDescent="0.3">
      <c r="B139" s="44">
        <v>46074</v>
      </c>
      <c r="C139" s="3" t="s">
        <v>416</v>
      </c>
      <c r="D139" s="3" t="s">
        <v>590</v>
      </c>
      <c r="E139" s="101"/>
      <c r="F139" s="3" t="s">
        <v>449</v>
      </c>
      <c r="G139" s="4">
        <v>3961500</v>
      </c>
      <c r="H139" s="3" t="s">
        <v>594</v>
      </c>
      <c r="I139" s="4">
        <v>3196407</v>
      </c>
    </row>
    <row r="140" spans="2:9" x14ac:dyDescent="0.3">
      <c r="B140" s="44">
        <v>46074</v>
      </c>
      <c r="C140" s="3" t="s">
        <v>416</v>
      </c>
      <c r="D140" s="3" t="s">
        <v>590</v>
      </c>
      <c r="E140" s="101"/>
      <c r="F140" s="3" t="s">
        <v>321</v>
      </c>
      <c r="G140" s="4">
        <v>3209607</v>
      </c>
      <c r="H140" s="3" t="s">
        <v>277</v>
      </c>
      <c r="I140" s="4">
        <v>3088400</v>
      </c>
    </row>
    <row r="141" spans="2:9" x14ac:dyDescent="0.3">
      <c r="B141" s="44">
        <v>46074</v>
      </c>
      <c r="C141" s="3" t="s">
        <v>416</v>
      </c>
      <c r="D141" s="3" t="s">
        <v>590</v>
      </c>
      <c r="E141" s="101"/>
      <c r="F141" s="4" t="s">
        <v>311</v>
      </c>
      <c r="G141" s="4">
        <v>3209003</v>
      </c>
      <c r="H141" s="4" t="s">
        <v>322</v>
      </c>
      <c r="I141" s="4">
        <v>3207005</v>
      </c>
    </row>
    <row r="142" spans="2:9" x14ac:dyDescent="0.3">
      <c r="B142" s="44">
        <v>46074</v>
      </c>
      <c r="C142" s="3" t="s">
        <v>416</v>
      </c>
      <c r="D142" s="3" t="s">
        <v>590</v>
      </c>
      <c r="E142" s="101"/>
      <c r="F142" s="4" t="s">
        <v>284</v>
      </c>
      <c r="G142" s="4">
        <v>3210904</v>
      </c>
      <c r="H142" s="3" t="s">
        <v>291</v>
      </c>
      <c r="I142" s="4">
        <v>3196709</v>
      </c>
    </row>
    <row r="143" spans="2:9" x14ac:dyDescent="0.3">
      <c r="B143" s="44">
        <v>46074</v>
      </c>
      <c r="C143" s="3" t="s">
        <v>416</v>
      </c>
      <c r="D143" s="3" t="s">
        <v>590</v>
      </c>
      <c r="E143" s="101"/>
      <c r="F143" s="4" t="s">
        <v>315</v>
      </c>
      <c r="G143" s="4">
        <v>3455307</v>
      </c>
      <c r="H143" s="3" t="s">
        <v>317</v>
      </c>
      <c r="I143" s="4">
        <v>3200700</v>
      </c>
    </row>
    <row r="144" spans="2:9" x14ac:dyDescent="0.3">
      <c r="B144" s="4"/>
      <c r="E144" s="101"/>
      <c r="F144" s="4" t="s">
        <v>418</v>
      </c>
      <c r="G144" s="4" t="s">
        <v>418</v>
      </c>
      <c r="H144" s="3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590</v>
      </c>
      <c r="E145" s="101"/>
      <c r="F145" s="4" t="s">
        <v>277</v>
      </c>
      <c r="G145" s="4">
        <v>3088400</v>
      </c>
      <c r="H145" s="4" t="s">
        <v>311</v>
      </c>
      <c r="I145" s="4">
        <v>3209003</v>
      </c>
    </row>
    <row r="146" spans="2:9" x14ac:dyDescent="0.3">
      <c r="B146" s="44">
        <v>46081</v>
      </c>
      <c r="C146" s="3" t="s">
        <v>416</v>
      </c>
      <c r="D146" s="3" t="s">
        <v>590</v>
      </c>
      <c r="E146" s="101"/>
      <c r="F146" s="4" t="s">
        <v>291</v>
      </c>
      <c r="G146" s="4">
        <v>3196709</v>
      </c>
      <c r="H146" s="4" t="s">
        <v>315</v>
      </c>
      <c r="I146" s="4">
        <v>3455307</v>
      </c>
    </row>
    <row r="147" spans="2:9" x14ac:dyDescent="0.3">
      <c r="B147" s="44">
        <v>46081</v>
      </c>
      <c r="C147" s="3" t="s">
        <v>416</v>
      </c>
      <c r="D147" s="3" t="s">
        <v>590</v>
      </c>
      <c r="E147" s="101"/>
      <c r="F147" s="4" t="s">
        <v>322</v>
      </c>
      <c r="G147" s="4">
        <v>3207005</v>
      </c>
      <c r="H147" s="4" t="s">
        <v>449</v>
      </c>
      <c r="I147" s="4">
        <v>3961500</v>
      </c>
    </row>
    <row r="148" spans="2:9" x14ac:dyDescent="0.3">
      <c r="B148" s="44">
        <v>46081</v>
      </c>
      <c r="C148" s="3" t="s">
        <v>416</v>
      </c>
      <c r="D148" s="3" t="s">
        <v>590</v>
      </c>
      <c r="E148" s="101"/>
      <c r="F148" s="3" t="s">
        <v>594</v>
      </c>
      <c r="G148" s="4">
        <v>3196407</v>
      </c>
      <c r="H148" s="3" t="s">
        <v>289</v>
      </c>
      <c r="I148" s="4">
        <v>3068804</v>
      </c>
    </row>
    <row r="149" spans="2:9" x14ac:dyDescent="0.3">
      <c r="B149" s="44">
        <v>46081</v>
      </c>
      <c r="C149" s="3" t="s">
        <v>416</v>
      </c>
      <c r="D149" s="3" t="s">
        <v>590</v>
      </c>
      <c r="E149" s="101"/>
      <c r="F149" s="3" t="s">
        <v>317</v>
      </c>
      <c r="G149" s="4">
        <v>3200700</v>
      </c>
      <c r="H149" s="3" t="s">
        <v>321</v>
      </c>
      <c r="I149" s="4">
        <v>3209607</v>
      </c>
    </row>
    <row r="150" spans="2:9" x14ac:dyDescent="0.3">
      <c r="B150" s="44">
        <v>46081</v>
      </c>
      <c r="C150" s="3" t="s">
        <v>416</v>
      </c>
      <c r="D150" s="3" t="s">
        <v>590</v>
      </c>
      <c r="E150" s="101"/>
      <c r="F150" s="3" t="s">
        <v>285</v>
      </c>
      <c r="G150" s="4">
        <v>3208504</v>
      </c>
      <c r="H150" s="3" t="s">
        <v>284</v>
      </c>
      <c r="I150" s="4">
        <v>3210904</v>
      </c>
    </row>
    <row r="151" spans="2:9" x14ac:dyDescent="0.3">
      <c r="B151" s="4"/>
      <c r="E151" s="101"/>
      <c r="F151" s="4"/>
      <c r="G151" s="4" t="s">
        <v>418</v>
      </c>
      <c r="H151" s="3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590</v>
      </c>
      <c r="E152" s="101"/>
      <c r="F152" s="3" t="s">
        <v>289</v>
      </c>
      <c r="G152" s="4">
        <v>3068804</v>
      </c>
      <c r="H152" s="4" t="s">
        <v>322</v>
      </c>
      <c r="I152" s="4">
        <v>3207005</v>
      </c>
    </row>
    <row r="153" spans="2:9" x14ac:dyDescent="0.3">
      <c r="B153" s="44">
        <v>46088</v>
      </c>
      <c r="C153" s="3" t="s">
        <v>416</v>
      </c>
      <c r="D153" s="3" t="s">
        <v>590</v>
      </c>
      <c r="E153" s="101"/>
      <c r="F153" s="3" t="s">
        <v>449</v>
      </c>
      <c r="G153" s="4">
        <v>3961500</v>
      </c>
      <c r="H153" s="3" t="s">
        <v>277</v>
      </c>
      <c r="I153" s="4">
        <v>3088400</v>
      </c>
    </row>
    <row r="154" spans="2:9" x14ac:dyDescent="0.3">
      <c r="B154" s="44">
        <v>46088</v>
      </c>
      <c r="C154" s="3" t="s">
        <v>416</v>
      </c>
      <c r="D154" s="3" t="s">
        <v>590</v>
      </c>
      <c r="E154" s="101"/>
      <c r="F154" s="3" t="s">
        <v>321</v>
      </c>
      <c r="G154" s="4">
        <v>3209607</v>
      </c>
      <c r="H154" s="3" t="s">
        <v>291</v>
      </c>
      <c r="I154" s="4">
        <v>3196709</v>
      </c>
    </row>
    <row r="155" spans="2:9" x14ac:dyDescent="0.3">
      <c r="B155" s="44">
        <v>46088</v>
      </c>
      <c r="C155" s="3" t="s">
        <v>416</v>
      </c>
      <c r="D155" s="3" t="s">
        <v>590</v>
      </c>
      <c r="E155" s="101"/>
      <c r="F155" s="4" t="s">
        <v>285</v>
      </c>
      <c r="G155" s="4">
        <v>3208504</v>
      </c>
      <c r="H155" s="4" t="s">
        <v>594</v>
      </c>
      <c r="I155" s="4">
        <v>3196407</v>
      </c>
    </row>
    <row r="156" spans="2:9" x14ac:dyDescent="0.3">
      <c r="B156" s="44">
        <v>46088</v>
      </c>
      <c r="C156" s="3" t="s">
        <v>416</v>
      </c>
      <c r="D156" s="3" t="s">
        <v>590</v>
      </c>
      <c r="E156" s="101"/>
      <c r="F156" s="4" t="s">
        <v>311</v>
      </c>
      <c r="G156" s="4">
        <v>3209003</v>
      </c>
      <c r="H156" s="4" t="s">
        <v>317</v>
      </c>
      <c r="I156" s="4">
        <v>3200700</v>
      </c>
    </row>
    <row r="157" spans="2:9" x14ac:dyDescent="0.3">
      <c r="B157" s="44">
        <v>46088</v>
      </c>
      <c r="C157" s="3" t="s">
        <v>416</v>
      </c>
      <c r="D157" s="3" t="s">
        <v>590</v>
      </c>
      <c r="E157" s="101"/>
      <c r="F157" s="3" t="s">
        <v>284</v>
      </c>
      <c r="G157" s="4">
        <v>3210904</v>
      </c>
      <c r="H157" s="3" t="s">
        <v>315</v>
      </c>
      <c r="I157" s="4">
        <v>3455307</v>
      </c>
    </row>
    <row r="158" spans="2:9" x14ac:dyDescent="0.3">
      <c r="B158" s="4"/>
      <c r="E158" s="101"/>
      <c r="F158" s="4" t="s">
        <v>418</v>
      </c>
      <c r="G158" s="4" t="s">
        <v>418</v>
      </c>
      <c r="H158" s="3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590</v>
      </c>
      <c r="E159" s="101"/>
      <c r="F159" s="4" t="s">
        <v>277</v>
      </c>
      <c r="G159" s="4">
        <v>3088400</v>
      </c>
      <c r="H159" s="3" t="s">
        <v>289</v>
      </c>
      <c r="I159" s="4">
        <v>3068804</v>
      </c>
    </row>
    <row r="160" spans="2:9" x14ac:dyDescent="0.3">
      <c r="B160" s="44">
        <v>46095</v>
      </c>
      <c r="C160" s="3" t="s">
        <v>416</v>
      </c>
      <c r="D160" s="3" t="s">
        <v>590</v>
      </c>
      <c r="E160" s="101"/>
      <c r="F160" s="4" t="s">
        <v>291</v>
      </c>
      <c r="G160" s="4">
        <v>3196709</v>
      </c>
      <c r="H160" s="3" t="s">
        <v>311</v>
      </c>
      <c r="I160" s="4">
        <v>3209003</v>
      </c>
    </row>
    <row r="161" spans="2:9" x14ac:dyDescent="0.3">
      <c r="B161" s="44">
        <v>46095</v>
      </c>
      <c r="C161" s="3" t="s">
        <v>416</v>
      </c>
      <c r="D161" s="3" t="s">
        <v>590</v>
      </c>
      <c r="E161" s="101"/>
      <c r="F161" s="4" t="s">
        <v>322</v>
      </c>
      <c r="G161" s="4">
        <v>3207005</v>
      </c>
      <c r="H161" s="4" t="s">
        <v>285</v>
      </c>
      <c r="I161" s="4">
        <v>3208504</v>
      </c>
    </row>
    <row r="162" spans="2:9" x14ac:dyDescent="0.3">
      <c r="B162" s="44">
        <v>46095</v>
      </c>
      <c r="C162" s="3" t="s">
        <v>416</v>
      </c>
      <c r="D162" s="3" t="s">
        <v>590</v>
      </c>
      <c r="E162" s="101"/>
      <c r="F162" s="4" t="s">
        <v>594</v>
      </c>
      <c r="G162" s="4">
        <v>3196407</v>
      </c>
      <c r="H162" s="4" t="s">
        <v>284</v>
      </c>
      <c r="I162" s="4">
        <v>3210904</v>
      </c>
    </row>
    <row r="163" spans="2:9" x14ac:dyDescent="0.3">
      <c r="B163" s="44">
        <v>46095</v>
      </c>
      <c r="C163" s="3" t="s">
        <v>416</v>
      </c>
      <c r="D163" s="3" t="s">
        <v>590</v>
      </c>
      <c r="E163" s="101"/>
      <c r="F163" s="3" t="s">
        <v>317</v>
      </c>
      <c r="G163" s="4">
        <v>3200700</v>
      </c>
      <c r="H163" s="3" t="s">
        <v>449</v>
      </c>
      <c r="I163" s="4">
        <v>3961500</v>
      </c>
    </row>
    <row r="164" spans="2:9" x14ac:dyDescent="0.3">
      <c r="B164" s="44">
        <v>46095</v>
      </c>
      <c r="C164" s="3" t="s">
        <v>416</v>
      </c>
      <c r="D164" s="3" t="s">
        <v>590</v>
      </c>
      <c r="E164" s="101"/>
      <c r="F164" s="3" t="s">
        <v>315</v>
      </c>
      <c r="G164" s="4">
        <v>3455307</v>
      </c>
      <c r="H164" s="3" t="s">
        <v>321</v>
      </c>
      <c r="I164" s="4">
        <v>3209607</v>
      </c>
    </row>
    <row r="165" spans="2:9" x14ac:dyDescent="0.3">
      <c r="B165" s="4"/>
      <c r="E165" s="101"/>
      <c r="F165" s="4" t="s">
        <v>418</v>
      </c>
      <c r="G165" s="4" t="s">
        <v>418</v>
      </c>
      <c r="H165" s="3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590</v>
      </c>
      <c r="E166" s="101"/>
      <c r="F166" s="3" t="s">
        <v>289</v>
      </c>
      <c r="G166" s="4">
        <v>3068804</v>
      </c>
      <c r="H166" s="4" t="s">
        <v>317</v>
      </c>
      <c r="I166" s="4">
        <v>3200700</v>
      </c>
    </row>
    <row r="167" spans="2:9" x14ac:dyDescent="0.3">
      <c r="B167" s="44">
        <v>46102</v>
      </c>
      <c r="C167" s="3" t="s">
        <v>416</v>
      </c>
      <c r="D167" s="3" t="s">
        <v>590</v>
      </c>
      <c r="E167" s="101"/>
      <c r="F167" s="3" t="s">
        <v>449</v>
      </c>
      <c r="G167" s="4">
        <v>3961500</v>
      </c>
      <c r="H167" s="4" t="s">
        <v>291</v>
      </c>
      <c r="I167" s="4">
        <v>3196709</v>
      </c>
    </row>
    <row r="168" spans="2:9" x14ac:dyDescent="0.3">
      <c r="B168" s="44">
        <v>46102</v>
      </c>
      <c r="C168" s="3" t="s">
        <v>416</v>
      </c>
      <c r="D168" s="3" t="s">
        <v>590</v>
      </c>
      <c r="E168" s="101"/>
      <c r="F168" s="3" t="s">
        <v>594</v>
      </c>
      <c r="G168" s="4">
        <v>3196407</v>
      </c>
      <c r="H168" s="4" t="s">
        <v>322</v>
      </c>
      <c r="I168" s="4">
        <v>3207005</v>
      </c>
    </row>
    <row r="169" spans="2:9" x14ac:dyDescent="0.3">
      <c r="B169" s="44">
        <v>46102</v>
      </c>
      <c r="C169" s="3" t="s">
        <v>416</v>
      </c>
      <c r="D169" s="3" t="s">
        <v>590</v>
      </c>
      <c r="E169" s="101"/>
      <c r="F169" s="4" t="s">
        <v>285</v>
      </c>
      <c r="G169" s="4">
        <v>3208504</v>
      </c>
      <c r="H169" s="4" t="s">
        <v>277</v>
      </c>
      <c r="I169" s="4">
        <v>3088400</v>
      </c>
    </row>
    <row r="170" spans="2:9" x14ac:dyDescent="0.3">
      <c r="B170" s="44">
        <v>46102</v>
      </c>
      <c r="C170" s="3" t="s">
        <v>416</v>
      </c>
      <c r="D170" s="3" t="s">
        <v>590</v>
      </c>
      <c r="E170" s="101"/>
      <c r="F170" s="3" t="s">
        <v>311</v>
      </c>
      <c r="G170" s="4">
        <v>3209003</v>
      </c>
      <c r="H170" s="3" t="s">
        <v>315</v>
      </c>
      <c r="I170" s="4">
        <v>3455307</v>
      </c>
    </row>
    <row r="171" spans="2:9" x14ac:dyDescent="0.3">
      <c r="B171" s="44">
        <v>46102</v>
      </c>
      <c r="C171" s="3" t="s">
        <v>416</v>
      </c>
      <c r="D171" s="3" t="s">
        <v>590</v>
      </c>
      <c r="E171" s="101"/>
      <c r="F171" s="3" t="s">
        <v>284</v>
      </c>
      <c r="G171" s="4">
        <v>3210904</v>
      </c>
      <c r="H171" s="3" t="s">
        <v>321</v>
      </c>
      <c r="I171" s="4">
        <v>3209607</v>
      </c>
    </row>
    <row r="172" spans="2:9" x14ac:dyDescent="0.3">
      <c r="B172" s="4"/>
      <c r="E172" s="101"/>
      <c r="F172" s="4"/>
      <c r="G172" s="4" t="s">
        <v>418</v>
      </c>
      <c r="H172" s="3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590</v>
      </c>
      <c r="E173" s="101"/>
      <c r="F173" s="4" t="s">
        <v>277</v>
      </c>
      <c r="G173" s="4">
        <v>3088400</v>
      </c>
      <c r="H173" s="3" t="s">
        <v>594</v>
      </c>
      <c r="I173" s="4">
        <v>3196407</v>
      </c>
    </row>
    <row r="174" spans="2:9" x14ac:dyDescent="0.3">
      <c r="B174" s="44">
        <v>46109</v>
      </c>
      <c r="C174" s="3" t="s">
        <v>416</v>
      </c>
      <c r="D174" s="3" t="s">
        <v>590</v>
      </c>
      <c r="E174" s="101"/>
      <c r="F174" s="4" t="s">
        <v>291</v>
      </c>
      <c r="G174" s="4">
        <v>3196709</v>
      </c>
      <c r="H174" s="3" t="s">
        <v>289</v>
      </c>
      <c r="I174" s="4">
        <v>3068804</v>
      </c>
    </row>
    <row r="175" spans="2:9" x14ac:dyDescent="0.3">
      <c r="B175" s="44">
        <v>46109</v>
      </c>
      <c r="C175" s="3" t="s">
        <v>416</v>
      </c>
      <c r="D175" s="3" t="s">
        <v>590</v>
      </c>
      <c r="E175" s="101"/>
      <c r="F175" s="4" t="s">
        <v>322</v>
      </c>
      <c r="G175" s="4">
        <v>3207005</v>
      </c>
      <c r="H175" s="3" t="s">
        <v>284</v>
      </c>
      <c r="I175" s="4">
        <v>3210904</v>
      </c>
    </row>
    <row r="176" spans="2:9" x14ac:dyDescent="0.3">
      <c r="B176" s="44">
        <v>46109</v>
      </c>
      <c r="C176" s="3" t="s">
        <v>416</v>
      </c>
      <c r="D176" s="3" t="s">
        <v>590</v>
      </c>
      <c r="E176" s="101"/>
      <c r="F176" s="4" t="s">
        <v>321</v>
      </c>
      <c r="G176" s="4">
        <v>3209607</v>
      </c>
      <c r="H176" s="3" t="s">
        <v>311</v>
      </c>
      <c r="I176" s="4">
        <v>3209003</v>
      </c>
    </row>
    <row r="177" spans="2:9" x14ac:dyDescent="0.3">
      <c r="B177" s="44">
        <v>46109</v>
      </c>
      <c r="C177" s="3" t="s">
        <v>416</v>
      </c>
      <c r="D177" s="3" t="s">
        <v>590</v>
      </c>
      <c r="E177" s="101"/>
      <c r="F177" s="4" t="s">
        <v>317</v>
      </c>
      <c r="G177" s="4">
        <v>3200700</v>
      </c>
      <c r="H177" s="4" t="s">
        <v>285</v>
      </c>
      <c r="I177" s="4">
        <v>3208504</v>
      </c>
    </row>
    <row r="178" spans="2:9" x14ac:dyDescent="0.3">
      <c r="B178" s="44">
        <v>46109</v>
      </c>
      <c r="C178" s="3" t="s">
        <v>416</v>
      </c>
      <c r="D178" s="3" t="s">
        <v>590</v>
      </c>
      <c r="E178" s="101"/>
      <c r="F178" s="3" t="s">
        <v>315</v>
      </c>
      <c r="G178" s="4">
        <v>3455307</v>
      </c>
      <c r="H178" s="3" t="s">
        <v>449</v>
      </c>
      <c r="I178" s="4">
        <v>3961500</v>
      </c>
    </row>
  </sheetData>
  <mergeCells count="1">
    <mergeCell ref="K5:K6"/>
  </mergeCells>
  <conditionalFormatting sqref="B9">
    <cfRule type="duplicateValues" dxfId="4954" priority="272"/>
  </conditionalFormatting>
  <conditionalFormatting sqref="B10:B11 B14:B15 B18:B21">
    <cfRule type="duplicateValues" dxfId="4953" priority="275"/>
  </conditionalFormatting>
  <conditionalFormatting sqref="F1:F1048576">
    <cfRule type="containsText" dxfId="4952" priority="4" operator="containsText" text="c$I$26">
      <formula>NOT(ISERROR(SEARCH("c$I$26",F1)))</formula>
    </cfRule>
    <cfRule type="containsText" dxfId="4951" priority="5" operator="containsText" text="o$K$24">
      <formula>NOT(ISERROR(SEARCH("o$K$24",F1)))</formula>
    </cfRule>
  </conditionalFormatting>
  <conditionalFormatting sqref="F26:F31">
    <cfRule type="duplicateValues" dxfId="4950" priority="18"/>
  </conditionalFormatting>
  <conditionalFormatting sqref="F33:G33">
    <cfRule type="duplicateValues" dxfId="4949" priority="250"/>
  </conditionalFormatting>
  <conditionalFormatting sqref="F34:G34">
    <cfRule type="duplicateValues" dxfId="4948" priority="128"/>
  </conditionalFormatting>
  <conditionalFormatting sqref="F35:G35">
    <cfRule type="duplicateValues" dxfId="4947" priority="106"/>
  </conditionalFormatting>
  <conditionalFormatting sqref="F36:G36">
    <cfRule type="duplicateValues" dxfId="4946" priority="85"/>
  </conditionalFormatting>
  <conditionalFormatting sqref="F37:G37">
    <cfRule type="duplicateValues" dxfId="4945" priority="43"/>
  </conditionalFormatting>
  <conditionalFormatting sqref="F38:G38">
    <cfRule type="duplicateValues" dxfId="4944" priority="64"/>
  </conditionalFormatting>
  <conditionalFormatting sqref="F40:G40">
    <cfRule type="duplicateValues" dxfId="4943" priority="249"/>
  </conditionalFormatting>
  <conditionalFormatting sqref="F41:G41">
    <cfRule type="duplicateValues" dxfId="4942" priority="231"/>
  </conditionalFormatting>
  <conditionalFormatting sqref="F42:G42">
    <cfRule type="duplicateValues" dxfId="4941" priority="210"/>
  </conditionalFormatting>
  <conditionalFormatting sqref="F43:G43">
    <cfRule type="duplicateValues" dxfId="4940" priority="190"/>
  </conditionalFormatting>
  <conditionalFormatting sqref="F44:G44">
    <cfRule type="duplicateValues" dxfId="4939" priority="169"/>
  </conditionalFormatting>
  <conditionalFormatting sqref="F45:G45">
    <cfRule type="duplicateValues" dxfId="4938" priority="148"/>
  </conditionalFormatting>
  <conditionalFormatting sqref="F47:G47">
    <cfRule type="duplicateValues" dxfId="4937" priority="268"/>
  </conditionalFormatting>
  <conditionalFormatting sqref="F48:G48">
    <cfRule type="duplicateValues" dxfId="4936" priority="230"/>
  </conditionalFormatting>
  <conditionalFormatting sqref="F49:G49">
    <cfRule type="duplicateValues" dxfId="4935" priority="104"/>
  </conditionalFormatting>
  <conditionalFormatting sqref="F50:G50">
    <cfRule type="duplicateValues" dxfId="4934" priority="83"/>
  </conditionalFormatting>
  <conditionalFormatting sqref="F51:G51">
    <cfRule type="duplicateValues" dxfId="4933" priority="41"/>
  </conditionalFormatting>
  <conditionalFormatting sqref="F52:G52">
    <cfRule type="duplicateValues" dxfId="4932" priority="62"/>
  </conditionalFormatting>
  <conditionalFormatting sqref="F54:G54">
    <cfRule type="duplicateValues" dxfId="4931" priority="248"/>
  </conditionalFormatting>
  <conditionalFormatting sqref="F55:G55">
    <cfRule type="duplicateValues" dxfId="4930" priority="124"/>
  </conditionalFormatting>
  <conditionalFormatting sqref="F56:G56">
    <cfRule type="duplicateValues" dxfId="4929" priority="208"/>
  </conditionalFormatting>
  <conditionalFormatting sqref="F57:G57">
    <cfRule type="duplicateValues" dxfId="4928" priority="188"/>
  </conditionalFormatting>
  <conditionalFormatting sqref="F58:G58">
    <cfRule type="duplicateValues" dxfId="4927" priority="167"/>
  </conditionalFormatting>
  <conditionalFormatting sqref="F59:G59">
    <cfRule type="duplicateValues" dxfId="4926" priority="146"/>
  </conditionalFormatting>
  <conditionalFormatting sqref="F61:G61">
    <cfRule type="duplicateValues" dxfId="4925" priority="266"/>
  </conditionalFormatting>
  <conditionalFormatting sqref="F62:G62">
    <cfRule type="duplicateValues" dxfId="4924" priority="228"/>
  </conditionalFormatting>
  <conditionalFormatting sqref="F63:G63">
    <cfRule type="duplicateValues" dxfId="4923" priority="207"/>
  </conditionalFormatting>
  <conditionalFormatting sqref="F64:G64">
    <cfRule type="duplicateValues" dxfId="4922" priority="81"/>
  </conditionalFormatting>
  <conditionalFormatting sqref="F65:G65">
    <cfRule type="duplicateValues" dxfId="4921" priority="39"/>
  </conditionalFormatting>
  <conditionalFormatting sqref="F66:G66">
    <cfRule type="duplicateValues" dxfId="4920" priority="60"/>
  </conditionalFormatting>
  <conditionalFormatting sqref="F68:G68">
    <cfRule type="duplicateValues" dxfId="4919" priority="246"/>
  </conditionalFormatting>
  <conditionalFormatting sqref="F69:G69">
    <cfRule type="duplicateValues" dxfId="4918" priority="122"/>
  </conditionalFormatting>
  <conditionalFormatting sqref="F70:G70">
    <cfRule type="duplicateValues" dxfId="4917" priority="101"/>
  </conditionalFormatting>
  <conditionalFormatting sqref="F71:G71">
    <cfRule type="duplicateValues" dxfId="4916" priority="186"/>
  </conditionalFormatting>
  <conditionalFormatting sqref="F72:G72">
    <cfRule type="duplicateValues" dxfId="4915" priority="165"/>
  </conditionalFormatting>
  <conditionalFormatting sqref="F73:G73">
    <cfRule type="duplicateValues" dxfId="4914" priority="144"/>
  </conditionalFormatting>
  <conditionalFormatting sqref="F75:G75">
    <cfRule type="duplicateValues" dxfId="4913" priority="264"/>
  </conditionalFormatting>
  <conditionalFormatting sqref="F76:G76">
    <cfRule type="duplicateValues" dxfId="4912" priority="226"/>
  </conditionalFormatting>
  <conditionalFormatting sqref="F77:G77">
    <cfRule type="duplicateValues" dxfId="4911" priority="205"/>
  </conditionalFormatting>
  <conditionalFormatting sqref="F78:G78">
    <cfRule type="duplicateValues" dxfId="4910" priority="185"/>
  </conditionalFormatting>
  <conditionalFormatting sqref="F79:G79">
    <cfRule type="duplicateValues" dxfId="4909" priority="79"/>
  </conditionalFormatting>
  <conditionalFormatting sqref="F80:G80">
    <cfRule type="duplicateValues" dxfId="4908" priority="58"/>
  </conditionalFormatting>
  <conditionalFormatting sqref="F82:G82">
    <cfRule type="duplicateValues" dxfId="4907" priority="244"/>
  </conditionalFormatting>
  <conditionalFormatting sqref="F83:G83">
    <cfRule type="duplicateValues" dxfId="4906" priority="120"/>
  </conditionalFormatting>
  <conditionalFormatting sqref="F84:G84">
    <cfRule type="duplicateValues" dxfId="4905" priority="99"/>
  </conditionalFormatting>
  <conditionalFormatting sqref="F85:G85">
    <cfRule type="duplicateValues" dxfId="4904" priority="163"/>
  </conditionalFormatting>
  <conditionalFormatting sqref="F86:G86">
    <cfRule type="duplicateValues" dxfId="4903" priority="142"/>
  </conditionalFormatting>
  <conditionalFormatting sqref="F87:G87">
    <cfRule type="duplicateValues" dxfId="4902" priority="36"/>
  </conditionalFormatting>
  <conditionalFormatting sqref="F89:G89">
    <cfRule type="duplicateValues" dxfId="4901" priority="262"/>
  </conditionalFormatting>
  <conditionalFormatting sqref="F90:G90">
    <cfRule type="duplicateValues" dxfId="4900" priority="224"/>
  </conditionalFormatting>
  <conditionalFormatting sqref="F91:G91">
    <cfRule type="duplicateValues" dxfId="4899" priority="22"/>
  </conditionalFormatting>
  <conditionalFormatting sqref="F92:G92">
    <cfRule type="duplicateValues" dxfId="4898" priority="183"/>
  </conditionalFormatting>
  <conditionalFormatting sqref="F93:G93">
    <cfRule type="duplicateValues" dxfId="4897" priority="162"/>
  </conditionalFormatting>
  <conditionalFormatting sqref="F94:G94">
    <cfRule type="duplicateValues" dxfId="4896" priority="77"/>
  </conditionalFormatting>
  <conditionalFormatting sqref="F96:G96">
    <cfRule type="duplicateValues" dxfId="4895" priority="242"/>
  </conditionalFormatting>
  <conditionalFormatting sqref="F97:G97">
    <cfRule type="duplicateValues" dxfId="4894" priority="118"/>
  </conditionalFormatting>
  <conditionalFormatting sqref="F98:G98">
    <cfRule type="duplicateValues" dxfId="4893" priority="97"/>
  </conditionalFormatting>
  <conditionalFormatting sqref="F99:G99">
    <cfRule type="duplicateValues" dxfId="4892" priority="140"/>
  </conditionalFormatting>
  <conditionalFormatting sqref="F100:G100">
    <cfRule type="duplicateValues" dxfId="4891" priority="34"/>
  </conditionalFormatting>
  <conditionalFormatting sqref="F101:G101">
    <cfRule type="duplicateValues" dxfId="4890" priority="55"/>
  </conditionalFormatting>
  <conditionalFormatting sqref="F103:G103">
    <cfRule type="duplicateValues" dxfId="4889" priority="241"/>
  </conditionalFormatting>
  <conditionalFormatting sqref="F104:G104">
    <cfRule type="duplicateValues" dxfId="4888" priority="117"/>
  </conditionalFormatting>
  <conditionalFormatting sqref="F105:G105">
    <cfRule type="duplicateValues" dxfId="4887" priority="96"/>
  </conditionalFormatting>
  <conditionalFormatting sqref="F106:G106">
    <cfRule type="duplicateValues" dxfId="4886" priority="75"/>
  </conditionalFormatting>
  <conditionalFormatting sqref="F107:G107">
    <cfRule type="duplicateValues" dxfId="4885" priority="33"/>
  </conditionalFormatting>
  <conditionalFormatting sqref="F108:G108">
    <cfRule type="duplicateValues" dxfId="4884" priority="54"/>
  </conditionalFormatting>
  <conditionalFormatting sqref="F110:G110">
    <cfRule type="duplicateValues" dxfId="4883" priority="261"/>
  </conditionalFormatting>
  <conditionalFormatting sqref="F111:G111">
    <cfRule type="duplicateValues" dxfId="4882" priority="220"/>
  </conditionalFormatting>
  <conditionalFormatting sqref="F112:G112">
    <cfRule type="duplicateValues" dxfId="4881" priority="201"/>
  </conditionalFormatting>
  <conditionalFormatting sqref="F113:G113">
    <cfRule type="duplicateValues" dxfId="4880" priority="180"/>
  </conditionalFormatting>
  <conditionalFormatting sqref="F114:G114">
    <cfRule type="duplicateValues" dxfId="4879" priority="159"/>
  </conditionalFormatting>
  <conditionalFormatting sqref="F115:G115">
    <cfRule type="duplicateValues" dxfId="4878" priority="138"/>
  </conditionalFormatting>
  <conditionalFormatting sqref="F117:G117">
    <cfRule type="duplicateValues" dxfId="4877" priority="259"/>
  </conditionalFormatting>
  <conditionalFormatting sqref="F118:G118">
    <cfRule type="duplicateValues" dxfId="4876" priority="115"/>
  </conditionalFormatting>
  <conditionalFormatting sqref="F119:G119">
    <cfRule type="duplicateValues" dxfId="4875" priority="94"/>
  </conditionalFormatting>
  <conditionalFormatting sqref="F120:G120">
    <cfRule type="duplicateValues" dxfId="4874" priority="73"/>
  </conditionalFormatting>
  <conditionalFormatting sqref="F121:G121">
    <cfRule type="duplicateValues" dxfId="4873" priority="31"/>
  </conditionalFormatting>
  <conditionalFormatting sqref="F122:G122">
    <cfRule type="duplicateValues" dxfId="4872" priority="52"/>
  </conditionalFormatting>
  <conditionalFormatting sqref="F124:G124">
    <cfRule type="duplicateValues" dxfId="4871" priority="239"/>
  </conditionalFormatting>
  <conditionalFormatting sqref="F125:G125">
    <cfRule type="duplicateValues" dxfId="4870" priority="114"/>
  </conditionalFormatting>
  <conditionalFormatting sqref="F126:G126">
    <cfRule type="duplicateValues" dxfId="4869" priority="199"/>
  </conditionalFormatting>
  <conditionalFormatting sqref="F127:G127">
    <cfRule type="duplicateValues" dxfId="4868" priority="178"/>
  </conditionalFormatting>
  <conditionalFormatting sqref="F128:G128">
    <cfRule type="duplicateValues" dxfId="4867" priority="157"/>
  </conditionalFormatting>
  <conditionalFormatting sqref="F129:G129">
    <cfRule type="duplicateValues" dxfId="4866" priority="135"/>
  </conditionalFormatting>
  <conditionalFormatting sqref="F131:G131">
    <cfRule type="duplicateValues" dxfId="4865" priority="257"/>
  </conditionalFormatting>
  <conditionalFormatting sqref="F132:G132">
    <cfRule type="duplicateValues" dxfId="4864" priority="218"/>
  </conditionalFormatting>
  <conditionalFormatting sqref="F133:G133">
    <cfRule type="duplicateValues" dxfId="4863" priority="92"/>
  </conditionalFormatting>
  <conditionalFormatting sqref="F134:G134">
    <cfRule type="duplicateValues" dxfId="4862" priority="71"/>
  </conditionalFormatting>
  <conditionalFormatting sqref="F135:G135">
    <cfRule type="duplicateValues" dxfId="4861" priority="29"/>
  </conditionalFormatting>
  <conditionalFormatting sqref="F136:G136">
    <cfRule type="duplicateValues" dxfId="4860" priority="50"/>
  </conditionalFormatting>
  <conditionalFormatting sqref="F138:G138">
    <cfRule type="duplicateValues" dxfId="4859" priority="238"/>
  </conditionalFormatting>
  <conditionalFormatting sqref="F139:G139">
    <cfRule type="duplicateValues" dxfId="4858" priority="112"/>
  </conditionalFormatting>
  <conditionalFormatting sqref="F140:G140">
    <cfRule type="duplicateValues" dxfId="4857" priority="91"/>
  </conditionalFormatting>
  <conditionalFormatting sqref="F141:G141">
    <cfRule type="duplicateValues" dxfId="4856" priority="176"/>
  </conditionalFormatting>
  <conditionalFormatting sqref="F142:G142">
    <cfRule type="duplicateValues" dxfId="4855" priority="155"/>
  </conditionalFormatting>
  <conditionalFormatting sqref="F143:G143">
    <cfRule type="duplicateValues" dxfId="4854" priority="134"/>
  </conditionalFormatting>
  <conditionalFormatting sqref="F145:G145">
    <cfRule type="duplicateValues" dxfId="4853" priority="255"/>
  </conditionalFormatting>
  <conditionalFormatting sqref="F146:G146">
    <cfRule type="duplicateValues" dxfId="4852" priority="216"/>
  </conditionalFormatting>
  <conditionalFormatting sqref="F147:G147">
    <cfRule type="duplicateValues" dxfId="4851" priority="196"/>
  </conditionalFormatting>
  <conditionalFormatting sqref="F148:G148">
    <cfRule type="duplicateValues" dxfId="4850" priority="69"/>
  </conditionalFormatting>
  <conditionalFormatting sqref="F149:G149">
    <cfRule type="duplicateValues" dxfId="4849" priority="27"/>
  </conditionalFormatting>
  <conditionalFormatting sqref="F150:G150">
    <cfRule type="duplicateValues" dxfId="4848" priority="48"/>
  </conditionalFormatting>
  <conditionalFormatting sqref="F152:G152">
    <cfRule type="duplicateValues" dxfId="4847" priority="237"/>
  </conditionalFormatting>
  <conditionalFormatting sqref="F153:G153">
    <cfRule type="duplicateValues" dxfId="4846" priority="110"/>
  </conditionalFormatting>
  <conditionalFormatting sqref="F154:G154">
    <cfRule type="duplicateValues" dxfId="4845" priority="89"/>
  </conditionalFormatting>
  <conditionalFormatting sqref="F155:G155">
    <cfRule type="duplicateValues" dxfId="4844" priority="153"/>
  </conditionalFormatting>
  <conditionalFormatting sqref="F156:G156">
    <cfRule type="duplicateValues" dxfId="4843" priority="132"/>
  </conditionalFormatting>
  <conditionalFormatting sqref="F157:G157">
    <cfRule type="duplicateValues" dxfId="4842" priority="26"/>
  </conditionalFormatting>
  <conditionalFormatting sqref="F159:G159">
    <cfRule type="duplicateValues" dxfId="4841" priority="253"/>
  </conditionalFormatting>
  <conditionalFormatting sqref="F160:G160">
    <cfRule type="duplicateValues" dxfId="4840" priority="214"/>
  </conditionalFormatting>
  <conditionalFormatting sqref="F161:G161">
    <cfRule type="duplicateValues" dxfId="4839" priority="194"/>
  </conditionalFormatting>
  <conditionalFormatting sqref="F162:G162">
    <cfRule type="duplicateValues" dxfId="4838" priority="173"/>
  </conditionalFormatting>
  <conditionalFormatting sqref="F163:G163">
    <cfRule type="duplicateValues" dxfId="4837" priority="67"/>
  </conditionalFormatting>
  <conditionalFormatting sqref="F164:G164">
    <cfRule type="duplicateValues" dxfId="4836" priority="46"/>
  </conditionalFormatting>
  <conditionalFormatting sqref="F166:G166">
    <cfRule type="duplicateValues" dxfId="4835" priority="235"/>
  </conditionalFormatting>
  <conditionalFormatting sqref="F167:G167">
    <cfRule type="duplicateValues" dxfId="4834" priority="108"/>
  </conditionalFormatting>
  <conditionalFormatting sqref="F168:G168">
    <cfRule type="duplicateValues" dxfId="4833" priority="87"/>
  </conditionalFormatting>
  <conditionalFormatting sqref="F169:G169">
    <cfRule type="duplicateValues" dxfId="4832" priority="130"/>
  </conditionalFormatting>
  <conditionalFormatting sqref="F170:G170">
    <cfRule type="duplicateValues" dxfId="4831" priority="24"/>
  </conditionalFormatting>
  <conditionalFormatting sqref="F171:G171">
    <cfRule type="duplicateValues" dxfId="4830" priority="45"/>
  </conditionalFormatting>
  <conditionalFormatting sqref="F173:G173">
    <cfRule type="duplicateValues" dxfId="4829" priority="251"/>
  </conditionalFormatting>
  <conditionalFormatting sqref="F174:G174">
    <cfRule type="duplicateValues" dxfId="4828" priority="212"/>
  </conditionalFormatting>
  <conditionalFormatting sqref="F175:G175">
    <cfRule type="duplicateValues" dxfId="4827" priority="192"/>
  </conditionalFormatting>
  <conditionalFormatting sqref="F176:G176">
    <cfRule type="duplicateValues" dxfId="4826" priority="171"/>
  </conditionalFormatting>
  <conditionalFormatting sqref="F177:G177">
    <cfRule type="duplicateValues" dxfId="4825" priority="150"/>
  </conditionalFormatting>
  <conditionalFormatting sqref="F178:G178">
    <cfRule type="duplicateValues" dxfId="4824" priority="65"/>
  </conditionalFormatting>
  <conditionalFormatting sqref="G26:G31">
    <cfRule type="duplicateValues" dxfId="4823" priority="16"/>
  </conditionalFormatting>
  <conditionalFormatting sqref="H10:H21">
    <cfRule type="containsText" dxfId="4822" priority="1" operator="containsText" text="c$I$26">
      <formula>NOT(ISERROR(SEARCH("c$I$26",H10)))</formula>
    </cfRule>
    <cfRule type="containsText" dxfId="4821" priority="2" operator="containsText" text="o$K$24">
      <formula>NOT(ISERROR(SEARCH("o$K$24",H10)))</formula>
    </cfRule>
  </conditionalFormatting>
  <conditionalFormatting sqref="H26:H31">
    <cfRule type="duplicateValues" dxfId="4820" priority="17"/>
  </conditionalFormatting>
  <conditionalFormatting sqref="H33:I33">
    <cfRule type="duplicateValues" dxfId="4819" priority="270"/>
  </conditionalFormatting>
  <conditionalFormatting sqref="H34:I34">
    <cfRule type="duplicateValues" dxfId="4818" priority="149"/>
  </conditionalFormatting>
  <conditionalFormatting sqref="H35:I35">
    <cfRule type="duplicateValues" dxfId="4817" priority="170"/>
  </conditionalFormatting>
  <conditionalFormatting sqref="H36:I36">
    <cfRule type="duplicateValues" dxfId="4816" priority="232"/>
  </conditionalFormatting>
  <conditionalFormatting sqref="H37:I37">
    <cfRule type="duplicateValues" dxfId="4815" priority="191"/>
  </conditionalFormatting>
  <conditionalFormatting sqref="H38:I38">
    <cfRule type="duplicateValues" dxfId="4814" priority="211"/>
  </conditionalFormatting>
  <conditionalFormatting sqref="H40:I40">
    <cfRule type="duplicateValues" dxfId="4813" priority="127"/>
  </conditionalFormatting>
  <conditionalFormatting sqref="H41:I41">
    <cfRule type="duplicateValues" dxfId="4812" priority="269"/>
  </conditionalFormatting>
  <conditionalFormatting sqref="H42:I42">
    <cfRule type="duplicateValues" dxfId="4811" priority="84"/>
  </conditionalFormatting>
  <conditionalFormatting sqref="H43:I43">
    <cfRule type="duplicateValues" dxfId="4810" priority="63"/>
  </conditionalFormatting>
  <conditionalFormatting sqref="H44:I44">
    <cfRule type="duplicateValues" dxfId="4809" priority="42"/>
  </conditionalFormatting>
  <conditionalFormatting sqref="H45:I45">
    <cfRule type="duplicateValues" dxfId="4808" priority="105"/>
  </conditionalFormatting>
  <conditionalFormatting sqref="H47:I47">
    <cfRule type="duplicateValues" dxfId="4807" priority="209"/>
  </conditionalFormatting>
  <conditionalFormatting sqref="H48:I48">
    <cfRule type="duplicateValues" dxfId="4806" priority="125"/>
  </conditionalFormatting>
  <conditionalFormatting sqref="H49:I49">
    <cfRule type="duplicateValues" dxfId="4805" priority="126"/>
  </conditionalFormatting>
  <conditionalFormatting sqref="H50:I50">
    <cfRule type="duplicateValues" dxfId="4804" priority="189"/>
  </conditionalFormatting>
  <conditionalFormatting sqref="H51:I51">
    <cfRule type="duplicateValues" dxfId="4803" priority="147"/>
  </conditionalFormatting>
  <conditionalFormatting sqref="H52:I52">
    <cfRule type="duplicateValues" dxfId="4802" priority="168"/>
  </conditionalFormatting>
  <conditionalFormatting sqref="H54:I54">
    <cfRule type="duplicateValues" dxfId="4801" priority="103"/>
  </conditionalFormatting>
  <conditionalFormatting sqref="H55:I55">
    <cfRule type="duplicateValues" dxfId="4800" priority="40"/>
  </conditionalFormatting>
  <conditionalFormatting sqref="H56:I56">
    <cfRule type="duplicateValues" dxfId="4799" priority="229"/>
  </conditionalFormatting>
  <conditionalFormatting sqref="H57:I57">
    <cfRule type="duplicateValues" dxfId="4798" priority="267"/>
  </conditionalFormatting>
  <conditionalFormatting sqref="H58:I58">
    <cfRule type="duplicateValues" dxfId="4797" priority="82"/>
  </conditionalFormatting>
  <conditionalFormatting sqref="H59:I59">
    <cfRule type="duplicateValues" dxfId="4796" priority="61"/>
  </conditionalFormatting>
  <conditionalFormatting sqref="H61:I61">
    <cfRule type="duplicateValues" dxfId="4795" priority="166"/>
  </conditionalFormatting>
  <conditionalFormatting sqref="H62:I62">
    <cfRule type="duplicateValues" dxfId="4794" priority="187"/>
  </conditionalFormatting>
  <conditionalFormatting sqref="H63:I63">
    <cfRule type="duplicateValues" dxfId="4793" priority="247"/>
  </conditionalFormatting>
  <conditionalFormatting sqref="H64:I64">
    <cfRule type="duplicateValues" dxfId="4792" priority="145"/>
  </conditionalFormatting>
  <conditionalFormatting sqref="H65:I65">
    <cfRule type="duplicateValues" dxfId="4791" priority="102"/>
  </conditionalFormatting>
  <conditionalFormatting sqref="H66:I66">
    <cfRule type="duplicateValues" dxfId="4790" priority="123"/>
  </conditionalFormatting>
  <conditionalFormatting sqref="H68:I68">
    <cfRule type="duplicateValues" dxfId="4789" priority="38"/>
  </conditionalFormatting>
  <conditionalFormatting sqref="H69:I69">
    <cfRule type="duplicateValues" dxfId="4788" priority="80"/>
  </conditionalFormatting>
  <conditionalFormatting sqref="H70:I70">
    <cfRule type="duplicateValues" dxfId="4787" priority="59"/>
  </conditionalFormatting>
  <conditionalFormatting sqref="H71:I71">
    <cfRule type="duplicateValues" dxfId="4786" priority="206"/>
  </conditionalFormatting>
  <conditionalFormatting sqref="H72:I72">
    <cfRule type="duplicateValues" dxfId="4785" priority="227"/>
  </conditionalFormatting>
  <conditionalFormatting sqref="H73:I73">
    <cfRule type="duplicateValues" dxfId="4784" priority="265"/>
  </conditionalFormatting>
  <conditionalFormatting sqref="H75:I75">
    <cfRule type="duplicateValues" dxfId="4783" priority="121"/>
  </conditionalFormatting>
  <conditionalFormatting sqref="H76:I76">
    <cfRule type="duplicateValues" dxfId="4782" priority="143"/>
  </conditionalFormatting>
  <conditionalFormatting sqref="H77:I77">
    <cfRule type="duplicateValues" dxfId="4781" priority="164"/>
  </conditionalFormatting>
  <conditionalFormatting sqref="H78:I78">
    <cfRule type="duplicateValues" dxfId="4780" priority="245"/>
  </conditionalFormatting>
  <conditionalFormatting sqref="H79:I79">
    <cfRule type="duplicateValues" dxfId="4779" priority="100"/>
  </conditionalFormatting>
  <conditionalFormatting sqref="H80:I80">
    <cfRule type="duplicateValues" dxfId="4778" priority="37"/>
  </conditionalFormatting>
  <conditionalFormatting sqref="H82:I82">
    <cfRule type="duplicateValues" dxfId="4777" priority="57"/>
  </conditionalFormatting>
  <conditionalFormatting sqref="H83:I83">
    <cfRule type="duplicateValues" dxfId="4776" priority="225"/>
  </conditionalFormatting>
  <conditionalFormatting sqref="H84:I84">
    <cfRule type="duplicateValues" dxfId="4775" priority="263"/>
  </conditionalFormatting>
  <conditionalFormatting sqref="H85:I85">
    <cfRule type="duplicateValues" dxfId="4774" priority="184"/>
  </conditionalFormatting>
  <conditionalFormatting sqref="H86:I86">
    <cfRule type="duplicateValues" dxfId="4773" priority="204"/>
  </conditionalFormatting>
  <conditionalFormatting sqref="H87:I87">
    <cfRule type="duplicateValues" dxfId="4772" priority="78"/>
  </conditionalFormatting>
  <conditionalFormatting sqref="H89:I89">
    <cfRule type="duplicateValues" dxfId="4771" priority="35"/>
  </conditionalFormatting>
  <conditionalFormatting sqref="H90:I90">
    <cfRule type="duplicateValues" dxfId="4770" priority="98"/>
  </conditionalFormatting>
  <conditionalFormatting sqref="H91:I91">
    <cfRule type="duplicateValues" dxfId="4769" priority="119"/>
  </conditionalFormatting>
  <conditionalFormatting sqref="H92:I92">
    <cfRule type="duplicateValues" dxfId="4768" priority="141"/>
  </conditionalFormatting>
  <conditionalFormatting sqref="H93:I93">
    <cfRule type="duplicateValues" dxfId="4767" priority="243"/>
  </conditionalFormatting>
  <conditionalFormatting sqref="H94:I94">
    <cfRule type="duplicateValues" dxfId="4766" priority="56"/>
  </conditionalFormatting>
  <conditionalFormatting sqref="H96:I96">
    <cfRule type="duplicateValues" dxfId="4765" priority="76"/>
  </conditionalFormatting>
  <conditionalFormatting sqref="H97:I97">
    <cfRule type="duplicateValues" dxfId="4764" priority="182"/>
  </conditionalFormatting>
  <conditionalFormatting sqref="H98:I98">
    <cfRule type="duplicateValues" dxfId="4763" priority="203"/>
  </conditionalFormatting>
  <conditionalFormatting sqref="H99:I99">
    <cfRule type="duplicateValues" dxfId="4762" priority="161"/>
  </conditionalFormatting>
  <conditionalFormatting sqref="H100:I100">
    <cfRule type="duplicateValues" dxfId="4761" priority="223"/>
  </conditionalFormatting>
  <conditionalFormatting sqref="H101:I101">
    <cfRule type="duplicateValues" dxfId="4760" priority="21"/>
  </conditionalFormatting>
  <conditionalFormatting sqref="H103:I103">
    <cfRule type="duplicateValues" dxfId="4759" priority="139"/>
  </conditionalFormatting>
  <conditionalFormatting sqref="H104:I104">
    <cfRule type="duplicateValues" dxfId="4758" priority="160"/>
  </conditionalFormatting>
  <conditionalFormatting sqref="H105:I105">
    <cfRule type="duplicateValues" dxfId="4757" priority="181"/>
  </conditionalFormatting>
  <conditionalFormatting sqref="H106:I106">
    <cfRule type="duplicateValues" dxfId="4756" priority="260"/>
  </conditionalFormatting>
  <conditionalFormatting sqref="H107:I107">
    <cfRule type="duplicateValues" dxfId="4755" priority="202"/>
  </conditionalFormatting>
  <conditionalFormatting sqref="H108:I108">
    <cfRule type="duplicateValues" dxfId="4754" priority="222"/>
  </conditionalFormatting>
  <conditionalFormatting sqref="H110:I110">
    <cfRule type="duplicateValues" dxfId="4753" priority="240"/>
  </conditionalFormatting>
  <conditionalFormatting sqref="H111:I111">
    <cfRule type="duplicateValues" dxfId="4752" priority="74"/>
  </conditionalFormatting>
  <conditionalFormatting sqref="H112:I112">
    <cfRule type="duplicateValues" dxfId="4751" priority="53"/>
  </conditionalFormatting>
  <conditionalFormatting sqref="H113:I113">
    <cfRule type="duplicateValues" dxfId="4750" priority="32"/>
  </conditionalFormatting>
  <conditionalFormatting sqref="H114:I114">
    <cfRule type="duplicateValues" dxfId="4749" priority="95"/>
  </conditionalFormatting>
  <conditionalFormatting sqref="H115:I115">
    <cfRule type="duplicateValues" dxfId="4748" priority="116"/>
  </conditionalFormatting>
  <conditionalFormatting sqref="H117:I117">
    <cfRule type="duplicateValues" dxfId="4747" priority="221"/>
  </conditionalFormatting>
  <conditionalFormatting sqref="H118:I118">
    <cfRule type="duplicateValues" dxfId="4746" priority="20"/>
  </conditionalFormatting>
  <conditionalFormatting sqref="H119:I119">
    <cfRule type="duplicateValues" dxfId="4745" priority="137"/>
  </conditionalFormatting>
  <conditionalFormatting sqref="H120:I120">
    <cfRule type="duplicateValues" dxfId="4744" priority="200"/>
  </conditionalFormatting>
  <conditionalFormatting sqref="H121:I121">
    <cfRule type="duplicateValues" dxfId="4743" priority="158"/>
  </conditionalFormatting>
  <conditionalFormatting sqref="H122:I122">
    <cfRule type="duplicateValues" dxfId="4742" priority="179"/>
  </conditionalFormatting>
  <conditionalFormatting sqref="H124:I124">
    <cfRule type="duplicateValues" dxfId="4741" priority="219"/>
  </conditionalFormatting>
  <conditionalFormatting sqref="H125:I125">
    <cfRule type="duplicateValues" dxfId="4740" priority="93"/>
  </conditionalFormatting>
  <conditionalFormatting sqref="H126:I126">
    <cfRule type="duplicateValues" dxfId="4739" priority="258"/>
  </conditionalFormatting>
  <conditionalFormatting sqref="H127:I127">
    <cfRule type="duplicateValues" dxfId="4738" priority="72"/>
  </conditionalFormatting>
  <conditionalFormatting sqref="H128:I128">
    <cfRule type="duplicateValues" dxfId="4737" priority="51"/>
  </conditionalFormatting>
  <conditionalFormatting sqref="H129:I129">
    <cfRule type="duplicateValues" dxfId="4736" priority="30"/>
  </conditionalFormatting>
  <conditionalFormatting sqref="H131:I131">
    <cfRule type="duplicateValues" dxfId="4735" priority="177"/>
  </conditionalFormatting>
  <conditionalFormatting sqref="H132:I132">
    <cfRule type="duplicateValues" dxfId="4734" priority="198"/>
  </conditionalFormatting>
  <conditionalFormatting sqref="H133:I133">
    <cfRule type="duplicateValues" dxfId="4733" priority="19"/>
  </conditionalFormatting>
  <conditionalFormatting sqref="H134:I134">
    <cfRule type="duplicateValues" dxfId="4732" priority="156"/>
  </conditionalFormatting>
  <conditionalFormatting sqref="H135:I135">
    <cfRule type="duplicateValues" dxfId="4731" priority="113"/>
  </conditionalFormatting>
  <conditionalFormatting sqref="H136:I136">
    <cfRule type="duplicateValues" dxfId="4730" priority="136"/>
  </conditionalFormatting>
  <conditionalFormatting sqref="H138:I138">
    <cfRule type="duplicateValues" dxfId="4729" priority="197"/>
  </conditionalFormatting>
  <conditionalFormatting sqref="H139:I139">
    <cfRule type="duplicateValues" dxfId="4728" priority="49"/>
  </conditionalFormatting>
  <conditionalFormatting sqref="H140:I140">
    <cfRule type="duplicateValues" dxfId="4727" priority="28"/>
  </conditionalFormatting>
  <conditionalFormatting sqref="H141:I141">
    <cfRule type="duplicateValues" dxfId="4726" priority="217"/>
  </conditionalFormatting>
  <conditionalFormatting sqref="H142:I142">
    <cfRule type="duplicateValues" dxfId="4725" priority="256"/>
  </conditionalFormatting>
  <conditionalFormatting sqref="H143:I143">
    <cfRule type="duplicateValues" dxfId="4724" priority="70"/>
  </conditionalFormatting>
  <conditionalFormatting sqref="H145:I145">
    <cfRule type="duplicateValues" dxfId="4723" priority="133"/>
  </conditionalFormatting>
  <conditionalFormatting sqref="H146:I146">
    <cfRule type="duplicateValues" dxfId="4722" priority="154"/>
  </conditionalFormatting>
  <conditionalFormatting sqref="H147:I147">
    <cfRule type="duplicateValues" dxfId="4721" priority="175"/>
  </conditionalFormatting>
  <conditionalFormatting sqref="H148:I148">
    <cfRule type="duplicateValues" dxfId="4720" priority="111"/>
  </conditionalFormatting>
  <conditionalFormatting sqref="H149:I149">
    <cfRule type="duplicateValues" dxfId="4719" priority="236"/>
  </conditionalFormatting>
  <conditionalFormatting sqref="H150:I150">
    <cfRule type="duplicateValues" dxfId="4718" priority="90"/>
  </conditionalFormatting>
  <conditionalFormatting sqref="H152:I152">
    <cfRule type="duplicateValues" dxfId="4717" priority="174"/>
  </conditionalFormatting>
  <conditionalFormatting sqref="H153:I153">
    <cfRule type="duplicateValues" dxfId="4716" priority="254"/>
  </conditionalFormatting>
  <conditionalFormatting sqref="H154:I154">
    <cfRule type="duplicateValues" dxfId="4715" priority="68"/>
  </conditionalFormatting>
  <conditionalFormatting sqref="H155:I155">
    <cfRule type="duplicateValues" dxfId="4714" priority="195"/>
  </conditionalFormatting>
  <conditionalFormatting sqref="H156:I156">
    <cfRule type="duplicateValues" dxfId="4713" priority="215"/>
  </conditionalFormatting>
  <conditionalFormatting sqref="H157:I157">
    <cfRule type="duplicateValues" dxfId="4712" priority="47"/>
  </conditionalFormatting>
  <conditionalFormatting sqref="H159:I159">
    <cfRule type="duplicateValues" dxfId="4711" priority="88"/>
  </conditionalFormatting>
  <conditionalFormatting sqref="H160:I160">
    <cfRule type="duplicateValues" dxfId="4710" priority="109"/>
  </conditionalFormatting>
  <conditionalFormatting sqref="H161:I161">
    <cfRule type="duplicateValues" dxfId="4709" priority="131"/>
  </conditionalFormatting>
  <conditionalFormatting sqref="H162:I162">
    <cfRule type="duplicateValues" dxfId="4708" priority="152"/>
  </conditionalFormatting>
  <conditionalFormatting sqref="H163:I163">
    <cfRule type="duplicateValues" dxfId="4707" priority="25"/>
  </conditionalFormatting>
  <conditionalFormatting sqref="H164:I164">
    <cfRule type="duplicateValues" dxfId="4706" priority="234"/>
  </conditionalFormatting>
  <conditionalFormatting sqref="H166:I166">
    <cfRule type="duplicateValues" dxfId="4705" priority="151"/>
  </conditionalFormatting>
  <conditionalFormatting sqref="H167:I167">
    <cfRule type="duplicateValues" dxfId="4704" priority="193"/>
  </conditionalFormatting>
  <conditionalFormatting sqref="H168:I168">
    <cfRule type="duplicateValues" dxfId="4703" priority="213"/>
  </conditionalFormatting>
  <conditionalFormatting sqref="H169:I169">
    <cfRule type="duplicateValues" dxfId="4702" priority="172"/>
  </conditionalFormatting>
  <conditionalFormatting sqref="H170:I170">
    <cfRule type="duplicateValues" dxfId="4701" priority="252"/>
  </conditionalFormatting>
  <conditionalFormatting sqref="H171:I171">
    <cfRule type="duplicateValues" dxfId="4700" priority="66"/>
  </conditionalFormatting>
  <conditionalFormatting sqref="H173:I173">
    <cfRule type="duplicateValues" dxfId="4699" priority="44"/>
  </conditionalFormatting>
  <conditionalFormatting sqref="H174:I174">
    <cfRule type="duplicateValues" dxfId="4698" priority="23"/>
  </conditionalFormatting>
  <conditionalFormatting sqref="H175:I175">
    <cfRule type="duplicateValues" dxfId="4697" priority="86"/>
  </conditionalFormatting>
  <conditionalFormatting sqref="H176:I176">
    <cfRule type="duplicateValues" dxfId="4696" priority="107"/>
  </conditionalFormatting>
  <conditionalFormatting sqref="H177:I177">
    <cfRule type="duplicateValues" dxfId="4695" priority="129"/>
  </conditionalFormatting>
  <conditionalFormatting sqref="H178:I178">
    <cfRule type="duplicateValues" dxfId="4694" priority="233"/>
  </conditionalFormatting>
  <conditionalFormatting sqref="I5:I8">
    <cfRule type="duplicateValues" dxfId="4693" priority="274"/>
  </conditionalFormatting>
  <conditionalFormatting sqref="I26:I31">
    <cfRule type="duplicateValues" dxfId="4692" priority="15"/>
  </conditionalFormatting>
  <conditionalFormatting sqref="I10:L21">
    <cfRule type="cellIs" dxfId="4691" priority="7" operator="lessThan">
      <formula>5</formula>
    </cfRule>
    <cfRule type="cellIs" dxfId="4690" priority="8" operator="greaterThan">
      <formula>6</formula>
    </cfRule>
  </conditionalFormatting>
  <conditionalFormatting sqref="J10:J21">
    <cfRule type="containsText" dxfId="4689" priority="3" operator="containsText" text="c'[Fixtures All.xlsx]Women Filtered'!$F$2">
      <formula>NOT(ISERROR(SEARCH("c'[Fixtures All.xlsx]Women Filtered'!$F$2",J10)))</formula>
    </cfRule>
    <cfRule type="containsText" dxfId="4688" priority="14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4687" priority="273"/>
  </conditionalFormatting>
  <conditionalFormatting sqref="K5">
    <cfRule type="duplicateValues" dxfId="4686" priority="271"/>
  </conditionalFormatting>
  <conditionalFormatting sqref="K9:K21">
    <cfRule type="containsText" dxfId="4685" priority="12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4684" priority="11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DC46D506-215C-4EC4-81A4-672ABFD32DBD}"/>
    <hyperlink ref="K5:K6" location="'All Fixtures'!A1" display="See all NW Fixtures" xr:uid="{A46A0AED-9014-4B29-BCC8-586C063F304C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FDEDD-7018-4697-B526-7486E0EF49DF}">
  <dimension ref="A2:AO178"/>
  <sheetViews>
    <sheetView zoomScale="90" zoomScaleNormal="90" workbookViewId="0"/>
  </sheetViews>
  <sheetFormatPr defaultRowHeight="14.4" x14ac:dyDescent="0.3"/>
  <cols>
    <col min="1" max="1" width="3.5546875" style="47" customWidth="1"/>
    <col min="2" max="2" width="35.6640625" style="3" customWidth="1"/>
    <col min="3" max="3" width="27" style="3" customWidth="1"/>
    <col min="4" max="4" width="33.5546875" style="3" customWidth="1"/>
    <col min="5" max="5" width="14.21875" style="3" customWidth="1"/>
    <col min="6" max="6" width="35.88671875" style="3" customWidth="1"/>
    <col min="7" max="7" width="13.44140625" style="4" customWidth="1"/>
    <col min="8" max="8" width="35.77734375" style="3" customWidth="1"/>
    <col min="9" max="9" width="8.88671875" style="4"/>
    <col min="10" max="10" width="8.88671875" style="3"/>
    <col min="11" max="11" width="18.44140625" style="51" customWidth="1"/>
    <col min="12" max="41" width="8.88671875" style="3"/>
  </cols>
  <sheetData>
    <row r="2" spans="1:41" ht="15" thickBot="1" x14ac:dyDescent="0.35"/>
    <row r="3" spans="1:41" ht="37.200000000000003" thickBot="1" x14ac:dyDescent="0.75">
      <c r="E3" s="16" t="s">
        <v>60</v>
      </c>
      <c r="I3" s="16"/>
      <c r="K3" s="45" t="s">
        <v>86</v>
      </c>
    </row>
    <row r="4" spans="1:41" ht="15" customHeight="1" thickBot="1" x14ac:dyDescent="0.35"/>
    <row r="5" spans="1:41" ht="15" customHeight="1" x14ac:dyDescent="0.3">
      <c r="K5" s="185" t="s">
        <v>417</v>
      </c>
    </row>
    <row r="6" spans="1:41" ht="15" customHeight="1" thickBot="1" x14ac:dyDescent="0.35">
      <c r="K6" s="186"/>
    </row>
    <row r="7" spans="1:41" ht="15" customHeight="1" x14ac:dyDescent="0.3"/>
    <row r="8" spans="1:41" ht="15" customHeight="1" x14ac:dyDescent="0.7">
      <c r="B8" s="16"/>
    </row>
    <row r="9" spans="1:41" s="76" customFormat="1" ht="15" customHeight="1" x14ac:dyDescent="0.4">
      <c r="A9" s="59"/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J9" s="3"/>
      <c r="K9" s="77" t="s">
        <v>558</v>
      </c>
      <c r="L9" s="3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</row>
    <row r="10" spans="1:41" s="76" customFormat="1" ht="15" customHeight="1" x14ac:dyDescent="0.3">
      <c r="A10" s="47">
        <f>COUNTIF(F$26:H$178,"Ambleside 1 (W)")</f>
        <v>22</v>
      </c>
      <c r="B10" s="15" t="s">
        <v>293</v>
      </c>
      <c r="C10" s="74">
        <v>3211705</v>
      </c>
      <c r="D10" s="57">
        <f>COUNTIF(F$26:I$178,"3211705")</f>
        <v>22</v>
      </c>
      <c r="E10" s="59"/>
      <c r="F10" s="57">
        <f>COUNTIF(F$26:F$178,"Ambleside 1 (W)")</f>
        <v>11</v>
      </c>
      <c r="G10" s="57"/>
      <c r="H10" s="57">
        <f>COUNTIF(H$26:H$178,"Ambleside 1 (W)")</f>
        <v>11</v>
      </c>
      <c r="I10" s="57">
        <f>COUNTIF(F$26:F$101,"Ambleside 1 (W)")</f>
        <v>5</v>
      </c>
      <c r="J10" s="57">
        <f>COUNTIF(F$102:F$178,"Ambleside 1 (W)")</f>
        <v>6</v>
      </c>
      <c r="K10" s="57">
        <f>COUNTIF(H$26:H$101,"Ambleside 1 (W)")</f>
        <v>6</v>
      </c>
      <c r="L10" s="57">
        <f>COUNTIF(H$102:H$178,"Ambleside 1 (W)")</f>
        <v>5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</row>
    <row r="11" spans="1:41" s="76" customFormat="1" ht="15" customHeight="1" x14ac:dyDescent="0.3">
      <c r="A11" s="47">
        <f>COUNTIF(F$26:H$178,"Carlisle 2 (W)")</f>
        <v>22</v>
      </c>
      <c r="B11" s="4" t="s">
        <v>444</v>
      </c>
      <c r="C11" s="74">
        <v>3209909</v>
      </c>
      <c r="D11" s="57">
        <f>COUNTIF(F$26:I$178,"3209909")</f>
        <v>22</v>
      </c>
      <c r="E11" s="59"/>
      <c r="F11" s="57">
        <f>COUNTIF(F$26:F$178,"Carlisle 2 (W)")</f>
        <v>11</v>
      </c>
      <c r="G11" s="57"/>
      <c r="H11" s="57">
        <f>COUNTIF(H$26:H$178,"Carlisle 2 (W)")</f>
        <v>11</v>
      </c>
      <c r="I11" s="57">
        <f>COUNTIF(F$26:F$101,"Carlisle 2 (W)")</f>
        <v>6</v>
      </c>
      <c r="J11" s="57">
        <f>COUNTIF(F$102:F$178,"Carlisle 2 (W)")</f>
        <v>5</v>
      </c>
      <c r="K11" s="57">
        <f>COUNTIF(H$26:H$101,"Carlisle 2 (W)")</f>
        <v>5</v>
      </c>
      <c r="L11" s="57">
        <f>COUNTIF(H$102:H$178,"Carlisle 2 (W)")</f>
        <v>6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</row>
    <row r="12" spans="1:41" s="76" customFormat="1" ht="15" customHeight="1" x14ac:dyDescent="0.3">
      <c r="A12" s="47">
        <f>COUNTIF(F$26:H$178,"Carlisle 3 (W)")</f>
        <v>22</v>
      </c>
      <c r="B12" s="15" t="s">
        <v>294</v>
      </c>
      <c r="C12" s="74">
        <v>3209409</v>
      </c>
      <c r="D12" s="57">
        <f>COUNTIF(F$26:I$178,"3209409")</f>
        <v>22</v>
      </c>
      <c r="E12" s="59"/>
      <c r="F12" s="57">
        <f>COUNTIF(F$26:F$178,"Carlisle 3 (W)")</f>
        <v>11</v>
      </c>
      <c r="G12" s="57"/>
      <c r="H12" s="57">
        <f>COUNTIF(H$26:H$178,"Carlisle 3 (W)")</f>
        <v>11</v>
      </c>
      <c r="I12" s="57">
        <f>COUNTIF(F$26:F$101,"Carlisle 3 (W)")</f>
        <v>5</v>
      </c>
      <c r="J12" s="57">
        <f>COUNTIF(F$102:F$178,"Carlisle 3 (W)")</f>
        <v>6</v>
      </c>
      <c r="K12" s="57">
        <f>COUNTIF(H$26:H$101,"Carlisle 3 (W)")</f>
        <v>6</v>
      </c>
      <c r="L12" s="57">
        <f>COUNTIF(H$102:H$178,"Carlisle 3 (W)")</f>
        <v>5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</row>
    <row r="13" spans="1:41" s="76" customFormat="1" ht="15" customHeight="1" x14ac:dyDescent="0.3">
      <c r="A13" s="47">
        <f>COUNTIF(F$26:H$178,"Dalston 1 (W)")</f>
        <v>22</v>
      </c>
      <c r="B13" s="15" t="s">
        <v>295</v>
      </c>
      <c r="C13" s="74">
        <v>3207505</v>
      </c>
      <c r="D13" s="57">
        <f>COUNTIF(F$26:I$178,"3207505")</f>
        <v>22</v>
      </c>
      <c r="E13" s="59"/>
      <c r="F13" s="57">
        <f>COUNTIF(F$26:F$178,"Dalston 1 (W)")</f>
        <v>11</v>
      </c>
      <c r="G13" s="57"/>
      <c r="H13" s="57">
        <f>COUNTIF(H$26:H$178,"Dalston 1 (W)")</f>
        <v>11</v>
      </c>
      <c r="I13" s="57">
        <f>COUNTIF(F$26:F$101,"Dalston 1 (W)")</f>
        <v>6</v>
      </c>
      <c r="J13" s="57">
        <f>COUNTIF(F$102:F$178,"Dalston 1 (W)")</f>
        <v>5</v>
      </c>
      <c r="K13" s="57">
        <f>COUNTIF(H$26:H$101,"Dalston 1 (W)")</f>
        <v>5</v>
      </c>
      <c r="L13" s="57">
        <f>COUNTIF(H$102:H$178,"Dalston 1 (W)")</f>
        <v>6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</row>
    <row r="14" spans="1:41" s="76" customFormat="1" ht="15" customHeight="1" x14ac:dyDescent="0.3">
      <c r="A14" s="47">
        <f>COUNTIF(F$26:H$178,"Keswick 1 (W)")</f>
        <v>22</v>
      </c>
      <c r="B14" s="15" t="s">
        <v>296</v>
      </c>
      <c r="C14" s="74">
        <v>3203905</v>
      </c>
      <c r="D14" s="57">
        <f>COUNTIF(F$26:I$178,"3203905")</f>
        <v>22</v>
      </c>
      <c r="E14" s="59"/>
      <c r="F14" s="57">
        <f>COUNTIF(F$26:F$178,"Keswick 1 (W)")</f>
        <v>11</v>
      </c>
      <c r="G14" s="57"/>
      <c r="H14" s="57">
        <f>COUNTIF(H$26:H$178,"Keswick 1 (W)")</f>
        <v>11</v>
      </c>
      <c r="I14" s="57">
        <f>COUNTIF(F$26:F$101,"Keswick 1 (W)")</f>
        <v>5</v>
      </c>
      <c r="J14" s="57">
        <f>COUNTIF(F$102:F$178,"Keswick 1 (W)")</f>
        <v>6</v>
      </c>
      <c r="K14" s="57">
        <f>COUNTIF(H$26:H$101,"Keswick 1 (W)")</f>
        <v>6</v>
      </c>
      <c r="L14" s="57">
        <f>COUNTIF(H$102:H$178,"Keswick 1 (W)")</f>
        <v>5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</row>
    <row r="15" spans="1:41" s="76" customFormat="1" ht="15" customHeight="1" x14ac:dyDescent="0.3">
      <c r="A15" s="47">
        <f>COUNTIF(F$26:H$178,"Kirkby Stephen 2 (W)")</f>
        <v>22</v>
      </c>
      <c r="B15" s="32" t="s">
        <v>445</v>
      </c>
      <c r="C15" s="15">
        <v>3204102</v>
      </c>
      <c r="D15" s="57">
        <f>COUNTIF(F$26:I$178,"3204102")</f>
        <v>22</v>
      </c>
      <c r="E15" s="59"/>
      <c r="F15" s="57">
        <f>COUNTIF(F$26:F$178,"Kirkby Stephen 2 (W)")</f>
        <v>11</v>
      </c>
      <c r="G15" s="57"/>
      <c r="H15" s="57">
        <f>COUNTIF(H$26:H$178,"Kirkby Stephen 2 (W)")</f>
        <v>11</v>
      </c>
      <c r="I15" s="57">
        <f>COUNTIF(F$26:F$101,"Kirkby Stephen 2 (W)")</f>
        <v>6</v>
      </c>
      <c r="J15" s="57">
        <f>COUNTIF(F$102:F$178,"Kirkby Stephen 2 (W)")</f>
        <v>5</v>
      </c>
      <c r="K15" s="57">
        <f>COUNTIF(H$26:H$101,"Kirkby Stephen 2 (W)")</f>
        <v>5</v>
      </c>
      <c r="L15" s="57">
        <f>COUNTIF(H$102:H$178,"Kirkby Stephen 2 (W)")</f>
        <v>6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</row>
    <row r="16" spans="1:41" s="76" customFormat="1" x14ac:dyDescent="0.3">
      <c r="A16" s="47">
        <f>COUNTIF(F$26:H$178,"Kirkby Stephen 3 (W)")</f>
        <v>22</v>
      </c>
      <c r="B16" s="15" t="s">
        <v>298</v>
      </c>
      <c r="C16" s="74">
        <v>3817807</v>
      </c>
      <c r="D16" s="57">
        <f>COUNTIF(F$26:I$178,"3817807")</f>
        <v>22</v>
      </c>
      <c r="E16" s="59"/>
      <c r="F16" s="57">
        <f>COUNTIF(F$26:F$178,"Kirkby Stephen 3 (W)")</f>
        <v>11</v>
      </c>
      <c r="G16" s="57"/>
      <c r="H16" s="57">
        <f>COUNTIF(H$26:H$178,"Kirkby Stephen 3 (W)")</f>
        <v>11</v>
      </c>
      <c r="I16" s="57">
        <f>COUNTIF(F$26:F$101,"Kirkby Stephen 3 (W)")</f>
        <v>5</v>
      </c>
      <c r="J16" s="57">
        <f>COUNTIF(F$102:F$178,"Kirkby Stephen 3 (W)")</f>
        <v>6</v>
      </c>
      <c r="K16" s="57">
        <f>COUNTIF(H$26:H$101,"Kirkby Stephen 3 (W)")</f>
        <v>6</v>
      </c>
      <c r="L16" s="57">
        <f>COUNTIF(H$102:H$178,"Kirkby Stephen 3 (W)")</f>
        <v>5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</row>
    <row r="17" spans="1:41" s="76" customFormat="1" x14ac:dyDescent="0.3">
      <c r="A17" s="47">
        <f>COUNTIF(F$26:H$178,"Kirkby Stephen Development (W)")</f>
        <v>22</v>
      </c>
      <c r="B17" s="4" t="s">
        <v>446</v>
      </c>
      <c r="C17" s="82">
        <v>3204206</v>
      </c>
      <c r="D17" s="57">
        <f>COUNTIF(F$26:I$178,"3204206")</f>
        <v>22</v>
      </c>
      <c r="E17" s="59"/>
      <c r="F17" s="57">
        <f>COUNTIF(F$26:F$178,"Kirkby Stephen Development (W)")</f>
        <v>11</v>
      </c>
      <c r="G17" s="57"/>
      <c r="H17" s="57">
        <f>COUNTIF(H$26:H$178,"Kirkby Stephen Development (W)")</f>
        <v>11</v>
      </c>
      <c r="I17" s="57">
        <f>COUNTIF(F$26:F$101,"Kirkby Stephen Development (W)")</f>
        <v>6</v>
      </c>
      <c r="J17" s="57">
        <f>COUNTIF(F$102:F$178,"Kirkby Stephen Development (W)")</f>
        <v>5</v>
      </c>
      <c r="K17" s="57">
        <f>COUNTIF(H$26:H$101,"Kirkby Stephen Development (W)")</f>
        <v>5</v>
      </c>
      <c r="L17" s="57">
        <f>COUNTIF(H$102:H$178,"Kirkby Stephen Development (W)")</f>
        <v>6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</row>
    <row r="18" spans="1:41" s="76" customFormat="1" x14ac:dyDescent="0.3">
      <c r="A18" s="47">
        <f>COUNTIF(F$26:H$178,"Penrith 2 (W)")</f>
        <v>22</v>
      </c>
      <c r="B18" s="15" t="s">
        <v>299</v>
      </c>
      <c r="C18" s="74">
        <v>3199102</v>
      </c>
      <c r="D18" s="57">
        <f>COUNTIF(F$26:I$178,"3199102")</f>
        <v>22</v>
      </c>
      <c r="E18" s="59"/>
      <c r="F18" s="57">
        <f>COUNTIF(F$26:F$178,"Penrith 2 (W)")</f>
        <v>11</v>
      </c>
      <c r="G18" s="57"/>
      <c r="H18" s="57">
        <f>COUNTIF(H$26:H$178,"Penrith 2 (W)")</f>
        <v>11</v>
      </c>
      <c r="I18" s="57">
        <f>COUNTIF(F$26:F$101,"Penrith 2 (W)")</f>
        <v>5</v>
      </c>
      <c r="J18" s="57">
        <f>COUNTIF(F$102:F$178,"Penrith 2 (W)")</f>
        <v>6</v>
      </c>
      <c r="K18" s="57">
        <f>COUNTIF(H$26:H$101,"Penrith 2 (W)")</f>
        <v>6</v>
      </c>
      <c r="L18" s="57">
        <f>COUNTIF(H$102:H$178,"Penrith 2 (W)")</f>
        <v>5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</row>
    <row r="19" spans="1:41" s="76" customFormat="1" x14ac:dyDescent="0.3">
      <c r="A19" s="47">
        <f>COUNTIF(F$26:H$178,"Sedbergh 1 (W)")</f>
        <v>22</v>
      </c>
      <c r="B19" s="15" t="s">
        <v>431</v>
      </c>
      <c r="C19" s="74">
        <v>3900703</v>
      </c>
      <c r="D19" s="57">
        <f>COUNTIF(F$26:I$178,"3900703")</f>
        <v>22</v>
      </c>
      <c r="E19" s="59"/>
      <c r="F19" s="57">
        <f>COUNTIF(F$26:F$178,"Sedbergh 1 (W)")</f>
        <v>11</v>
      </c>
      <c r="G19" s="57"/>
      <c r="H19" s="57">
        <f>COUNTIF(H$26:H$178,"Sedbergh 1 (W)")</f>
        <v>11</v>
      </c>
      <c r="I19" s="57">
        <f>COUNTIF(F$26:F$101,"Sedbergh 1 (W)")</f>
        <v>6</v>
      </c>
      <c r="J19" s="57">
        <f>COUNTIF(F$102:F$178,"Sedbergh 1 (W)")</f>
        <v>5</v>
      </c>
      <c r="K19" s="57">
        <f>COUNTIF(H$26:H$101,"Sedbergh 1 (W)")</f>
        <v>5</v>
      </c>
      <c r="L19" s="57">
        <f>COUNTIF(H$102:H$178,"Sedbergh 1 (W)")</f>
        <v>6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</row>
    <row r="20" spans="1:41" s="76" customFormat="1" x14ac:dyDescent="0.3">
      <c r="A20" s="47">
        <f>COUNTIF(F$26:H$178,"Ulverston South Lakes Development (W)")</f>
        <v>22</v>
      </c>
      <c r="B20" s="107" t="s">
        <v>595</v>
      </c>
      <c r="C20" s="110" t="s">
        <v>563</v>
      </c>
      <c r="D20" s="57">
        <f>COUNTIF(F$26:I$178,"Code USL")</f>
        <v>22</v>
      </c>
      <c r="E20" s="59"/>
      <c r="F20" s="57">
        <f>COUNTIF(F$26:F$178,"Ulverston South Lakes Development (W)")</f>
        <v>11</v>
      </c>
      <c r="G20" s="57"/>
      <c r="H20" s="57">
        <f>COUNTIF(H$26:H$178,"Ulverston South Lakes Development (W)")</f>
        <v>11</v>
      </c>
      <c r="I20" s="57">
        <f>COUNTIF(F$26:F$101,"Ulverston South Lakes Development (W)")</f>
        <v>5</v>
      </c>
      <c r="J20" s="57">
        <f>COUNTIF(F$102:F$178,"Ulverston South Lakes Development (W)")</f>
        <v>6</v>
      </c>
      <c r="K20" s="57">
        <f>COUNTIF(H$26:H$101,"Ulverston South Lakes Development (W)")</f>
        <v>6</v>
      </c>
      <c r="L20" s="57">
        <f>COUNTIF(H$102:H$178,"Ulverston South Lakes Development (W)")</f>
        <v>5</v>
      </c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</row>
    <row r="21" spans="1:41" s="76" customFormat="1" x14ac:dyDescent="0.3">
      <c r="A21" s="47">
        <f>COUNTIF(F$26:H$178,"Wigton 2 (W)")</f>
        <v>22</v>
      </c>
      <c r="B21" s="15" t="s">
        <v>300</v>
      </c>
      <c r="C21" s="74">
        <v>3194805</v>
      </c>
      <c r="D21" s="57">
        <f>COUNTIF(F$26:I$178,"3194805")</f>
        <v>22</v>
      </c>
      <c r="E21" s="59"/>
      <c r="F21" s="57">
        <f>COUNTIF(F$26:F$178,"Wigton 2 (W)")</f>
        <v>11</v>
      </c>
      <c r="G21" s="57"/>
      <c r="H21" s="57">
        <f>COUNTIF(H$26:H$178,"Wigton 2 (W)")</f>
        <v>11</v>
      </c>
      <c r="I21" s="57">
        <f>COUNTIF(F$26:F$101,"Wigton 2 (W)")</f>
        <v>6</v>
      </c>
      <c r="J21" s="57">
        <f>COUNTIF(F$102:F$178,"Wigton 2 (W)")</f>
        <v>5</v>
      </c>
      <c r="K21" s="57">
        <f>COUNTIF(H$26:H$101,"Wigton 2 (W)")</f>
        <v>5</v>
      </c>
      <c r="L21" s="57">
        <f>COUNTIF(H$102:H$178,"Wigton 2 (W)")</f>
        <v>6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</row>
    <row r="23" spans="1:41" ht="21" x14ac:dyDescent="0.4">
      <c r="B23" s="22" t="s">
        <v>93</v>
      </c>
    </row>
    <row r="24" spans="1:41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41" x14ac:dyDescent="0.3">
      <c r="B25" s="40"/>
      <c r="C25" s="14"/>
      <c r="D25" s="14"/>
      <c r="E25" s="14"/>
      <c r="F25" s="14"/>
      <c r="G25" s="14"/>
      <c r="H25" s="13"/>
      <c r="I25" s="14"/>
    </row>
    <row r="26" spans="1:41" x14ac:dyDescent="0.3">
      <c r="B26" s="44">
        <v>45913</v>
      </c>
      <c r="C26" s="3" t="s">
        <v>416</v>
      </c>
      <c r="D26" s="3" t="s">
        <v>60</v>
      </c>
      <c r="E26" s="101"/>
      <c r="F26" s="3" t="s">
        <v>445</v>
      </c>
      <c r="G26" s="4">
        <v>3204102</v>
      </c>
      <c r="H26" s="32" t="s">
        <v>293</v>
      </c>
      <c r="I26" s="15">
        <v>3211705</v>
      </c>
    </row>
    <row r="27" spans="1:41" x14ac:dyDescent="0.3">
      <c r="B27" s="44">
        <v>45913</v>
      </c>
      <c r="C27" s="3" t="s">
        <v>416</v>
      </c>
      <c r="D27" s="3" t="s">
        <v>60</v>
      </c>
      <c r="E27" s="101"/>
      <c r="F27" s="3" t="s">
        <v>298</v>
      </c>
      <c r="G27" s="32">
        <v>3817807</v>
      </c>
      <c r="H27" s="3" t="s">
        <v>299</v>
      </c>
      <c r="I27" s="32">
        <v>3199102</v>
      </c>
    </row>
    <row r="28" spans="1:41" x14ac:dyDescent="0.3">
      <c r="B28" s="44">
        <v>45913</v>
      </c>
      <c r="C28" s="3" t="s">
        <v>416</v>
      </c>
      <c r="D28" s="3" t="s">
        <v>60</v>
      </c>
      <c r="E28" s="101"/>
      <c r="F28" s="3" t="s">
        <v>446</v>
      </c>
      <c r="G28" s="32">
        <v>3204206</v>
      </c>
      <c r="H28" s="3" t="s">
        <v>295</v>
      </c>
      <c r="I28" s="32">
        <v>3207505</v>
      </c>
    </row>
    <row r="29" spans="1:41" x14ac:dyDescent="0.3">
      <c r="B29" s="44">
        <v>45913</v>
      </c>
      <c r="C29" s="3" t="s">
        <v>416</v>
      </c>
      <c r="D29" s="3" t="s">
        <v>60</v>
      </c>
      <c r="E29" s="101"/>
      <c r="F29" s="3" t="s">
        <v>300</v>
      </c>
      <c r="G29" s="32">
        <v>3194805</v>
      </c>
      <c r="H29" s="3" t="s">
        <v>595</v>
      </c>
      <c r="I29" s="32" t="s">
        <v>563</v>
      </c>
    </row>
    <row r="30" spans="1:41" x14ac:dyDescent="0.3">
      <c r="B30" s="44">
        <v>45913</v>
      </c>
      <c r="C30" s="3" t="s">
        <v>416</v>
      </c>
      <c r="D30" s="3" t="s">
        <v>60</v>
      </c>
      <c r="E30" s="101"/>
      <c r="F30" s="3" t="s">
        <v>444</v>
      </c>
      <c r="G30" s="32">
        <v>3209909</v>
      </c>
      <c r="H30" s="3" t="s">
        <v>431</v>
      </c>
      <c r="I30" s="32">
        <v>3900703</v>
      </c>
    </row>
    <row r="31" spans="1:41" x14ac:dyDescent="0.3">
      <c r="B31" s="44">
        <v>45913</v>
      </c>
      <c r="C31" s="3" t="s">
        <v>416</v>
      </c>
      <c r="D31" s="3" t="s">
        <v>60</v>
      </c>
      <c r="E31" s="101"/>
      <c r="F31" s="3" t="s">
        <v>296</v>
      </c>
      <c r="G31" s="4">
        <v>3203905</v>
      </c>
      <c r="H31" s="3" t="s">
        <v>294</v>
      </c>
      <c r="I31" s="32">
        <v>3209409</v>
      </c>
    </row>
    <row r="32" spans="1:41" x14ac:dyDescent="0.3">
      <c r="B32" s="4"/>
      <c r="E32" s="101"/>
      <c r="F32" s="3" t="s">
        <v>418</v>
      </c>
      <c r="I32" s="3"/>
    </row>
    <row r="33" spans="2:12" x14ac:dyDescent="0.3">
      <c r="B33" s="44">
        <v>45920</v>
      </c>
      <c r="C33" s="3" t="s">
        <v>416</v>
      </c>
      <c r="D33" s="3" t="s">
        <v>60</v>
      </c>
      <c r="E33" s="101"/>
      <c r="F33" s="3" t="s">
        <v>294</v>
      </c>
      <c r="G33" s="4">
        <v>3209409</v>
      </c>
      <c r="H33" s="3" t="s">
        <v>444</v>
      </c>
      <c r="I33" s="32">
        <v>3209909</v>
      </c>
    </row>
    <row r="34" spans="2:12" x14ac:dyDescent="0.3">
      <c r="B34" s="44">
        <v>45920</v>
      </c>
      <c r="C34" s="3" t="s">
        <v>416</v>
      </c>
      <c r="D34" s="3" t="s">
        <v>60</v>
      </c>
      <c r="E34" s="101"/>
      <c r="F34" s="3" t="s">
        <v>299</v>
      </c>
      <c r="G34" s="4">
        <v>3199102</v>
      </c>
      <c r="H34" s="3" t="s">
        <v>300</v>
      </c>
      <c r="I34" s="32">
        <v>3194805</v>
      </c>
      <c r="K34" s="73"/>
      <c r="L34" s="15"/>
    </row>
    <row r="35" spans="2:12" x14ac:dyDescent="0.3">
      <c r="B35" s="44">
        <v>45920</v>
      </c>
      <c r="C35" s="3" t="s">
        <v>416</v>
      </c>
      <c r="D35" s="3" t="s">
        <v>60</v>
      </c>
      <c r="E35" s="101"/>
      <c r="F35" s="3" t="s">
        <v>431</v>
      </c>
      <c r="G35" s="4">
        <v>3900703</v>
      </c>
      <c r="H35" s="3" t="s">
        <v>298</v>
      </c>
      <c r="I35" s="32">
        <v>3817807</v>
      </c>
      <c r="K35" s="32"/>
      <c r="L35" s="15"/>
    </row>
    <row r="36" spans="2:12" x14ac:dyDescent="0.3">
      <c r="B36" s="44">
        <v>45920</v>
      </c>
      <c r="C36" s="3" t="s">
        <v>416</v>
      </c>
      <c r="D36" s="3" t="s">
        <v>60</v>
      </c>
      <c r="E36" s="101"/>
      <c r="F36" s="32" t="s">
        <v>293</v>
      </c>
      <c r="G36" s="15">
        <v>3211705</v>
      </c>
      <c r="H36" s="3" t="s">
        <v>296</v>
      </c>
      <c r="I36" s="4">
        <v>3203905</v>
      </c>
      <c r="K36" s="73"/>
      <c r="L36" s="15"/>
    </row>
    <row r="37" spans="2:12" x14ac:dyDescent="0.3">
      <c r="B37" s="44">
        <v>45920</v>
      </c>
      <c r="C37" s="3" t="s">
        <v>416</v>
      </c>
      <c r="D37" s="3" t="s">
        <v>60</v>
      </c>
      <c r="E37" s="101"/>
      <c r="F37" s="3" t="s">
        <v>295</v>
      </c>
      <c r="G37" s="4">
        <v>3207505</v>
      </c>
      <c r="H37" s="3" t="s">
        <v>445</v>
      </c>
      <c r="I37" s="4">
        <v>3204102</v>
      </c>
      <c r="K37" s="3"/>
      <c r="L37" s="74"/>
    </row>
    <row r="38" spans="2:12" x14ac:dyDescent="0.3">
      <c r="B38" s="44">
        <v>45920</v>
      </c>
      <c r="C38" s="3" t="s">
        <v>416</v>
      </c>
      <c r="D38" s="3" t="s">
        <v>60</v>
      </c>
      <c r="E38" s="101"/>
      <c r="F38" s="3" t="s">
        <v>595</v>
      </c>
      <c r="G38" s="4" t="s">
        <v>563</v>
      </c>
      <c r="H38" s="3" t="s">
        <v>446</v>
      </c>
      <c r="I38" s="32">
        <v>3204206</v>
      </c>
      <c r="K38" s="73"/>
      <c r="L38" s="15"/>
    </row>
    <row r="39" spans="2:12" x14ac:dyDescent="0.3">
      <c r="B39" s="4"/>
      <c r="E39" s="101"/>
      <c r="I39" s="3"/>
      <c r="K39" s="73"/>
      <c r="L39" s="74"/>
    </row>
    <row r="40" spans="2:12" x14ac:dyDescent="0.3">
      <c r="B40" s="44">
        <v>45927</v>
      </c>
      <c r="C40" s="3" t="s">
        <v>416</v>
      </c>
      <c r="D40" s="3" t="s">
        <v>60</v>
      </c>
      <c r="E40" s="101"/>
      <c r="F40" s="3" t="s">
        <v>445</v>
      </c>
      <c r="G40" s="4">
        <v>3204102</v>
      </c>
      <c r="H40" s="3" t="s">
        <v>595</v>
      </c>
      <c r="I40" s="32" t="s">
        <v>563</v>
      </c>
      <c r="K40" s="4"/>
      <c r="L40" s="4"/>
    </row>
    <row r="41" spans="2:12" x14ac:dyDescent="0.3">
      <c r="B41" s="44">
        <v>45927</v>
      </c>
      <c r="C41" s="3" t="s">
        <v>416</v>
      </c>
      <c r="D41" s="3" t="s">
        <v>60</v>
      </c>
      <c r="E41" s="101"/>
      <c r="F41" s="3" t="s">
        <v>446</v>
      </c>
      <c r="G41" s="4">
        <v>3204206</v>
      </c>
      <c r="H41" s="3" t="s">
        <v>299</v>
      </c>
      <c r="I41" s="32">
        <v>3199102</v>
      </c>
      <c r="K41" s="73"/>
      <c r="L41" s="15"/>
    </row>
    <row r="42" spans="2:12" x14ac:dyDescent="0.3">
      <c r="B42" s="44">
        <v>45927</v>
      </c>
      <c r="C42" s="3" t="s">
        <v>416</v>
      </c>
      <c r="D42" s="3" t="s">
        <v>60</v>
      </c>
      <c r="E42" s="101"/>
      <c r="F42" s="3" t="s">
        <v>431</v>
      </c>
      <c r="G42" s="4">
        <v>3900703</v>
      </c>
      <c r="H42" s="3" t="s">
        <v>294</v>
      </c>
      <c r="I42" s="32">
        <v>3209409</v>
      </c>
      <c r="K42" s="73"/>
      <c r="L42" s="15"/>
    </row>
    <row r="43" spans="2:12" x14ac:dyDescent="0.3">
      <c r="B43" s="44">
        <v>45927</v>
      </c>
      <c r="C43" s="3" t="s">
        <v>416</v>
      </c>
      <c r="D43" s="3" t="s">
        <v>60</v>
      </c>
      <c r="E43" s="101"/>
      <c r="F43" s="3" t="s">
        <v>300</v>
      </c>
      <c r="G43" s="4">
        <v>3194805</v>
      </c>
      <c r="H43" s="3" t="s">
        <v>298</v>
      </c>
      <c r="I43" s="32">
        <v>3817807</v>
      </c>
      <c r="K43" s="73"/>
      <c r="L43" s="15"/>
    </row>
    <row r="44" spans="2:12" x14ac:dyDescent="0.3">
      <c r="B44" s="44">
        <v>45927</v>
      </c>
      <c r="C44" s="3" t="s">
        <v>416</v>
      </c>
      <c r="D44" s="3" t="s">
        <v>60</v>
      </c>
      <c r="E44" s="101"/>
      <c r="F44" s="3" t="s">
        <v>444</v>
      </c>
      <c r="G44" s="4">
        <v>3209909</v>
      </c>
      <c r="H44" s="32" t="s">
        <v>293</v>
      </c>
      <c r="I44" s="15">
        <v>3211705</v>
      </c>
      <c r="K44" s="3"/>
      <c r="L44" s="74"/>
    </row>
    <row r="45" spans="2:12" x14ac:dyDescent="0.3">
      <c r="B45" s="44">
        <v>45927</v>
      </c>
      <c r="C45" s="3" t="s">
        <v>416</v>
      </c>
      <c r="D45" s="3" t="s">
        <v>60</v>
      </c>
      <c r="E45" s="101"/>
      <c r="F45" s="3" t="s">
        <v>296</v>
      </c>
      <c r="G45" s="4">
        <v>3203905</v>
      </c>
      <c r="H45" s="3" t="s">
        <v>295</v>
      </c>
      <c r="I45" s="32">
        <v>3207505</v>
      </c>
      <c r="K45" s="73"/>
      <c r="L45" s="15"/>
    </row>
    <row r="46" spans="2:12" x14ac:dyDescent="0.3">
      <c r="B46" s="4"/>
      <c r="E46" s="101"/>
      <c r="I46" s="3"/>
      <c r="K46" s="73"/>
      <c r="L46" s="15"/>
    </row>
    <row r="47" spans="2:12" x14ac:dyDescent="0.3">
      <c r="B47" s="44">
        <v>45934</v>
      </c>
      <c r="C47" s="3" t="s">
        <v>416</v>
      </c>
      <c r="D47" s="3" t="s">
        <v>60</v>
      </c>
      <c r="E47" s="101"/>
      <c r="F47" s="3" t="s">
        <v>298</v>
      </c>
      <c r="G47" s="4">
        <v>3817807</v>
      </c>
      <c r="H47" s="3" t="s">
        <v>446</v>
      </c>
      <c r="I47" s="32">
        <v>3204206</v>
      </c>
      <c r="K47" s="4"/>
      <c r="L47" s="4"/>
    </row>
    <row r="48" spans="2:12" x14ac:dyDescent="0.3">
      <c r="B48" s="44">
        <v>45934</v>
      </c>
      <c r="C48" s="3" t="s">
        <v>416</v>
      </c>
      <c r="D48" s="3" t="s">
        <v>60</v>
      </c>
      <c r="E48" s="101"/>
      <c r="F48" s="3" t="s">
        <v>299</v>
      </c>
      <c r="G48" s="4">
        <v>3199102</v>
      </c>
      <c r="H48" s="3" t="s">
        <v>445</v>
      </c>
      <c r="I48" s="4">
        <v>3204102</v>
      </c>
      <c r="K48" s="73"/>
      <c r="L48" s="15"/>
    </row>
    <row r="49" spans="2:12" x14ac:dyDescent="0.3">
      <c r="B49" s="44">
        <v>45934</v>
      </c>
      <c r="C49" s="3" t="s">
        <v>416</v>
      </c>
      <c r="D49" s="3" t="s">
        <v>60</v>
      </c>
      <c r="E49" s="101"/>
      <c r="F49" s="3" t="s">
        <v>300</v>
      </c>
      <c r="G49" s="4">
        <v>3194805</v>
      </c>
      <c r="H49" s="3" t="s">
        <v>431</v>
      </c>
      <c r="I49" s="4">
        <v>3900703</v>
      </c>
      <c r="K49" s="32"/>
      <c r="L49" s="15"/>
    </row>
    <row r="50" spans="2:12" x14ac:dyDescent="0.3">
      <c r="B50" s="44">
        <v>45934</v>
      </c>
      <c r="C50" s="3" t="s">
        <v>416</v>
      </c>
      <c r="D50" s="3" t="s">
        <v>60</v>
      </c>
      <c r="E50" s="101"/>
      <c r="F50" s="32" t="s">
        <v>293</v>
      </c>
      <c r="G50" s="15">
        <v>3211705</v>
      </c>
      <c r="H50" s="3" t="s">
        <v>294</v>
      </c>
      <c r="I50" s="32">
        <v>3209409</v>
      </c>
      <c r="K50" s="73"/>
      <c r="L50" s="15"/>
    </row>
    <row r="51" spans="2:12" x14ac:dyDescent="0.3">
      <c r="B51" s="44">
        <v>45934</v>
      </c>
      <c r="C51" s="3" t="s">
        <v>416</v>
      </c>
      <c r="D51" s="3" t="s">
        <v>60</v>
      </c>
      <c r="E51" s="101"/>
      <c r="F51" s="3" t="s">
        <v>295</v>
      </c>
      <c r="G51" s="4">
        <v>3207505</v>
      </c>
      <c r="H51" s="3" t="s">
        <v>444</v>
      </c>
      <c r="I51" s="32">
        <v>3209909</v>
      </c>
      <c r="K51" s="73"/>
      <c r="L51" s="15"/>
    </row>
    <row r="52" spans="2:12" x14ac:dyDescent="0.3">
      <c r="B52" s="44">
        <v>45934</v>
      </c>
      <c r="C52" s="3" t="s">
        <v>416</v>
      </c>
      <c r="D52" s="3" t="s">
        <v>60</v>
      </c>
      <c r="E52" s="101"/>
      <c r="F52" s="3" t="s">
        <v>595</v>
      </c>
      <c r="G52" s="4" t="s">
        <v>563</v>
      </c>
      <c r="H52" s="3" t="s">
        <v>296</v>
      </c>
      <c r="I52" s="4">
        <v>3203905</v>
      </c>
      <c r="K52" s="32"/>
      <c r="L52" s="15"/>
    </row>
    <row r="53" spans="2:12" x14ac:dyDescent="0.3">
      <c r="B53" s="4"/>
      <c r="E53" s="101"/>
      <c r="I53" s="3"/>
      <c r="K53" s="73"/>
      <c r="L53" s="74"/>
    </row>
    <row r="54" spans="2:12" x14ac:dyDescent="0.3">
      <c r="B54" s="44">
        <v>45941</v>
      </c>
      <c r="C54" s="3" t="s">
        <v>416</v>
      </c>
      <c r="D54" s="3" t="s">
        <v>60</v>
      </c>
      <c r="E54" s="101"/>
      <c r="F54" s="3" t="s">
        <v>445</v>
      </c>
      <c r="G54" s="4">
        <v>3204102</v>
      </c>
      <c r="H54" s="3" t="s">
        <v>298</v>
      </c>
      <c r="I54" s="32">
        <v>3817807</v>
      </c>
      <c r="K54" s="4"/>
      <c r="L54" s="4"/>
    </row>
    <row r="55" spans="2:12" x14ac:dyDescent="0.3">
      <c r="B55" s="44">
        <v>45941</v>
      </c>
      <c r="C55" s="3" t="s">
        <v>416</v>
      </c>
      <c r="D55" s="3" t="s">
        <v>60</v>
      </c>
      <c r="E55" s="101"/>
      <c r="F55" s="3" t="s">
        <v>294</v>
      </c>
      <c r="G55" s="4">
        <v>3209409</v>
      </c>
      <c r="H55" s="3" t="s">
        <v>295</v>
      </c>
      <c r="I55" s="32">
        <v>3207505</v>
      </c>
      <c r="K55" s="73"/>
      <c r="L55" s="15"/>
    </row>
    <row r="56" spans="2:12" x14ac:dyDescent="0.3">
      <c r="B56" s="44">
        <v>45941</v>
      </c>
      <c r="C56" s="3" t="s">
        <v>416</v>
      </c>
      <c r="D56" s="3" t="s">
        <v>60</v>
      </c>
      <c r="E56" s="101"/>
      <c r="F56" s="3" t="s">
        <v>446</v>
      </c>
      <c r="G56" s="4">
        <v>3204206</v>
      </c>
      <c r="H56" s="3" t="s">
        <v>300</v>
      </c>
      <c r="I56" s="32">
        <v>3194805</v>
      </c>
      <c r="K56" s="73"/>
      <c r="L56" s="15"/>
    </row>
    <row r="57" spans="2:12" x14ac:dyDescent="0.3">
      <c r="B57" s="44">
        <v>45941</v>
      </c>
      <c r="C57" s="3" t="s">
        <v>416</v>
      </c>
      <c r="D57" s="3" t="s">
        <v>60</v>
      </c>
      <c r="E57" s="101"/>
      <c r="F57" s="3" t="s">
        <v>431</v>
      </c>
      <c r="G57" s="4">
        <v>3900703</v>
      </c>
      <c r="H57" s="32" t="s">
        <v>293</v>
      </c>
      <c r="I57" s="15">
        <v>3211705</v>
      </c>
      <c r="K57" s="73"/>
      <c r="L57" s="15"/>
    </row>
    <row r="58" spans="2:12" x14ac:dyDescent="0.3">
      <c r="B58" s="44">
        <v>45941</v>
      </c>
      <c r="C58" s="3" t="s">
        <v>416</v>
      </c>
      <c r="D58" s="3" t="s">
        <v>60</v>
      </c>
      <c r="E58" s="101"/>
      <c r="F58" s="3" t="s">
        <v>444</v>
      </c>
      <c r="G58" s="4">
        <v>3209909</v>
      </c>
      <c r="H58" s="3" t="s">
        <v>595</v>
      </c>
      <c r="I58" s="32" t="s">
        <v>563</v>
      </c>
      <c r="K58" s="73"/>
      <c r="L58" s="15"/>
    </row>
    <row r="59" spans="2:12" x14ac:dyDescent="0.3">
      <c r="B59" s="44">
        <v>45941</v>
      </c>
      <c r="C59" s="3" t="s">
        <v>416</v>
      </c>
      <c r="D59" s="3" t="s">
        <v>60</v>
      </c>
      <c r="E59" s="101"/>
      <c r="F59" s="3" t="s">
        <v>296</v>
      </c>
      <c r="G59" s="4">
        <v>3203905</v>
      </c>
      <c r="H59" s="3" t="s">
        <v>299</v>
      </c>
      <c r="I59" s="32">
        <v>3199102</v>
      </c>
      <c r="K59" s="73"/>
      <c r="L59" s="15"/>
    </row>
    <row r="60" spans="2:12" x14ac:dyDescent="0.3">
      <c r="B60" s="4"/>
      <c r="E60" s="101"/>
      <c r="I60" s="3"/>
      <c r="K60" s="73"/>
      <c r="L60" s="15"/>
    </row>
    <row r="61" spans="2:12" x14ac:dyDescent="0.3">
      <c r="B61" s="44">
        <v>45948</v>
      </c>
      <c r="C61" s="3" t="s">
        <v>416</v>
      </c>
      <c r="D61" s="3" t="s">
        <v>60</v>
      </c>
      <c r="E61" s="101"/>
      <c r="F61" s="3" t="s">
        <v>298</v>
      </c>
      <c r="G61" s="4">
        <v>3817807</v>
      </c>
      <c r="H61" s="3" t="s">
        <v>296</v>
      </c>
      <c r="I61" s="4">
        <v>3203905</v>
      </c>
      <c r="K61" s="4"/>
      <c r="L61" s="4"/>
    </row>
    <row r="62" spans="2:12" x14ac:dyDescent="0.3">
      <c r="B62" s="44">
        <v>45948</v>
      </c>
      <c r="C62" s="3" t="s">
        <v>416</v>
      </c>
      <c r="D62" s="3" t="s">
        <v>60</v>
      </c>
      <c r="E62" s="101"/>
      <c r="F62" s="3" t="s">
        <v>299</v>
      </c>
      <c r="G62" s="4">
        <v>3199102</v>
      </c>
      <c r="H62" s="3" t="s">
        <v>444</v>
      </c>
      <c r="I62" s="32">
        <v>3209909</v>
      </c>
      <c r="K62" s="73"/>
      <c r="L62" s="15"/>
    </row>
    <row r="63" spans="2:12" x14ac:dyDescent="0.3">
      <c r="B63" s="44">
        <v>45948</v>
      </c>
      <c r="C63" s="3" t="s">
        <v>416</v>
      </c>
      <c r="D63" s="3" t="s">
        <v>60</v>
      </c>
      <c r="E63" s="101"/>
      <c r="F63" s="3" t="s">
        <v>446</v>
      </c>
      <c r="G63" s="4">
        <v>3204206</v>
      </c>
      <c r="H63" s="3" t="s">
        <v>431</v>
      </c>
      <c r="I63" s="4">
        <v>3900703</v>
      </c>
      <c r="K63" s="32"/>
      <c r="L63" s="15"/>
    </row>
    <row r="64" spans="2:12" x14ac:dyDescent="0.3">
      <c r="B64" s="44">
        <v>45948</v>
      </c>
      <c r="C64" s="3" t="s">
        <v>416</v>
      </c>
      <c r="D64" s="3" t="s">
        <v>60</v>
      </c>
      <c r="E64" s="101"/>
      <c r="F64" s="3" t="s">
        <v>300</v>
      </c>
      <c r="G64" s="4">
        <v>3194805</v>
      </c>
      <c r="H64" s="3" t="s">
        <v>445</v>
      </c>
      <c r="I64" s="4">
        <v>3204102</v>
      </c>
      <c r="K64" s="73"/>
      <c r="L64" s="15"/>
    </row>
    <row r="65" spans="2:12" x14ac:dyDescent="0.3">
      <c r="B65" s="44">
        <v>45948</v>
      </c>
      <c r="C65" s="3" t="s">
        <v>416</v>
      </c>
      <c r="D65" s="3" t="s">
        <v>60</v>
      </c>
      <c r="E65" s="101"/>
      <c r="F65" s="3" t="s">
        <v>295</v>
      </c>
      <c r="G65" s="4">
        <v>3207505</v>
      </c>
      <c r="H65" s="32" t="s">
        <v>293</v>
      </c>
      <c r="I65" s="15">
        <v>3211705</v>
      </c>
      <c r="K65" s="73"/>
      <c r="L65" s="15"/>
    </row>
    <row r="66" spans="2:12" x14ac:dyDescent="0.3">
      <c r="B66" s="44">
        <v>45948</v>
      </c>
      <c r="C66" s="3" t="s">
        <v>416</v>
      </c>
      <c r="D66" s="3" t="s">
        <v>60</v>
      </c>
      <c r="E66" s="101"/>
      <c r="F66" s="3" t="s">
        <v>595</v>
      </c>
      <c r="G66" s="4" t="s">
        <v>563</v>
      </c>
      <c r="H66" s="3" t="s">
        <v>294</v>
      </c>
      <c r="I66" s="32">
        <v>3209409</v>
      </c>
      <c r="K66" s="32"/>
      <c r="L66" s="15"/>
    </row>
    <row r="67" spans="2:12" x14ac:dyDescent="0.3">
      <c r="B67" s="4"/>
      <c r="E67" s="101"/>
      <c r="I67" s="3"/>
      <c r="K67" s="3"/>
      <c r="L67" s="74"/>
    </row>
    <row r="68" spans="2:12" x14ac:dyDescent="0.3">
      <c r="B68" s="44">
        <v>45962</v>
      </c>
      <c r="C68" s="3" t="s">
        <v>416</v>
      </c>
      <c r="D68" s="3" t="s">
        <v>60</v>
      </c>
      <c r="E68" s="101"/>
      <c r="F68" s="3" t="s">
        <v>445</v>
      </c>
      <c r="G68" s="4">
        <v>3204102</v>
      </c>
      <c r="H68" s="3" t="s">
        <v>446</v>
      </c>
      <c r="I68" s="32">
        <v>3204206</v>
      </c>
      <c r="K68" s="4"/>
      <c r="L68" s="4"/>
    </row>
    <row r="69" spans="2:12" x14ac:dyDescent="0.3">
      <c r="B69" s="44">
        <v>45962</v>
      </c>
      <c r="C69" s="3" t="s">
        <v>416</v>
      </c>
      <c r="D69" s="3" t="s">
        <v>60</v>
      </c>
      <c r="E69" s="101"/>
      <c r="F69" s="3" t="s">
        <v>294</v>
      </c>
      <c r="G69" s="4">
        <v>3209409</v>
      </c>
      <c r="H69" s="3" t="s">
        <v>299</v>
      </c>
      <c r="I69" s="32">
        <v>3199102</v>
      </c>
      <c r="K69" s="73"/>
      <c r="L69" s="15"/>
    </row>
    <row r="70" spans="2:12" x14ac:dyDescent="0.3">
      <c r="B70" s="44">
        <v>45962</v>
      </c>
      <c r="C70" s="3" t="s">
        <v>416</v>
      </c>
      <c r="D70" s="3" t="s">
        <v>60</v>
      </c>
      <c r="E70" s="101"/>
      <c r="F70" s="3" t="s">
        <v>295</v>
      </c>
      <c r="G70" s="32">
        <v>3207505</v>
      </c>
      <c r="H70" s="3" t="s">
        <v>431</v>
      </c>
      <c r="I70" s="4">
        <v>3900703</v>
      </c>
      <c r="K70" s="73"/>
      <c r="L70" s="15"/>
    </row>
    <row r="71" spans="2:12" x14ac:dyDescent="0.3">
      <c r="B71" s="44">
        <v>45962</v>
      </c>
      <c r="C71" s="3" t="s">
        <v>416</v>
      </c>
      <c r="D71" s="3" t="s">
        <v>60</v>
      </c>
      <c r="E71" s="101"/>
      <c r="F71" s="32" t="s">
        <v>293</v>
      </c>
      <c r="G71" s="15">
        <v>3211705</v>
      </c>
      <c r="H71" s="3" t="s">
        <v>595</v>
      </c>
      <c r="I71" s="32" t="s">
        <v>563</v>
      </c>
      <c r="K71" s="73"/>
      <c r="L71" s="15"/>
    </row>
    <row r="72" spans="2:12" x14ac:dyDescent="0.3">
      <c r="B72" s="44">
        <v>45962</v>
      </c>
      <c r="C72" s="3" t="s">
        <v>416</v>
      </c>
      <c r="D72" s="3" t="s">
        <v>60</v>
      </c>
      <c r="E72" s="101"/>
      <c r="F72" s="3" t="s">
        <v>444</v>
      </c>
      <c r="G72" s="4">
        <v>3209909</v>
      </c>
      <c r="H72" s="3" t="s">
        <v>298</v>
      </c>
      <c r="I72" s="32">
        <v>3817807</v>
      </c>
      <c r="K72" s="73"/>
      <c r="L72" s="15"/>
    </row>
    <row r="73" spans="2:12" x14ac:dyDescent="0.3">
      <c r="B73" s="44">
        <v>45962</v>
      </c>
      <c r="C73" s="3" t="s">
        <v>416</v>
      </c>
      <c r="D73" s="3" t="s">
        <v>60</v>
      </c>
      <c r="E73" s="101"/>
      <c r="F73" s="3" t="s">
        <v>296</v>
      </c>
      <c r="G73" s="4">
        <v>3203905</v>
      </c>
      <c r="H73" s="3" t="s">
        <v>300</v>
      </c>
      <c r="I73" s="32">
        <v>3194805</v>
      </c>
      <c r="K73" s="73"/>
      <c r="L73" s="15"/>
    </row>
    <row r="74" spans="2:12" x14ac:dyDescent="0.3">
      <c r="B74" s="4"/>
      <c r="E74" s="101"/>
      <c r="I74" s="3"/>
      <c r="K74" s="3"/>
      <c r="L74" s="4"/>
    </row>
    <row r="75" spans="2:12" x14ac:dyDescent="0.3">
      <c r="B75" s="44">
        <v>45969</v>
      </c>
      <c r="C75" s="3" t="s">
        <v>416</v>
      </c>
      <c r="D75" s="3" t="s">
        <v>60</v>
      </c>
      <c r="E75" s="101"/>
      <c r="F75" s="3" t="s">
        <v>445</v>
      </c>
      <c r="G75" s="4">
        <v>3204102</v>
      </c>
      <c r="H75" s="3" t="s">
        <v>431</v>
      </c>
      <c r="I75" s="4">
        <v>3900703</v>
      </c>
      <c r="K75" s="3"/>
      <c r="L75" s="4"/>
    </row>
    <row r="76" spans="2:12" x14ac:dyDescent="0.3">
      <c r="B76" s="44">
        <v>45969</v>
      </c>
      <c r="C76" s="3" t="s">
        <v>416</v>
      </c>
      <c r="D76" s="3" t="s">
        <v>60</v>
      </c>
      <c r="E76" s="101"/>
      <c r="F76" s="3" t="s">
        <v>298</v>
      </c>
      <c r="G76" s="4">
        <v>3817807</v>
      </c>
      <c r="H76" s="3" t="s">
        <v>294</v>
      </c>
      <c r="I76" s="32">
        <v>3209409</v>
      </c>
      <c r="K76" s="3"/>
      <c r="L76" s="4"/>
    </row>
    <row r="77" spans="2:12" x14ac:dyDescent="0.3">
      <c r="B77" s="44">
        <v>45969</v>
      </c>
      <c r="C77" s="3" t="s">
        <v>416</v>
      </c>
      <c r="D77" s="3" t="s">
        <v>60</v>
      </c>
      <c r="E77" s="101"/>
      <c r="F77" s="3" t="s">
        <v>299</v>
      </c>
      <c r="G77" s="4">
        <v>3199102</v>
      </c>
      <c r="H77" s="32" t="s">
        <v>293</v>
      </c>
      <c r="I77" s="15">
        <v>3211705</v>
      </c>
      <c r="K77" s="3"/>
      <c r="L77" s="4"/>
    </row>
    <row r="78" spans="2:12" x14ac:dyDescent="0.3">
      <c r="B78" s="44">
        <v>45969</v>
      </c>
      <c r="C78" s="3" t="s">
        <v>416</v>
      </c>
      <c r="D78" s="3" t="s">
        <v>60</v>
      </c>
      <c r="E78" s="101"/>
      <c r="F78" s="3" t="s">
        <v>446</v>
      </c>
      <c r="G78" s="4">
        <v>3204206</v>
      </c>
      <c r="H78" s="3" t="s">
        <v>296</v>
      </c>
      <c r="I78" s="4">
        <v>3203905</v>
      </c>
      <c r="K78" s="3"/>
      <c r="L78" s="4"/>
    </row>
    <row r="79" spans="2:12" x14ac:dyDescent="0.3">
      <c r="B79" s="44">
        <v>45969</v>
      </c>
      <c r="C79" s="3" t="s">
        <v>416</v>
      </c>
      <c r="D79" s="3" t="s">
        <v>60</v>
      </c>
      <c r="E79" s="101"/>
      <c r="F79" s="3" t="s">
        <v>300</v>
      </c>
      <c r="G79" s="4">
        <v>3194805</v>
      </c>
      <c r="H79" s="3" t="s">
        <v>444</v>
      </c>
      <c r="I79" s="32">
        <v>3209909</v>
      </c>
      <c r="K79" s="3"/>
      <c r="L79" s="4"/>
    </row>
    <row r="80" spans="2:12" x14ac:dyDescent="0.3">
      <c r="B80" s="44">
        <v>45969</v>
      </c>
      <c r="C80" s="3" t="s">
        <v>416</v>
      </c>
      <c r="D80" s="3" t="s">
        <v>60</v>
      </c>
      <c r="E80" s="101"/>
      <c r="F80" s="3" t="s">
        <v>595</v>
      </c>
      <c r="G80" s="4" t="s">
        <v>563</v>
      </c>
      <c r="H80" s="3" t="s">
        <v>295</v>
      </c>
      <c r="I80" s="32">
        <v>3207505</v>
      </c>
      <c r="K80" s="3"/>
      <c r="L80" s="4"/>
    </row>
    <row r="81" spans="2:12" x14ac:dyDescent="0.3">
      <c r="B81" s="4"/>
      <c r="E81" s="101"/>
      <c r="I81" s="3"/>
      <c r="K81" s="73"/>
      <c r="L81" s="74"/>
    </row>
    <row r="82" spans="2:12" x14ac:dyDescent="0.3">
      <c r="B82" s="44">
        <v>45976</v>
      </c>
      <c r="C82" s="3" t="s">
        <v>416</v>
      </c>
      <c r="D82" s="3" t="s">
        <v>60</v>
      </c>
      <c r="E82" s="101"/>
      <c r="F82" s="3" t="s">
        <v>294</v>
      </c>
      <c r="G82" s="4">
        <v>3209409</v>
      </c>
      <c r="H82" s="3" t="s">
        <v>300</v>
      </c>
      <c r="I82" s="32">
        <v>3194805</v>
      </c>
      <c r="K82" s="4"/>
    </row>
    <row r="83" spans="2:12" x14ac:dyDescent="0.3">
      <c r="B83" s="44">
        <v>45976</v>
      </c>
      <c r="C83" s="3" t="s">
        <v>416</v>
      </c>
      <c r="D83" s="3" t="s">
        <v>60</v>
      </c>
      <c r="E83" s="101"/>
      <c r="F83" s="3" t="s">
        <v>431</v>
      </c>
      <c r="G83" s="4">
        <v>3900703</v>
      </c>
      <c r="H83" s="3" t="s">
        <v>595</v>
      </c>
      <c r="I83" s="32" t="s">
        <v>563</v>
      </c>
      <c r="K83" s="4"/>
    </row>
    <row r="84" spans="2:12" x14ac:dyDescent="0.3">
      <c r="B84" s="44">
        <v>45976</v>
      </c>
      <c r="C84" s="3" t="s">
        <v>416</v>
      </c>
      <c r="D84" s="3" t="s">
        <v>60</v>
      </c>
      <c r="E84" s="101"/>
      <c r="F84" s="32" t="s">
        <v>293</v>
      </c>
      <c r="G84" s="15">
        <v>3211705</v>
      </c>
      <c r="H84" s="3" t="s">
        <v>298</v>
      </c>
      <c r="I84" s="32">
        <v>3817807</v>
      </c>
      <c r="K84" s="4"/>
    </row>
    <row r="85" spans="2:12" x14ac:dyDescent="0.3">
      <c r="B85" s="44">
        <v>45976</v>
      </c>
      <c r="C85" s="3" t="s">
        <v>416</v>
      </c>
      <c r="D85" s="3" t="s">
        <v>60</v>
      </c>
      <c r="E85" s="101"/>
      <c r="F85" s="3" t="s">
        <v>295</v>
      </c>
      <c r="G85" s="4">
        <v>3207505</v>
      </c>
      <c r="H85" s="3" t="s">
        <v>299</v>
      </c>
      <c r="I85" s="32">
        <v>3199102</v>
      </c>
      <c r="K85" s="4"/>
    </row>
    <row r="86" spans="2:12" x14ac:dyDescent="0.3">
      <c r="B86" s="44">
        <v>45976</v>
      </c>
      <c r="C86" s="3" t="s">
        <v>416</v>
      </c>
      <c r="D86" s="3" t="s">
        <v>60</v>
      </c>
      <c r="E86" s="101"/>
      <c r="F86" s="3" t="s">
        <v>444</v>
      </c>
      <c r="G86" s="4">
        <v>3209909</v>
      </c>
      <c r="H86" s="3" t="s">
        <v>446</v>
      </c>
      <c r="I86" s="32">
        <v>3204206</v>
      </c>
      <c r="K86" s="4"/>
    </row>
    <row r="87" spans="2:12" x14ac:dyDescent="0.3">
      <c r="B87" s="44">
        <v>45976</v>
      </c>
      <c r="C87" s="3" t="s">
        <v>416</v>
      </c>
      <c r="D87" s="3" t="s">
        <v>60</v>
      </c>
      <c r="E87" s="101"/>
      <c r="F87" s="3" t="s">
        <v>296</v>
      </c>
      <c r="G87" s="4">
        <v>3203905</v>
      </c>
      <c r="H87" s="3" t="s">
        <v>445</v>
      </c>
      <c r="I87" s="4">
        <v>3204102</v>
      </c>
      <c r="K87" s="4"/>
    </row>
    <row r="88" spans="2:12" x14ac:dyDescent="0.3">
      <c r="B88" s="4"/>
      <c r="E88" s="101"/>
      <c r="I88" s="3"/>
      <c r="K88" s="4"/>
    </row>
    <row r="89" spans="2:12" x14ac:dyDescent="0.3">
      <c r="B89" s="44">
        <v>45983</v>
      </c>
      <c r="C89" s="3" t="s">
        <v>416</v>
      </c>
      <c r="D89" s="3" t="s">
        <v>60</v>
      </c>
      <c r="E89" s="101"/>
      <c r="F89" s="3" t="s">
        <v>445</v>
      </c>
      <c r="G89" s="4">
        <v>3204102</v>
      </c>
      <c r="H89" s="3" t="s">
        <v>444</v>
      </c>
      <c r="I89" s="32">
        <v>3209909</v>
      </c>
      <c r="K89" s="4"/>
      <c r="L89" s="4"/>
    </row>
    <row r="90" spans="2:12" x14ac:dyDescent="0.3">
      <c r="B90" s="44">
        <v>45983</v>
      </c>
      <c r="C90" s="3" t="s">
        <v>416</v>
      </c>
      <c r="D90" s="3" t="s">
        <v>60</v>
      </c>
      <c r="E90" s="101"/>
      <c r="F90" s="3" t="s">
        <v>298</v>
      </c>
      <c r="G90" s="4">
        <v>3817807</v>
      </c>
      <c r="H90" s="3" t="s">
        <v>295</v>
      </c>
      <c r="I90" s="32">
        <v>3207505</v>
      </c>
      <c r="K90" s="32"/>
      <c r="L90" s="15"/>
    </row>
    <row r="91" spans="2:12" x14ac:dyDescent="0.3">
      <c r="B91" s="44">
        <v>45983</v>
      </c>
      <c r="C91" s="3" t="s">
        <v>416</v>
      </c>
      <c r="D91" s="3" t="s">
        <v>60</v>
      </c>
      <c r="E91" s="101"/>
      <c r="F91" s="3" t="s">
        <v>299</v>
      </c>
      <c r="G91" s="4">
        <v>3199102</v>
      </c>
      <c r="H91" s="3" t="s">
        <v>595</v>
      </c>
      <c r="I91" s="32" t="s">
        <v>563</v>
      </c>
      <c r="K91" s="73"/>
      <c r="L91" s="15"/>
    </row>
    <row r="92" spans="2:12" x14ac:dyDescent="0.3">
      <c r="B92" s="44">
        <v>45983</v>
      </c>
      <c r="C92" s="3" t="s">
        <v>416</v>
      </c>
      <c r="D92" s="3" t="s">
        <v>60</v>
      </c>
      <c r="E92" s="101"/>
      <c r="F92" s="3" t="s">
        <v>446</v>
      </c>
      <c r="G92" s="4">
        <v>3204206</v>
      </c>
      <c r="H92" s="3" t="s">
        <v>294</v>
      </c>
      <c r="I92" s="32">
        <v>3209409</v>
      </c>
      <c r="K92" s="73"/>
      <c r="L92" s="15"/>
    </row>
    <row r="93" spans="2:12" x14ac:dyDescent="0.3">
      <c r="B93" s="44">
        <v>45983</v>
      </c>
      <c r="C93" s="3" t="s">
        <v>416</v>
      </c>
      <c r="D93" s="3" t="s">
        <v>60</v>
      </c>
      <c r="E93" s="101"/>
      <c r="F93" s="3" t="s">
        <v>300</v>
      </c>
      <c r="G93" s="4">
        <v>3194805</v>
      </c>
      <c r="H93" s="32" t="s">
        <v>293</v>
      </c>
      <c r="I93" s="15">
        <v>3211705</v>
      </c>
      <c r="K93" s="73"/>
      <c r="L93" s="15"/>
    </row>
    <row r="94" spans="2:12" x14ac:dyDescent="0.3">
      <c r="B94" s="44">
        <v>45983</v>
      </c>
      <c r="C94" s="3" t="s">
        <v>416</v>
      </c>
      <c r="D94" s="3" t="s">
        <v>60</v>
      </c>
      <c r="E94" s="101"/>
      <c r="F94" s="3" t="s">
        <v>431</v>
      </c>
      <c r="G94" s="4">
        <v>3900703</v>
      </c>
      <c r="H94" s="3" t="s">
        <v>296</v>
      </c>
      <c r="I94" s="4">
        <v>3203905</v>
      </c>
      <c r="K94" s="3"/>
      <c r="L94" s="74"/>
    </row>
    <row r="95" spans="2:12" x14ac:dyDescent="0.3">
      <c r="B95" s="4"/>
      <c r="E95" s="101"/>
      <c r="I95" s="3"/>
      <c r="K95" s="73"/>
      <c r="L95" s="15"/>
    </row>
    <row r="96" spans="2:12" x14ac:dyDescent="0.3">
      <c r="B96" s="44">
        <v>45990</v>
      </c>
      <c r="C96" s="3" t="s">
        <v>416</v>
      </c>
      <c r="D96" s="3" t="s">
        <v>60</v>
      </c>
      <c r="E96" s="101"/>
      <c r="F96" s="3" t="s">
        <v>294</v>
      </c>
      <c r="G96" s="4">
        <v>3209409</v>
      </c>
      <c r="H96" s="3" t="s">
        <v>445</v>
      </c>
      <c r="I96" s="4">
        <v>3204102</v>
      </c>
      <c r="K96" s="4"/>
      <c r="L96" s="4"/>
    </row>
    <row r="97" spans="2:12" x14ac:dyDescent="0.3">
      <c r="B97" s="44">
        <v>45990</v>
      </c>
      <c r="C97" s="3" t="s">
        <v>416</v>
      </c>
      <c r="D97" s="3" t="s">
        <v>60</v>
      </c>
      <c r="E97" s="101"/>
      <c r="F97" s="3" t="s">
        <v>431</v>
      </c>
      <c r="G97" s="4">
        <v>3900703</v>
      </c>
      <c r="H97" s="3" t="s">
        <v>299</v>
      </c>
      <c r="I97" s="32">
        <v>3199102</v>
      </c>
      <c r="K97" s="73"/>
      <c r="L97" s="15"/>
    </row>
    <row r="98" spans="2:12" x14ac:dyDescent="0.3">
      <c r="B98" s="44">
        <v>45990</v>
      </c>
      <c r="C98" s="3" t="s">
        <v>416</v>
      </c>
      <c r="D98" s="3" t="s">
        <v>60</v>
      </c>
      <c r="E98" s="101"/>
      <c r="F98" s="32" t="s">
        <v>293</v>
      </c>
      <c r="G98" s="15">
        <v>3211705</v>
      </c>
      <c r="H98" s="3" t="s">
        <v>446</v>
      </c>
      <c r="I98" s="32">
        <v>3204206</v>
      </c>
      <c r="K98" s="73"/>
      <c r="L98" s="15"/>
    </row>
    <row r="99" spans="2:12" x14ac:dyDescent="0.3">
      <c r="B99" s="44">
        <v>45990</v>
      </c>
      <c r="C99" s="3" t="s">
        <v>416</v>
      </c>
      <c r="D99" s="3" t="s">
        <v>60</v>
      </c>
      <c r="E99" s="101"/>
      <c r="F99" s="3" t="s">
        <v>295</v>
      </c>
      <c r="G99" s="4">
        <v>3207505</v>
      </c>
      <c r="H99" s="3" t="s">
        <v>300</v>
      </c>
      <c r="I99" s="32">
        <v>3194805</v>
      </c>
      <c r="K99" s="73"/>
      <c r="L99" s="15"/>
    </row>
    <row r="100" spans="2:12" x14ac:dyDescent="0.3">
      <c r="B100" s="44">
        <v>45990</v>
      </c>
      <c r="C100" s="3" t="s">
        <v>416</v>
      </c>
      <c r="D100" s="3" t="s">
        <v>60</v>
      </c>
      <c r="E100" s="101"/>
      <c r="F100" s="3" t="s">
        <v>444</v>
      </c>
      <c r="G100" s="4">
        <v>3209909</v>
      </c>
      <c r="H100" s="3" t="s">
        <v>296</v>
      </c>
      <c r="I100" s="4">
        <v>3203905</v>
      </c>
      <c r="K100" s="73"/>
      <c r="L100" s="15"/>
    </row>
    <row r="101" spans="2:12" x14ac:dyDescent="0.3">
      <c r="B101" s="44">
        <v>45990</v>
      </c>
      <c r="C101" s="3" t="s">
        <v>416</v>
      </c>
      <c r="D101" s="3" t="s">
        <v>60</v>
      </c>
      <c r="E101" s="101"/>
      <c r="F101" s="3" t="s">
        <v>595</v>
      </c>
      <c r="G101" s="4" t="s">
        <v>563</v>
      </c>
      <c r="H101" s="3" t="s">
        <v>298</v>
      </c>
      <c r="I101" s="32">
        <v>3817807</v>
      </c>
      <c r="K101" s="73"/>
      <c r="L101" s="15"/>
    </row>
    <row r="102" spans="2:12" x14ac:dyDescent="0.3">
      <c r="B102" s="4"/>
      <c r="E102" s="101"/>
      <c r="I102" s="3"/>
      <c r="K102" s="73"/>
      <c r="L102" s="74"/>
    </row>
    <row r="103" spans="2:12" x14ac:dyDescent="0.3">
      <c r="B103" s="44">
        <v>46032</v>
      </c>
      <c r="C103" s="3" t="s">
        <v>416</v>
      </c>
      <c r="D103" s="3" t="s">
        <v>60</v>
      </c>
      <c r="E103" s="101"/>
      <c r="F103" s="3" t="s">
        <v>294</v>
      </c>
      <c r="G103" s="4">
        <v>3209409</v>
      </c>
      <c r="H103" s="3" t="s">
        <v>296</v>
      </c>
      <c r="I103" s="4">
        <v>3203905</v>
      </c>
      <c r="K103" s="4"/>
      <c r="L103" s="4"/>
    </row>
    <row r="104" spans="2:12" x14ac:dyDescent="0.3">
      <c r="B104" s="44">
        <v>46032</v>
      </c>
      <c r="C104" s="3" t="s">
        <v>416</v>
      </c>
      <c r="D104" s="3" t="s">
        <v>60</v>
      </c>
      <c r="E104" s="101"/>
      <c r="F104" s="3" t="s">
        <v>299</v>
      </c>
      <c r="G104" s="4">
        <v>3199102</v>
      </c>
      <c r="H104" s="3" t="s">
        <v>298</v>
      </c>
      <c r="I104" s="32">
        <v>3817807</v>
      </c>
      <c r="K104" s="32"/>
      <c r="L104" s="15"/>
    </row>
    <row r="105" spans="2:12" x14ac:dyDescent="0.3">
      <c r="B105" s="44">
        <v>46032</v>
      </c>
      <c r="C105" s="3" t="s">
        <v>416</v>
      </c>
      <c r="D105" s="3" t="s">
        <v>60</v>
      </c>
      <c r="E105" s="101"/>
      <c r="F105" s="3" t="s">
        <v>431</v>
      </c>
      <c r="G105" s="4">
        <v>3900703</v>
      </c>
      <c r="H105" s="3" t="s">
        <v>444</v>
      </c>
      <c r="I105" s="32">
        <v>3209909</v>
      </c>
      <c r="K105" s="73"/>
      <c r="L105" s="15"/>
    </row>
    <row r="106" spans="2:12" x14ac:dyDescent="0.3">
      <c r="B106" s="44">
        <v>46032</v>
      </c>
      <c r="C106" s="3" t="s">
        <v>416</v>
      </c>
      <c r="D106" s="3" t="s">
        <v>60</v>
      </c>
      <c r="E106" s="101"/>
      <c r="F106" s="32" t="s">
        <v>293</v>
      </c>
      <c r="G106" s="15">
        <v>3211705</v>
      </c>
      <c r="H106" s="3" t="s">
        <v>445</v>
      </c>
      <c r="I106" s="4">
        <v>3204102</v>
      </c>
      <c r="K106" s="32"/>
      <c r="L106" s="15"/>
    </row>
    <row r="107" spans="2:12" x14ac:dyDescent="0.3">
      <c r="B107" s="44">
        <v>46032</v>
      </c>
      <c r="C107" s="3" t="s">
        <v>416</v>
      </c>
      <c r="D107" s="3" t="s">
        <v>60</v>
      </c>
      <c r="E107" s="101"/>
      <c r="F107" s="3" t="s">
        <v>295</v>
      </c>
      <c r="G107" s="4">
        <v>3207505</v>
      </c>
      <c r="H107" s="3" t="s">
        <v>446</v>
      </c>
      <c r="I107" s="32">
        <v>3204206</v>
      </c>
      <c r="K107" s="3"/>
      <c r="L107" s="74"/>
    </row>
    <row r="108" spans="2:12" x14ac:dyDescent="0.3">
      <c r="B108" s="44">
        <v>46032</v>
      </c>
      <c r="C108" s="3" t="s">
        <v>416</v>
      </c>
      <c r="D108" s="3" t="s">
        <v>60</v>
      </c>
      <c r="E108" s="101"/>
      <c r="F108" s="3" t="s">
        <v>595</v>
      </c>
      <c r="G108" s="4" t="s">
        <v>563</v>
      </c>
      <c r="H108" s="3" t="s">
        <v>300</v>
      </c>
      <c r="I108" s="32">
        <v>3194805</v>
      </c>
      <c r="K108" s="73"/>
      <c r="L108" s="15"/>
    </row>
    <row r="109" spans="2:12" x14ac:dyDescent="0.3">
      <c r="B109" s="4"/>
      <c r="E109" s="101"/>
      <c r="I109" s="3"/>
      <c r="K109" s="73"/>
      <c r="L109" s="15"/>
    </row>
    <row r="110" spans="2:12" x14ac:dyDescent="0.3">
      <c r="B110" s="44">
        <v>46039</v>
      </c>
      <c r="C110" s="3" t="s">
        <v>416</v>
      </c>
      <c r="D110" s="3" t="s">
        <v>60</v>
      </c>
      <c r="E110" s="101"/>
      <c r="F110" s="3" t="s">
        <v>445</v>
      </c>
      <c r="G110" s="4">
        <v>3204102</v>
      </c>
      <c r="H110" s="3" t="s">
        <v>295</v>
      </c>
      <c r="I110" s="32">
        <v>3207505</v>
      </c>
      <c r="K110" s="4"/>
      <c r="L110" s="4"/>
    </row>
    <row r="111" spans="2:12" x14ac:dyDescent="0.3">
      <c r="B111" s="44">
        <v>46039</v>
      </c>
      <c r="C111" s="3" t="s">
        <v>416</v>
      </c>
      <c r="D111" s="3" t="s">
        <v>60</v>
      </c>
      <c r="E111" s="101"/>
      <c r="F111" s="3" t="s">
        <v>298</v>
      </c>
      <c r="G111" s="4">
        <v>3817807</v>
      </c>
      <c r="H111" s="3" t="s">
        <v>431</v>
      </c>
      <c r="I111" s="4">
        <v>3900703</v>
      </c>
      <c r="K111" s="32"/>
      <c r="L111" s="15"/>
    </row>
    <row r="112" spans="2:12" x14ac:dyDescent="0.3">
      <c r="B112" s="44">
        <v>46039</v>
      </c>
      <c r="C112" s="3" t="s">
        <v>416</v>
      </c>
      <c r="D112" s="3" t="s">
        <v>60</v>
      </c>
      <c r="E112" s="101"/>
      <c r="F112" s="3" t="s">
        <v>446</v>
      </c>
      <c r="G112" s="4">
        <v>3204206</v>
      </c>
      <c r="H112" s="3" t="s">
        <v>595</v>
      </c>
      <c r="I112" s="32" t="s">
        <v>563</v>
      </c>
      <c r="K112" s="73"/>
      <c r="L112" s="15"/>
    </row>
    <row r="113" spans="2:12" x14ac:dyDescent="0.3">
      <c r="B113" s="44">
        <v>46039</v>
      </c>
      <c r="C113" s="3" t="s">
        <v>416</v>
      </c>
      <c r="D113" s="3" t="s">
        <v>60</v>
      </c>
      <c r="E113" s="101"/>
      <c r="F113" s="3" t="s">
        <v>300</v>
      </c>
      <c r="G113" s="4">
        <v>3194805</v>
      </c>
      <c r="H113" s="3" t="s">
        <v>299</v>
      </c>
      <c r="I113" s="32">
        <v>3199102</v>
      </c>
      <c r="K113" s="73"/>
      <c r="L113" s="15"/>
    </row>
    <row r="114" spans="2:12" x14ac:dyDescent="0.3">
      <c r="B114" s="44">
        <v>46039</v>
      </c>
      <c r="C114" s="3" t="s">
        <v>416</v>
      </c>
      <c r="D114" s="3" t="s">
        <v>60</v>
      </c>
      <c r="E114" s="101"/>
      <c r="F114" s="3" t="s">
        <v>444</v>
      </c>
      <c r="G114" s="4">
        <v>3209909</v>
      </c>
      <c r="H114" s="3" t="s">
        <v>294</v>
      </c>
      <c r="I114" s="32">
        <v>3209409</v>
      </c>
      <c r="K114" s="73"/>
      <c r="L114" s="15"/>
    </row>
    <row r="115" spans="2:12" x14ac:dyDescent="0.3">
      <c r="B115" s="44">
        <v>46039</v>
      </c>
      <c r="C115" s="3" t="s">
        <v>416</v>
      </c>
      <c r="D115" s="3" t="s">
        <v>60</v>
      </c>
      <c r="E115" s="101"/>
      <c r="F115" s="3" t="s">
        <v>296</v>
      </c>
      <c r="G115" s="4">
        <v>3203905</v>
      </c>
      <c r="H115" s="32" t="s">
        <v>293</v>
      </c>
      <c r="I115" s="15">
        <v>3211705</v>
      </c>
      <c r="K115" s="73"/>
      <c r="L115" s="15"/>
    </row>
    <row r="116" spans="2:12" x14ac:dyDescent="0.3">
      <c r="B116" s="4"/>
      <c r="E116" s="101"/>
      <c r="I116" s="3"/>
      <c r="K116" s="73"/>
      <c r="L116" s="15"/>
    </row>
    <row r="117" spans="2:12" x14ac:dyDescent="0.3">
      <c r="B117" s="44">
        <v>46046</v>
      </c>
      <c r="C117" s="3" t="s">
        <v>416</v>
      </c>
      <c r="D117" s="3" t="s">
        <v>60</v>
      </c>
      <c r="E117" s="101"/>
      <c r="F117" s="3" t="s">
        <v>294</v>
      </c>
      <c r="G117" s="4">
        <v>3209409</v>
      </c>
      <c r="H117" s="3" t="s">
        <v>431</v>
      </c>
      <c r="I117" s="4">
        <v>3900703</v>
      </c>
      <c r="K117" s="4"/>
      <c r="L117" s="4"/>
    </row>
    <row r="118" spans="2:12" x14ac:dyDescent="0.3">
      <c r="B118" s="44">
        <v>46046</v>
      </c>
      <c r="C118" s="3" t="s">
        <v>416</v>
      </c>
      <c r="D118" s="3" t="s">
        <v>60</v>
      </c>
      <c r="E118" s="101"/>
      <c r="F118" s="3" t="s">
        <v>298</v>
      </c>
      <c r="G118" s="4">
        <v>3817807</v>
      </c>
      <c r="H118" s="3" t="s">
        <v>300</v>
      </c>
      <c r="I118" s="32">
        <v>3194805</v>
      </c>
      <c r="K118" s="73"/>
      <c r="L118" s="15"/>
    </row>
    <row r="119" spans="2:12" x14ac:dyDescent="0.3">
      <c r="B119" s="44">
        <v>46046</v>
      </c>
      <c r="C119" s="3" t="s">
        <v>416</v>
      </c>
      <c r="D119" s="3" t="s">
        <v>60</v>
      </c>
      <c r="E119" s="101"/>
      <c r="F119" s="3" t="s">
        <v>299</v>
      </c>
      <c r="G119" s="4">
        <v>3199102</v>
      </c>
      <c r="H119" s="3" t="s">
        <v>446</v>
      </c>
      <c r="I119" s="32">
        <v>3204206</v>
      </c>
      <c r="K119" s="32"/>
      <c r="L119" s="15"/>
    </row>
    <row r="120" spans="2:12" x14ac:dyDescent="0.3">
      <c r="B120" s="44">
        <v>46046</v>
      </c>
      <c r="C120" s="3" t="s">
        <v>416</v>
      </c>
      <c r="D120" s="3" t="s">
        <v>60</v>
      </c>
      <c r="E120" s="101"/>
      <c r="F120" s="32" t="s">
        <v>293</v>
      </c>
      <c r="G120" s="15">
        <v>3211705</v>
      </c>
      <c r="H120" s="3" t="s">
        <v>444</v>
      </c>
      <c r="I120" s="32">
        <v>3209909</v>
      </c>
      <c r="K120" s="73"/>
      <c r="L120" s="15"/>
    </row>
    <row r="121" spans="2:12" x14ac:dyDescent="0.3">
      <c r="B121" s="44">
        <v>46046</v>
      </c>
      <c r="C121" s="3" t="s">
        <v>416</v>
      </c>
      <c r="D121" s="3" t="s">
        <v>60</v>
      </c>
      <c r="E121" s="101"/>
      <c r="F121" s="3" t="s">
        <v>295</v>
      </c>
      <c r="G121" s="4">
        <v>3207505</v>
      </c>
      <c r="H121" s="3" t="s">
        <v>296</v>
      </c>
      <c r="I121" s="4">
        <v>3203905</v>
      </c>
      <c r="K121" s="73"/>
      <c r="L121" s="15"/>
    </row>
    <row r="122" spans="2:12" x14ac:dyDescent="0.3">
      <c r="B122" s="44">
        <v>46046</v>
      </c>
      <c r="C122" s="3" t="s">
        <v>416</v>
      </c>
      <c r="D122" s="3" t="s">
        <v>60</v>
      </c>
      <c r="E122" s="101"/>
      <c r="F122" s="3" t="s">
        <v>595</v>
      </c>
      <c r="G122" s="4" t="s">
        <v>563</v>
      </c>
      <c r="H122" s="3" t="s">
        <v>445</v>
      </c>
      <c r="I122" s="4">
        <v>3204102</v>
      </c>
      <c r="K122" s="32"/>
      <c r="L122" s="15"/>
    </row>
    <row r="123" spans="2:12" x14ac:dyDescent="0.3">
      <c r="B123" s="4"/>
      <c r="E123" s="101"/>
      <c r="I123" s="3"/>
      <c r="K123" s="73"/>
      <c r="L123" s="74"/>
    </row>
    <row r="124" spans="2:12" x14ac:dyDescent="0.3">
      <c r="B124" s="44">
        <v>46053</v>
      </c>
      <c r="C124" s="3" t="s">
        <v>416</v>
      </c>
      <c r="D124" s="3" t="s">
        <v>60</v>
      </c>
      <c r="E124" s="101"/>
      <c r="F124" s="3" t="s">
        <v>445</v>
      </c>
      <c r="G124" s="4">
        <v>3204102</v>
      </c>
      <c r="H124" s="3" t="s">
        <v>299</v>
      </c>
      <c r="I124" s="32">
        <v>3199102</v>
      </c>
      <c r="K124" s="4"/>
      <c r="L124" s="4"/>
    </row>
    <row r="125" spans="2:12" x14ac:dyDescent="0.3">
      <c r="B125" s="44">
        <v>46053</v>
      </c>
      <c r="C125" s="3" t="s">
        <v>416</v>
      </c>
      <c r="D125" s="3" t="s">
        <v>60</v>
      </c>
      <c r="E125" s="101"/>
      <c r="F125" s="3" t="s">
        <v>294</v>
      </c>
      <c r="G125" s="4">
        <v>3209409</v>
      </c>
      <c r="H125" s="32" t="s">
        <v>293</v>
      </c>
      <c r="I125" s="15">
        <v>3211705</v>
      </c>
      <c r="K125" s="73"/>
      <c r="L125" s="15"/>
    </row>
    <row r="126" spans="2:12" x14ac:dyDescent="0.3">
      <c r="B126" s="44">
        <v>46053</v>
      </c>
      <c r="C126" s="3" t="s">
        <v>416</v>
      </c>
      <c r="D126" s="3" t="s">
        <v>60</v>
      </c>
      <c r="E126" s="101"/>
      <c r="F126" s="3" t="s">
        <v>446</v>
      </c>
      <c r="G126" s="4">
        <v>3204206</v>
      </c>
      <c r="H126" s="3" t="s">
        <v>298</v>
      </c>
      <c r="I126" s="32">
        <v>3817807</v>
      </c>
      <c r="K126" s="73"/>
      <c r="L126" s="15"/>
    </row>
    <row r="127" spans="2:12" x14ac:dyDescent="0.3">
      <c r="B127" s="44">
        <v>46053</v>
      </c>
      <c r="C127" s="3" t="s">
        <v>416</v>
      </c>
      <c r="D127" s="3" t="s">
        <v>60</v>
      </c>
      <c r="E127" s="101"/>
      <c r="F127" s="3" t="s">
        <v>431</v>
      </c>
      <c r="G127" s="4">
        <v>3900703</v>
      </c>
      <c r="H127" s="3" t="s">
        <v>300</v>
      </c>
      <c r="I127" s="32">
        <v>3194805</v>
      </c>
      <c r="K127" s="73"/>
      <c r="L127" s="15"/>
    </row>
    <row r="128" spans="2:12" x14ac:dyDescent="0.3">
      <c r="B128" s="44">
        <v>46053</v>
      </c>
      <c r="C128" s="3" t="s">
        <v>416</v>
      </c>
      <c r="D128" s="3" t="s">
        <v>60</v>
      </c>
      <c r="E128" s="101"/>
      <c r="F128" s="3" t="s">
        <v>444</v>
      </c>
      <c r="G128" s="4">
        <v>3209909</v>
      </c>
      <c r="H128" s="3" t="s">
        <v>295</v>
      </c>
      <c r="I128" s="32">
        <v>3207505</v>
      </c>
      <c r="K128" s="3"/>
      <c r="L128" s="74"/>
    </row>
    <row r="129" spans="2:12" x14ac:dyDescent="0.3">
      <c r="B129" s="44">
        <v>46053</v>
      </c>
      <c r="C129" s="3" t="s">
        <v>416</v>
      </c>
      <c r="D129" s="3" t="s">
        <v>60</v>
      </c>
      <c r="E129" s="101"/>
      <c r="F129" s="3" t="s">
        <v>296</v>
      </c>
      <c r="G129" s="4">
        <v>3203905</v>
      </c>
      <c r="H129" s="3" t="s">
        <v>595</v>
      </c>
      <c r="I129" s="32" t="s">
        <v>563</v>
      </c>
      <c r="K129" s="73"/>
      <c r="L129" s="15"/>
    </row>
    <row r="130" spans="2:12" x14ac:dyDescent="0.3">
      <c r="B130" s="4"/>
      <c r="E130" s="101"/>
      <c r="I130" s="3"/>
      <c r="K130" s="73"/>
      <c r="L130" s="15"/>
    </row>
    <row r="131" spans="2:12" x14ac:dyDescent="0.3">
      <c r="B131" s="44">
        <v>46060</v>
      </c>
      <c r="C131" s="3" t="s">
        <v>416</v>
      </c>
      <c r="D131" s="3" t="s">
        <v>60</v>
      </c>
      <c r="E131" s="101"/>
      <c r="F131" s="3" t="s">
        <v>298</v>
      </c>
      <c r="G131" s="4">
        <v>3817807</v>
      </c>
      <c r="H131" s="3" t="s">
        <v>445</v>
      </c>
      <c r="I131" s="4">
        <v>3204102</v>
      </c>
      <c r="K131" s="4"/>
      <c r="L131" s="4"/>
    </row>
    <row r="132" spans="2:12" x14ac:dyDescent="0.3">
      <c r="B132" s="44">
        <v>46060</v>
      </c>
      <c r="C132" s="3" t="s">
        <v>416</v>
      </c>
      <c r="D132" s="3" t="s">
        <v>60</v>
      </c>
      <c r="E132" s="101"/>
      <c r="F132" s="3" t="s">
        <v>299</v>
      </c>
      <c r="G132" s="4">
        <v>3199102</v>
      </c>
      <c r="H132" s="3" t="s">
        <v>296</v>
      </c>
      <c r="I132" s="4">
        <v>3203905</v>
      </c>
      <c r="K132" s="73"/>
      <c r="L132" s="15"/>
    </row>
    <row r="133" spans="2:12" x14ac:dyDescent="0.3">
      <c r="B133" s="44">
        <v>46060</v>
      </c>
      <c r="C133" s="3" t="s">
        <v>416</v>
      </c>
      <c r="D133" s="3" t="s">
        <v>60</v>
      </c>
      <c r="E133" s="101"/>
      <c r="F133" s="3" t="s">
        <v>300</v>
      </c>
      <c r="G133" s="4">
        <v>3194805</v>
      </c>
      <c r="H133" s="3" t="s">
        <v>446</v>
      </c>
      <c r="I133" s="32">
        <v>3204206</v>
      </c>
      <c r="K133" s="32"/>
      <c r="L133" s="15"/>
    </row>
    <row r="134" spans="2:12" x14ac:dyDescent="0.3">
      <c r="B134" s="44">
        <v>46060</v>
      </c>
      <c r="C134" s="3" t="s">
        <v>416</v>
      </c>
      <c r="D134" s="3" t="s">
        <v>60</v>
      </c>
      <c r="E134" s="101"/>
      <c r="F134" s="32" t="s">
        <v>293</v>
      </c>
      <c r="G134" s="15">
        <v>3211705</v>
      </c>
      <c r="H134" s="3" t="s">
        <v>431</v>
      </c>
      <c r="I134" s="4">
        <v>3900703</v>
      </c>
      <c r="K134" s="73"/>
      <c r="L134" s="15"/>
    </row>
    <row r="135" spans="2:12" x14ac:dyDescent="0.3">
      <c r="B135" s="44">
        <v>46060</v>
      </c>
      <c r="C135" s="3" t="s">
        <v>416</v>
      </c>
      <c r="D135" s="3" t="s">
        <v>60</v>
      </c>
      <c r="E135" s="101"/>
      <c r="F135" s="3" t="s">
        <v>295</v>
      </c>
      <c r="G135" s="4">
        <v>3207505</v>
      </c>
      <c r="H135" s="3" t="s">
        <v>294</v>
      </c>
      <c r="I135" s="32">
        <v>3209409</v>
      </c>
      <c r="K135" s="32"/>
      <c r="L135" s="15"/>
    </row>
    <row r="136" spans="2:12" x14ac:dyDescent="0.3">
      <c r="B136" s="44">
        <v>46060</v>
      </c>
      <c r="C136" s="3" t="s">
        <v>416</v>
      </c>
      <c r="D136" s="3" t="s">
        <v>60</v>
      </c>
      <c r="E136" s="101"/>
      <c r="F136" s="3" t="s">
        <v>595</v>
      </c>
      <c r="G136" s="4" t="s">
        <v>563</v>
      </c>
      <c r="H136" s="3" t="s">
        <v>444</v>
      </c>
      <c r="I136" s="32">
        <v>3209909</v>
      </c>
      <c r="K136" s="3"/>
      <c r="L136" s="74"/>
    </row>
    <row r="137" spans="2:12" x14ac:dyDescent="0.3">
      <c r="B137" s="4"/>
      <c r="E137" s="101"/>
      <c r="I137" s="3"/>
      <c r="K137" s="73"/>
      <c r="L137" s="74"/>
    </row>
    <row r="138" spans="2:12" x14ac:dyDescent="0.3">
      <c r="B138" s="44">
        <v>46074</v>
      </c>
      <c r="C138" s="3" t="s">
        <v>416</v>
      </c>
      <c r="D138" s="3" t="s">
        <v>60</v>
      </c>
      <c r="E138" s="101"/>
      <c r="F138" s="3" t="s">
        <v>445</v>
      </c>
      <c r="G138" s="4">
        <v>3204102</v>
      </c>
      <c r="H138" s="3" t="s">
        <v>300</v>
      </c>
      <c r="I138" s="32">
        <v>3194805</v>
      </c>
      <c r="K138" s="4"/>
      <c r="L138" s="4"/>
    </row>
    <row r="139" spans="2:12" x14ac:dyDescent="0.3">
      <c r="B139" s="44">
        <v>46074</v>
      </c>
      <c r="C139" s="3" t="s">
        <v>416</v>
      </c>
      <c r="D139" s="3" t="s">
        <v>60</v>
      </c>
      <c r="E139" s="101"/>
      <c r="F139" s="3" t="s">
        <v>294</v>
      </c>
      <c r="G139" s="4">
        <v>3209409</v>
      </c>
      <c r="H139" s="3" t="s">
        <v>595</v>
      </c>
      <c r="I139" s="32" t="s">
        <v>563</v>
      </c>
      <c r="K139" s="73"/>
      <c r="L139" s="15"/>
    </row>
    <row r="140" spans="2:12" x14ac:dyDescent="0.3">
      <c r="B140" s="44">
        <v>46074</v>
      </c>
      <c r="C140" s="3" t="s">
        <v>416</v>
      </c>
      <c r="D140" s="3" t="s">
        <v>60</v>
      </c>
      <c r="E140" s="101"/>
      <c r="F140" s="3" t="s">
        <v>431</v>
      </c>
      <c r="G140" s="4">
        <v>3900703</v>
      </c>
      <c r="H140" s="3" t="s">
        <v>446</v>
      </c>
      <c r="I140" s="4">
        <v>3204206</v>
      </c>
      <c r="K140" s="73"/>
      <c r="L140" s="15"/>
    </row>
    <row r="141" spans="2:12" x14ac:dyDescent="0.3">
      <c r="B141" s="44">
        <v>46074</v>
      </c>
      <c r="C141" s="3" t="s">
        <v>416</v>
      </c>
      <c r="D141" s="3" t="s">
        <v>60</v>
      </c>
      <c r="E141" s="101"/>
      <c r="F141" s="32" t="s">
        <v>293</v>
      </c>
      <c r="G141" s="15">
        <v>3211705</v>
      </c>
      <c r="H141" s="3" t="s">
        <v>295</v>
      </c>
      <c r="I141" s="32">
        <v>3207505</v>
      </c>
      <c r="K141" s="73"/>
      <c r="L141" s="15"/>
    </row>
    <row r="142" spans="2:12" x14ac:dyDescent="0.3">
      <c r="B142" s="44">
        <v>46074</v>
      </c>
      <c r="C142" s="3" t="s">
        <v>416</v>
      </c>
      <c r="D142" s="3" t="s">
        <v>60</v>
      </c>
      <c r="E142" s="101"/>
      <c r="F142" s="3" t="s">
        <v>444</v>
      </c>
      <c r="G142" s="4">
        <v>3209909</v>
      </c>
      <c r="H142" s="3" t="s">
        <v>299</v>
      </c>
      <c r="I142" s="32">
        <v>3199102</v>
      </c>
      <c r="K142" s="73"/>
      <c r="L142" s="15"/>
    </row>
    <row r="143" spans="2:12" x14ac:dyDescent="0.3">
      <c r="B143" s="44">
        <v>46074</v>
      </c>
      <c r="C143" s="3" t="s">
        <v>416</v>
      </c>
      <c r="D143" s="3" t="s">
        <v>60</v>
      </c>
      <c r="E143" s="101"/>
      <c r="F143" s="3" t="s">
        <v>296</v>
      </c>
      <c r="G143" s="4">
        <v>3203905</v>
      </c>
      <c r="H143" s="3" t="s">
        <v>298</v>
      </c>
      <c r="I143" s="32">
        <v>3817807</v>
      </c>
      <c r="K143" s="73"/>
      <c r="L143" s="15"/>
    </row>
    <row r="144" spans="2:12" x14ac:dyDescent="0.3">
      <c r="B144" s="4"/>
      <c r="E144" s="101"/>
      <c r="I144" s="3"/>
      <c r="K144" s="73"/>
      <c r="L144" s="74"/>
    </row>
    <row r="145" spans="2:12" x14ac:dyDescent="0.3">
      <c r="B145" s="44">
        <v>46081</v>
      </c>
      <c r="C145" s="3" t="s">
        <v>416</v>
      </c>
      <c r="D145" s="3" t="s">
        <v>60</v>
      </c>
      <c r="E145" s="101"/>
      <c r="F145" s="3" t="s">
        <v>298</v>
      </c>
      <c r="G145" s="4">
        <v>3817807</v>
      </c>
      <c r="H145" s="3" t="s">
        <v>444</v>
      </c>
      <c r="I145" s="32">
        <v>3209909</v>
      </c>
      <c r="K145" s="4"/>
      <c r="L145" s="4"/>
    </row>
    <row r="146" spans="2:12" x14ac:dyDescent="0.3">
      <c r="B146" s="44">
        <v>46081</v>
      </c>
      <c r="C146" s="3" t="s">
        <v>416</v>
      </c>
      <c r="D146" s="3" t="s">
        <v>60</v>
      </c>
      <c r="E146" s="101"/>
      <c r="F146" s="3" t="s">
        <v>299</v>
      </c>
      <c r="G146" s="4">
        <v>3199102</v>
      </c>
      <c r="H146" s="3" t="s">
        <v>294</v>
      </c>
      <c r="I146" s="32">
        <v>3209409</v>
      </c>
      <c r="K146" s="4"/>
    </row>
    <row r="147" spans="2:12" x14ac:dyDescent="0.3">
      <c r="B147" s="44">
        <v>46081</v>
      </c>
      <c r="C147" s="3" t="s">
        <v>416</v>
      </c>
      <c r="D147" s="3" t="s">
        <v>60</v>
      </c>
      <c r="E147" s="101"/>
      <c r="F147" s="3" t="s">
        <v>446</v>
      </c>
      <c r="G147" s="4">
        <v>3204206</v>
      </c>
      <c r="H147" s="3" t="s">
        <v>445</v>
      </c>
      <c r="I147" s="4">
        <v>3204102</v>
      </c>
      <c r="K147" s="4"/>
    </row>
    <row r="148" spans="2:12" x14ac:dyDescent="0.3">
      <c r="B148" s="44">
        <v>46081</v>
      </c>
      <c r="C148" s="3" t="s">
        <v>416</v>
      </c>
      <c r="D148" s="3" t="s">
        <v>60</v>
      </c>
      <c r="E148" s="101"/>
      <c r="F148" s="3" t="s">
        <v>300</v>
      </c>
      <c r="G148" s="4">
        <v>3194805</v>
      </c>
      <c r="H148" s="3" t="s">
        <v>296</v>
      </c>
      <c r="I148" s="4">
        <v>3203905</v>
      </c>
      <c r="K148" s="4"/>
    </row>
    <row r="149" spans="2:12" x14ac:dyDescent="0.3">
      <c r="B149" s="44">
        <v>46081</v>
      </c>
      <c r="C149" s="3" t="s">
        <v>416</v>
      </c>
      <c r="D149" s="3" t="s">
        <v>60</v>
      </c>
      <c r="E149" s="101"/>
      <c r="F149" s="3" t="s">
        <v>431</v>
      </c>
      <c r="G149" s="4">
        <v>3900703</v>
      </c>
      <c r="H149" s="3" t="s">
        <v>295</v>
      </c>
      <c r="I149" s="32">
        <v>3207505</v>
      </c>
      <c r="K149" s="4"/>
    </row>
    <row r="150" spans="2:12" x14ac:dyDescent="0.3">
      <c r="B150" s="44">
        <v>46081</v>
      </c>
      <c r="C150" s="3" t="s">
        <v>416</v>
      </c>
      <c r="D150" s="3" t="s">
        <v>60</v>
      </c>
      <c r="E150" s="101"/>
      <c r="F150" s="3" t="s">
        <v>595</v>
      </c>
      <c r="G150" s="4" t="s">
        <v>563</v>
      </c>
      <c r="H150" s="32" t="s">
        <v>293</v>
      </c>
      <c r="I150" s="15">
        <v>3211705</v>
      </c>
      <c r="K150" s="4"/>
    </row>
    <row r="151" spans="2:12" x14ac:dyDescent="0.3">
      <c r="B151" s="4"/>
      <c r="E151" s="101"/>
      <c r="I151" s="3"/>
      <c r="K151" s="4"/>
    </row>
    <row r="152" spans="2:12" x14ac:dyDescent="0.3">
      <c r="B152" s="44">
        <v>46088</v>
      </c>
      <c r="C152" s="3" t="s">
        <v>416</v>
      </c>
      <c r="D152" s="3" t="s">
        <v>60</v>
      </c>
      <c r="E152" s="101"/>
      <c r="F152" s="3" t="s">
        <v>294</v>
      </c>
      <c r="G152" s="4">
        <v>3209409</v>
      </c>
      <c r="H152" s="3" t="s">
        <v>298</v>
      </c>
      <c r="I152" s="32">
        <v>3817807</v>
      </c>
      <c r="K152" s="4"/>
    </row>
    <row r="153" spans="2:12" x14ac:dyDescent="0.3">
      <c r="B153" s="44">
        <v>46088</v>
      </c>
      <c r="C153" s="3" t="s">
        <v>416</v>
      </c>
      <c r="D153" s="3" t="s">
        <v>60</v>
      </c>
      <c r="E153" s="101"/>
      <c r="F153" s="3" t="s">
        <v>431</v>
      </c>
      <c r="G153" s="4">
        <v>3900703</v>
      </c>
      <c r="H153" s="3" t="s">
        <v>445</v>
      </c>
      <c r="I153" s="4">
        <v>3204102</v>
      </c>
      <c r="K153" s="73"/>
      <c r="L153" s="15"/>
    </row>
    <row r="154" spans="2:12" x14ac:dyDescent="0.3">
      <c r="B154" s="44">
        <v>46088</v>
      </c>
      <c r="C154" s="3" t="s">
        <v>416</v>
      </c>
      <c r="D154" s="3" t="s">
        <v>60</v>
      </c>
      <c r="E154" s="101"/>
      <c r="F154" s="32" t="s">
        <v>293</v>
      </c>
      <c r="G154" s="15">
        <v>3211705</v>
      </c>
      <c r="H154" s="3" t="s">
        <v>299</v>
      </c>
      <c r="I154" s="32">
        <v>3199102</v>
      </c>
      <c r="K154" s="4"/>
    </row>
    <row r="155" spans="2:12" x14ac:dyDescent="0.3">
      <c r="B155" s="44">
        <v>46088</v>
      </c>
      <c r="C155" s="3" t="s">
        <v>416</v>
      </c>
      <c r="D155" s="3" t="s">
        <v>60</v>
      </c>
      <c r="E155" s="101"/>
      <c r="F155" s="3" t="s">
        <v>295</v>
      </c>
      <c r="G155" s="4">
        <v>3207505</v>
      </c>
      <c r="H155" s="3" t="s">
        <v>595</v>
      </c>
      <c r="I155" s="32" t="s">
        <v>563</v>
      </c>
      <c r="K155" s="4"/>
    </row>
    <row r="156" spans="2:12" x14ac:dyDescent="0.3">
      <c r="B156" s="44">
        <v>46088</v>
      </c>
      <c r="C156" s="3" t="s">
        <v>416</v>
      </c>
      <c r="D156" s="3" t="s">
        <v>60</v>
      </c>
      <c r="E156" s="101"/>
      <c r="F156" s="3" t="s">
        <v>444</v>
      </c>
      <c r="G156" s="4">
        <v>3209909</v>
      </c>
      <c r="H156" s="3" t="s">
        <v>300</v>
      </c>
      <c r="I156" s="32">
        <v>3194805</v>
      </c>
      <c r="K156" s="4"/>
    </row>
    <row r="157" spans="2:12" x14ac:dyDescent="0.3">
      <c r="B157" s="44">
        <v>46088</v>
      </c>
      <c r="C157" s="3" t="s">
        <v>416</v>
      </c>
      <c r="D157" s="3" t="s">
        <v>60</v>
      </c>
      <c r="E157" s="101"/>
      <c r="F157" s="3" t="s">
        <v>296</v>
      </c>
      <c r="G157" s="4">
        <v>3203905</v>
      </c>
      <c r="H157" s="3" t="s">
        <v>446</v>
      </c>
      <c r="I157" s="32">
        <v>3204206</v>
      </c>
      <c r="K157" s="4"/>
    </row>
    <row r="158" spans="2:12" x14ac:dyDescent="0.3">
      <c r="B158" s="4"/>
      <c r="E158" s="101"/>
      <c r="I158" s="3"/>
      <c r="K158" s="4"/>
    </row>
    <row r="159" spans="2:12" x14ac:dyDescent="0.3">
      <c r="B159" s="44">
        <v>46095</v>
      </c>
      <c r="C159" s="3" t="s">
        <v>416</v>
      </c>
      <c r="D159" s="3" t="s">
        <v>60</v>
      </c>
      <c r="E159" s="101"/>
      <c r="F159" s="3" t="s">
        <v>445</v>
      </c>
      <c r="G159" s="4">
        <v>3204102</v>
      </c>
      <c r="H159" s="3" t="s">
        <v>296</v>
      </c>
      <c r="I159" s="4">
        <v>3203905</v>
      </c>
      <c r="K159" s="4"/>
    </row>
    <row r="160" spans="2:12" x14ac:dyDescent="0.3">
      <c r="B160" s="44">
        <v>46095</v>
      </c>
      <c r="C160" s="3" t="s">
        <v>416</v>
      </c>
      <c r="D160" s="3" t="s">
        <v>60</v>
      </c>
      <c r="E160" s="101"/>
      <c r="F160" s="3" t="s">
        <v>298</v>
      </c>
      <c r="G160" s="4">
        <v>3817807</v>
      </c>
      <c r="H160" s="32" t="s">
        <v>293</v>
      </c>
      <c r="I160" s="15">
        <v>3211705</v>
      </c>
      <c r="K160" s="4"/>
    </row>
    <row r="161" spans="2:12" x14ac:dyDescent="0.3">
      <c r="B161" s="44">
        <v>46095</v>
      </c>
      <c r="C161" s="3" t="s">
        <v>416</v>
      </c>
      <c r="D161" s="3" t="s">
        <v>60</v>
      </c>
      <c r="E161" s="101"/>
      <c r="F161" s="3" t="s">
        <v>299</v>
      </c>
      <c r="G161" s="4">
        <v>3199102</v>
      </c>
      <c r="H161" s="3" t="s">
        <v>295</v>
      </c>
      <c r="I161" s="32">
        <v>3207505</v>
      </c>
      <c r="K161" s="73"/>
      <c r="L161" s="15"/>
    </row>
    <row r="162" spans="2:12" x14ac:dyDescent="0.3">
      <c r="B162" s="44">
        <v>46095</v>
      </c>
      <c r="C162" s="3" t="s">
        <v>416</v>
      </c>
      <c r="D162" s="3" t="s">
        <v>60</v>
      </c>
      <c r="E162" s="101"/>
      <c r="F162" s="3" t="s">
        <v>446</v>
      </c>
      <c r="G162" s="4">
        <v>3204206</v>
      </c>
      <c r="H162" s="3" t="s">
        <v>444</v>
      </c>
      <c r="I162" s="32">
        <v>3209909</v>
      </c>
      <c r="K162" s="4"/>
    </row>
    <row r="163" spans="2:12" x14ac:dyDescent="0.3">
      <c r="B163" s="44">
        <v>46095</v>
      </c>
      <c r="C163" s="3" t="s">
        <v>416</v>
      </c>
      <c r="D163" s="3" t="s">
        <v>60</v>
      </c>
      <c r="E163" s="101"/>
      <c r="F163" s="3" t="s">
        <v>300</v>
      </c>
      <c r="G163" s="4">
        <v>3194805</v>
      </c>
      <c r="H163" s="3" t="s">
        <v>294</v>
      </c>
      <c r="I163" s="32">
        <v>3209409</v>
      </c>
      <c r="K163" s="4"/>
    </row>
    <row r="164" spans="2:12" x14ac:dyDescent="0.3">
      <c r="B164" s="44">
        <v>46095</v>
      </c>
      <c r="C164" s="3" t="s">
        <v>416</v>
      </c>
      <c r="D164" s="3" t="s">
        <v>60</v>
      </c>
      <c r="E164" s="101"/>
      <c r="F164" s="3" t="s">
        <v>595</v>
      </c>
      <c r="G164" s="4" t="s">
        <v>563</v>
      </c>
      <c r="H164" s="3" t="s">
        <v>431</v>
      </c>
      <c r="I164" s="4">
        <v>3900703</v>
      </c>
      <c r="K164" s="4"/>
    </row>
    <row r="165" spans="2:12" x14ac:dyDescent="0.3">
      <c r="B165" s="4"/>
      <c r="E165" s="101"/>
      <c r="I165" s="3"/>
      <c r="K165" s="4"/>
    </row>
    <row r="166" spans="2:12" x14ac:dyDescent="0.3">
      <c r="B166" s="44">
        <v>46102</v>
      </c>
      <c r="C166" s="3" t="s">
        <v>416</v>
      </c>
      <c r="D166" s="3" t="s">
        <v>60</v>
      </c>
      <c r="E166" s="101"/>
      <c r="F166" s="3" t="s">
        <v>294</v>
      </c>
      <c r="G166" s="4">
        <v>3209409</v>
      </c>
      <c r="H166" s="3" t="s">
        <v>446</v>
      </c>
      <c r="I166" s="32">
        <v>3204206</v>
      </c>
      <c r="K166" s="4"/>
    </row>
    <row r="167" spans="2:12" x14ac:dyDescent="0.3">
      <c r="B167" s="44">
        <v>46102</v>
      </c>
      <c r="C167" s="3" t="s">
        <v>416</v>
      </c>
      <c r="D167" s="3" t="s">
        <v>60</v>
      </c>
      <c r="E167" s="101"/>
      <c r="F167" s="3" t="s">
        <v>296</v>
      </c>
      <c r="G167" s="4">
        <v>3203905</v>
      </c>
      <c r="H167" s="3" t="s">
        <v>431</v>
      </c>
      <c r="I167" s="4">
        <v>3900703</v>
      </c>
      <c r="K167" s="4"/>
    </row>
    <row r="168" spans="2:12" x14ac:dyDescent="0.3">
      <c r="B168" s="44">
        <v>46102</v>
      </c>
      <c r="C168" s="3" t="s">
        <v>416</v>
      </c>
      <c r="D168" s="3" t="s">
        <v>60</v>
      </c>
      <c r="E168" s="101"/>
      <c r="F168" s="32" t="s">
        <v>293</v>
      </c>
      <c r="G168" s="15">
        <v>3211705</v>
      </c>
      <c r="H168" s="3" t="s">
        <v>300</v>
      </c>
      <c r="I168" s="32">
        <v>3194805</v>
      </c>
      <c r="K168" s="4"/>
    </row>
    <row r="169" spans="2:12" x14ac:dyDescent="0.3">
      <c r="B169" s="44">
        <v>46102</v>
      </c>
      <c r="C169" s="3" t="s">
        <v>416</v>
      </c>
      <c r="D169" s="3" t="s">
        <v>60</v>
      </c>
      <c r="E169" s="101"/>
      <c r="F169" s="3" t="s">
        <v>295</v>
      </c>
      <c r="G169" s="4">
        <v>3207505</v>
      </c>
      <c r="H169" s="3" t="s">
        <v>298</v>
      </c>
      <c r="I169" s="32">
        <v>3817807</v>
      </c>
      <c r="K169" s="73"/>
      <c r="L169" s="15"/>
    </row>
    <row r="170" spans="2:12" x14ac:dyDescent="0.3">
      <c r="B170" s="44">
        <v>46102</v>
      </c>
      <c r="C170" s="3" t="s">
        <v>416</v>
      </c>
      <c r="D170" s="3" t="s">
        <v>60</v>
      </c>
      <c r="E170" s="101"/>
      <c r="F170" s="3" t="s">
        <v>444</v>
      </c>
      <c r="G170" s="4">
        <v>3209909</v>
      </c>
      <c r="H170" s="3" t="s">
        <v>445</v>
      </c>
      <c r="I170" s="4">
        <v>3204102</v>
      </c>
      <c r="K170" s="73"/>
      <c r="L170" s="15"/>
    </row>
    <row r="171" spans="2:12" x14ac:dyDescent="0.3">
      <c r="B171" s="44">
        <v>46102</v>
      </c>
      <c r="C171" s="3" t="s">
        <v>416</v>
      </c>
      <c r="D171" s="3" t="s">
        <v>60</v>
      </c>
      <c r="E171" s="101"/>
      <c r="F171" s="3" t="s">
        <v>595</v>
      </c>
      <c r="G171" s="4" t="s">
        <v>563</v>
      </c>
      <c r="H171" s="3" t="s">
        <v>299</v>
      </c>
      <c r="I171" s="32">
        <v>3199102</v>
      </c>
      <c r="K171" s="32"/>
      <c r="L171" s="15"/>
    </row>
    <row r="172" spans="2:12" x14ac:dyDescent="0.3">
      <c r="B172" s="4"/>
      <c r="E172" s="101"/>
      <c r="I172" s="3"/>
      <c r="K172" s="73"/>
      <c r="L172" s="74"/>
    </row>
    <row r="173" spans="2:12" x14ac:dyDescent="0.3">
      <c r="B173" s="44">
        <v>46109</v>
      </c>
      <c r="C173" s="3" t="s">
        <v>416</v>
      </c>
      <c r="D173" s="3" t="s">
        <v>60</v>
      </c>
      <c r="E173" s="101"/>
      <c r="F173" s="3" t="s">
        <v>445</v>
      </c>
      <c r="G173" s="4">
        <v>3204102</v>
      </c>
      <c r="H173" s="3" t="s">
        <v>294</v>
      </c>
      <c r="I173" s="32">
        <v>3209409</v>
      </c>
      <c r="K173" s="4"/>
      <c r="L173" s="4"/>
    </row>
    <row r="174" spans="2:12" x14ac:dyDescent="0.3">
      <c r="B174" s="44">
        <v>46109</v>
      </c>
      <c r="C174" s="3" t="s">
        <v>416</v>
      </c>
      <c r="D174" s="3" t="s">
        <v>60</v>
      </c>
      <c r="E174" s="101"/>
      <c r="F174" s="3" t="s">
        <v>298</v>
      </c>
      <c r="G174" s="4">
        <v>3817807</v>
      </c>
      <c r="H174" s="3" t="s">
        <v>595</v>
      </c>
      <c r="I174" s="32" t="s">
        <v>563</v>
      </c>
      <c r="K174" s="32"/>
      <c r="L174" s="15"/>
    </row>
    <row r="175" spans="2:12" x14ac:dyDescent="0.3">
      <c r="B175" s="44">
        <v>46109</v>
      </c>
      <c r="C175" s="3" t="s">
        <v>416</v>
      </c>
      <c r="D175" s="3" t="s">
        <v>60</v>
      </c>
      <c r="E175" s="101"/>
      <c r="F175" s="3" t="s">
        <v>299</v>
      </c>
      <c r="G175" s="4">
        <v>3199102</v>
      </c>
      <c r="H175" s="3" t="s">
        <v>431</v>
      </c>
      <c r="I175" s="4">
        <v>3900703</v>
      </c>
      <c r="K175" s="73"/>
      <c r="L175" s="15"/>
    </row>
    <row r="176" spans="2:12" x14ac:dyDescent="0.3">
      <c r="B176" s="44">
        <v>46109</v>
      </c>
      <c r="C176" s="3" t="s">
        <v>416</v>
      </c>
      <c r="D176" s="3" t="s">
        <v>60</v>
      </c>
      <c r="E176" s="101"/>
      <c r="F176" s="3" t="s">
        <v>446</v>
      </c>
      <c r="G176" s="4">
        <v>3204206</v>
      </c>
      <c r="H176" s="32" t="s">
        <v>293</v>
      </c>
      <c r="I176" s="15">
        <v>3211705</v>
      </c>
      <c r="K176" s="32"/>
      <c r="L176" s="15"/>
    </row>
    <row r="177" spans="2:12" x14ac:dyDescent="0.3">
      <c r="B177" s="44">
        <v>46109</v>
      </c>
      <c r="C177" s="3" t="s">
        <v>416</v>
      </c>
      <c r="D177" s="3" t="s">
        <v>60</v>
      </c>
      <c r="E177" s="101"/>
      <c r="F177" s="3" t="s">
        <v>300</v>
      </c>
      <c r="G177" s="4">
        <v>3194805</v>
      </c>
      <c r="H177" s="3" t="s">
        <v>295</v>
      </c>
      <c r="I177" s="32">
        <v>3207505</v>
      </c>
      <c r="K177" s="3"/>
      <c r="L177" s="74"/>
    </row>
    <row r="178" spans="2:12" x14ac:dyDescent="0.3">
      <c r="B178" s="44">
        <v>46109</v>
      </c>
      <c r="C178" s="3" t="s">
        <v>416</v>
      </c>
      <c r="D178" s="3" t="s">
        <v>60</v>
      </c>
      <c r="E178" s="101"/>
      <c r="F178" s="3" t="s">
        <v>296</v>
      </c>
      <c r="G178" s="4">
        <v>3203905</v>
      </c>
      <c r="H178" s="3" t="s">
        <v>444</v>
      </c>
      <c r="I178" s="32">
        <v>3209909</v>
      </c>
      <c r="K178" s="73"/>
      <c r="L178" s="15"/>
    </row>
  </sheetData>
  <sortState xmlns:xlrd2="http://schemas.microsoft.com/office/spreadsheetml/2017/richdata2" ref="A10:AO21">
    <sortCondition ref="B10:B21"/>
  </sortState>
  <mergeCells count="1">
    <mergeCell ref="K5:K6"/>
  </mergeCells>
  <conditionalFormatting sqref="B9">
    <cfRule type="duplicateValues" dxfId="2665" priority="877"/>
  </conditionalFormatting>
  <conditionalFormatting sqref="F1:I8 F22:I25 F179:I1048576 F9:H21">
    <cfRule type="containsText" dxfId="2664" priority="25" operator="containsText" text="BYE">
      <formula>NOT(ISERROR(SEARCH("BYE",F1)))</formula>
    </cfRule>
  </conditionalFormatting>
  <conditionalFormatting sqref="G140">
    <cfRule type="duplicateValues" dxfId="2663" priority="11"/>
  </conditionalFormatting>
  <conditionalFormatting sqref="I49">
    <cfRule type="duplicateValues" dxfId="2662" priority="16"/>
  </conditionalFormatting>
  <conditionalFormatting sqref="I63">
    <cfRule type="duplicateValues" dxfId="2661" priority="12"/>
  </conditionalFormatting>
  <conditionalFormatting sqref="I70">
    <cfRule type="duplicateValues" dxfId="2660" priority="15"/>
  </conditionalFormatting>
  <conditionalFormatting sqref="I75">
    <cfRule type="duplicateValues" dxfId="2659" priority="17"/>
  </conditionalFormatting>
  <conditionalFormatting sqref="I94">
    <cfRule type="duplicateValues" dxfId="2658" priority="13"/>
    <cfRule type="duplicateValues" dxfId="2657" priority="18"/>
  </conditionalFormatting>
  <conditionalFormatting sqref="I111">
    <cfRule type="duplicateValues" dxfId="2656" priority="19"/>
  </conditionalFormatting>
  <conditionalFormatting sqref="I117">
    <cfRule type="duplicateValues" dxfId="2655" priority="20"/>
  </conditionalFormatting>
  <conditionalFormatting sqref="I134">
    <cfRule type="duplicateValues" dxfId="2654" priority="21"/>
  </conditionalFormatting>
  <conditionalFormatting sqref="I164">
    <cfRule type="duplicateValues" dxfId="2653" priority="22"/>
  </conditionalFormatting>
  <conditionalFormatting sqref="I167">
    <cfRule type="duplicateValues" dxfId="2652" priority="14"/>
  </conditionalFormatting>
  <conditionalFormatting sqref="I175">
    <cfRule type="duplicateValues" dxfId="2651" priority="23"/>
  </conditionalFormatting>
  <conditionalFormatting sqref="I10:L21">
    <cfRule type="cellIs" dxfId="2650" priority="3" operator="lessThan">
      <formula>5</formula>
    </cfRule>
    <cfRule type="cellIs" dxfId="2649" priority="4" operator="greaterThan">
      <formula>6</formula>
    </cfRule>
  </conditionalFormatting>
  <conditionalFormatting sqref="J10:J21">
    <cfRule type="containsText" dxfId="2648" priority="10" operator="containsText" text="c'[Fixtures All.xlsx]Women Filtered'!$F$2">
      <formula>NOT(ISERROR(SEARCH("c'[Fixtures All.xlsx]Women Filtered'!$F$2",J10)))</formula>
    </cfRule>
  </conditionalFormatting>
  <conditionalFormatting sqref="J154:L160">
    <cfRule type="containsText" dxfId="2647" priority="67" operator="containsText" text="dals$F$71">
      <formula>NOT(ISERROR(SEARCH("dals$F$71",J154)))</formula>
    </cfRule>
  </conditionalFormatting>
  <conditionalFormatting sqref="K9:K21">
    <cfRule type="containsText" dxfId="2646" priority="8" operator="containsText" text="c'[Fixtures All.xlsx]Women Filtered'!$F$2">
      <formula>NOT(ISERROR(SEARCH("c'[Fixtures All.xlsx]Women Filtered'!$F$2",K9)))</formula>
    </cfRule>
  </conditionalFormatting>
  <conditionalFormatting sqref="K146:L152">
    <cfRule type="containsText" dxfId="2645" priority="72" operator="containsText" text="kendal">
      <formula>NOT(ISERROR(SEARCH("kendal",K146)))</formula>
    </cfRule>
  </conditionalFormatting>
  <conditionalFormatting sqref="K74:M80">
    <cfRule type="containsText" dxfId="2644" priority="74" operator="containsText" text="kendal">
      <formula>NOT(ISERROR(SEARCH("kendal",K74)))</formula>
    </cfRule>
  </conditionalFormatting>
  <conditionalFormatting sqref="L10:L21">
    <cfRule type="containsText" dxfId="2643" priority="7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2642" priority="2" operator="containsText" text="c'[Fixtures All.xlsx]Women Filtered'!$F$2">
      <formula>NOT(ISERROR(SEARCH("c'[Fixtures All.xlsx]Women Filtered'!$F$2",J10)))</formula>
    </cfRule>
  </conditionalFormatting>
  <conditionalFormatting sqref="F1:I1048576">
    <cfRule type="containsText" dxfId="2641" priority="1" operator="containsText" text="cODE">
      <formula>NOT(ISERROR(SEARCH("cODE",F1)))</formula>
    </cfRule>
  </conditionalFormatting>
  <hyperlinks>
    <hyperlink ref="K3" location="Contents!A1" display="Back to Contents" xr:uid="{853BFA9A-7FB2-4180-90A1-732FE452ED30}"/>
    <hyperlink ref="K5:K6" location="'All Fixtures'!A1" display="See all NW Fixtures" xr:uid="{E975B711-568D-4AE2-B105-0FF06E797366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620B2-0348-4984-B1C0-49D115336C85}">
  <sheetPr>
    <tabColor rgb="FF4169E1"/>
    <pageSetUpPr fitToPage="1"/>
  </sheetPr>
  <dimension ref="B3:AK54"/>
  <sheetViews>
    <sheetView showGridLines="0" zoomScale="60" zoomScaleNormal="60" workbookViewId="0"/>
  </sheetViews>
  <sheetFormatPr defaultColWidth="8.88671875" defaultRowHeight="14.4" x14ac:dyDescent="0.3"/>
  <cols>
    <col min="1" max="1" width="8" customWidth="1"/>
    <col min="6" max="6" width="11" customWidth="1"/>
    <col min="7" max="7" width="9.77734375" customWidth="1"/>
    <col min="11" max="11" width="13.44140625" customWidth="1"/>
    <col min="13" max="13" width="10.33203125" customWidth="1"/>
    <col min="15" max="15" width="11.77734375" customWidth="1"/>
    <col min="16" max="16" width="2.33203125" customWidth="1"/>
    <col min="17" max="17" width="9.44140625" customWidth="1"/>
    <col min="18" max="18" width="11.6640625" customWidth="1"/>
    <col min="20" max="20" width="12.109375" customWidth="1"/>
    <col min="22" max="22" width="9.5546875" customWidth="1"/>
    <col min="23" max="23" width="10" customWidth="1"/>
    <col min="24" max="24" width="10.33203125" customWidth="1"/>
    <col min="37" max="37" width="30" style="55" customWidth="1"/>
  </cols>
  <sheetData>
    <row r="3" spans="2:37" ht="15" thickBot="1" x14ac:dyDescent="0.35"/>
    <row r="4" spans="2:37" ht="57" customHeight="1" thickBot="1" x14ac:dyDescent="0.35">
      <c r="P4" s="12" t="s">
        <v>503</v>
      </c>
      <c r="AK4" s="20" t="s">
        <v>86</v>
      </c>
    </row>
    <row r="13" spans="2:37" ht="15" thickBot="1" x14ac:dyDescent="0.35"/>
    <row r="14" spans="2:37" ht="15" customHeight="1" x14ac:dyDescent="0.4">
      <c r="B14" s="120" t="s">
        <v>0</v>
      </c>
      <c r="C14" s="121"/>
      <c r="F14" s="26"/>
      <c r="G14" s="26"/>
      <c r="H14" s="26"/>
      <c r="I14" s="26"/>
      <c r="J14" s="26"/>
      <c r="K14" s="26"/>
      <c r="L14" s="126" t="s">
        <v>16</v>
      </c>
      <c r="M14" s="127"/>
      <c r="N14" s="26"/>
      <c r="O14" s="132"/>
      <c r="P14" s="132"/>
      <c r="Q14" s="132"/>
      <c r="R14" s="26"/>
      <c r="S14" s="26"/>
      <c r="T14" s="26"/>
      <c r="U14" s="26"/>
      <c r="V14" s="26"/>
      <c r="W14" s="26"/>
      <c r="X14" s="26"/>
      <c r="Y14" s="3"/>
    </row>
    <row r="15" spans="2:37" ht="15" customHeight="1" x14ac:dyDescent="0.4">
      <c r="B15" s="122"/>
      <c r="C15" s="123"/>
      <c r="F15" s="26"/>
      <c r="G15" s="26"/>
      <c r="H15" s="26"/>
      <c r="I15" s="26"/>
      <c r="J15" s="26"/>
      <c r="K15" s="26"/>
      <c r="L15" s="128"/>
      <c r="M15" s="129"/>
      <c r="N15" s="26"/>
      <c r="O15" s="132"/>
      <c r="P15" s="132"/>
      <c r="Q15" s="132"/>
      <c r="R15" s="26"/>
      <c r="S15" s="26"/>
      <c r="T15" s="26"/>
      <c r="U15" s="26"/>
      <c r="V15" s="26"/>
      <c r="W15" s="26"/>
      <c r="X15" s="26"/>
      <c r="Y15" s="3"/>
    </row>
    <row r="16" spans="2:37" ht="15" customHeight="1" thickBot="1" x14ac:dyDescent="0.45">
      <c r="B16" s="124"/>
      <c r="C16" s="125"/>
      <c r="F16" s="26"/>
      <c r="G16" s="26"/>
      <c r="H16" s="26"/>
      <c r="I16" s="26"/>
      <c r="J16" s="26"/>
      <c r="K16" s="26"/>
      <c r="L16" s="130"/>
      <c r="M16" s="131"/>
      <c r="N16" s="26"/>
      <c r="O16" s="132"/>
      <c r="P16" s="132"/>
      <c r="Q16" s="132"/>
      <c r="R16" s="26"/>
      <c r="S16" s="26"/>
      <c r="T16" s="26"/>
      <c r="U16" s="26"/>
      <c r="V16" s="26"/>
      <c r="W16" s="26"/>
      <c r="X16" s="26"/>
      <c r="Y16" s="3"/>
    </row>
    <row r="17" spans="2:25" ht="15" customHeight="1" thickBot="1" x14ac:dyDescent="0.45">
      <c r="F17" s="26"/>
      <c r="G17" s="26"/>
      <c r="H17" s="26"/>
      <c r="I17" s="26"/>
      <c r="J17" s="26"/>
      <c r="K17" s="26"/>
      <c r="L17" s="2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"/>
    </row>
    <row r="18" spans="2:25" ht="15" customHeight="1" x14ac:dyDescent="0.4">
      <c r="B18" s="120" t="s">
        <v>1</v>
      </c>
      <c r="C18" s="121"/>
      <c r="F18" s="26"/>
      <c r="G18" s="26"/>
      <c r="H18" s="26"/>
      <c r="I18" s="26"/>
      <c r="J18" s="26"/>
      <c r="K18" s="26"/>
      <c r="L18" s="126" t="s">
        <v>17</v>
      </c>
      <c r="M18" s="127"/>
      <c r="N18" s="26"/>
      <c r="O18" s="132"/>
      <c r="P18" s="132"/>
      <c r="Q18" s="132"/>
      <c r="R18" s="26"/>
      <c r="S18" s="26"/>
      <c r="T18" s="26"/>
      <c r="U18" s="26"/>
      <c r="V18" s="26"/>
      <c r="W18" s="26"/>
      <c r="X18" s="26"/>
      <c r="Y18" s="3"/>
    </row>
    <row r="19" spans="2:25" ht="15" customHeight="1" x14ac:dyDescent="0.4">
      <c r="B19" s="122"/>
      <c r="C19" s="123"/>
      <c r="F19" s="26"/>
      <c r="G19" s="26"/>
      <c r="H19" s="26"/>
      <c r="I19" s="26"/>
      <c r="J19" s="26"/>
      <c r="K19" s="26"/>
      <c r="L19" s="128"/>
      <c r="M19" s="129"/>
      <c r="N19" s="26"/>
      <c r="O19" s="132"/>
      <c r="P19" s="132"/>
      <c r="Q19" s="132"/>
      <c r="R19" s="26"/>
      <c r="S19" s="26"/>
      <c r="T19" s="26"/>
      <c r="U19" s="26"/>
      <c r="V19" s="26"/>
      <c r="W19" s="26"/>
      <c r="X19" s="26"/>
      <c r="Y19" s="3"/>
    </row>
    <row r="20" spans="2:25" ht="15" customHeight="1" thickBot="1" x14ac:dyDescent="0.45">
      <c r="B20" s="124"/>
      <c r="C20" s="125"/>
      <c r="F20" s="26"/>
      <c r="G20" s="26"/>
      <c r="H20" s="26"/>
      <c r="I20" s="27"/>
      <c r="J20" s="27"/>
      <c r="K20" s="27"/>
      <c r="L20" s="130"/>
      <c r="M20" s="131"/>
      <c r="N20" s="27"/>
      <c r="O20" s="133"/>
      <c r="P20" s="133"/>
      <c r="Q20" s="133"/>
      <c r="R20" s="27"/>
      <c r="S20" s="27"/>
      <c r="T20" s="27"/>
      <c r="U20" s="26"/>
      <c r="V20" s="26"/>
      <c r="W20" s="26"/>
      <c r="X20" s="26"/>
      <c r="Y20" s="3"/>
    </row>
    <row r="21" spans="2:25" ht="15" customHeight="1" thickBot="1" x14ac:dyDescent="0.45">
      <c r="F21" s="26"/>
      <c r="G21" s="26"/>
      <c r="H21" s="26"/>
      <c r="I21" s="36"/>
      <c r="J21" s="26"/>
      <c r="K21" s="26"/>
      <c r="L21" s="26"/>
      <c r="M21" s="26"/>
      <c r="N21" s="33"/>
      <c r="O21" s="26"/>
      <c r="P21" s="26"/>
      <c r="Q21" s="26"/>
      <c r="R21" s="26"/>
      <c r="S21" s="34"/>
      <c r="T21" s="28"/>
      <c r="U21" s="26"/>
      <c r="V21" s="26"/>
      <c r="W21" s="26"/>
      <c r="X21" s="26"/>
      <c r="Y21" s="3"/>
    </row>
    <row r="22" spans="2:25" ht="15" customHeight="1" x14ac:dyDescent="0.4">
      <c r="B22" s="120" t="s">
        <v>2</v>
      </c>
      <c r="C22" s="121"/>
      <c r="F22" s="26"/>
      <c r="G22" s="26"/>
      <c r="H22" s="134" t="s">
        <v>87</v>
      </c>
      <c r="I22" s="135"/>
      <c r="J22" s="1"/>
      <c r="K22" s="26"/>
      <c r="L22" s="26"/>
      <c r="M22" s="26"/>
      <c r="N22" s="35"/>
      <c r="O22" s="35"/>
      <c r="P22" s="35"/>
      <c r="Q22" s="35"/>
      <c r="R22" s="35"/>
      <c r="S22" s="26"/>
      <c r="T22" s="134" t="s">
        <v>88</v>
      </c>
      <c r="U22" s="135"/>
      <c r="V22" s="26"/>
      <c r="W22" s="26"/>
      <c r="X22" s="26"/>
      <c r="Y22" s="3"/>
    </row>
    <row r="23" spans="2:25" ht="15" customHeight="1" x14ac:dyDescent="0.4">
      <c r="B23" s="122"/>
      <c r="C23" s="123"/>
      <c r="F23" s="26"/>
      <c r="G23" s="26"/>
      <c r="H23" s="136"/>
      <c r="I23" s="137"/>
      <c r="J23" s="1"/>
      <c r="K23" s="26"/>
      <c r="L23" s="26"/>
      <c r="M23" s="26"/>
      <c r="N23" s="26"/>
      <c r="O23" s="26"/>
      <c r="P23" s="26"/>
      <c r="Q23" s="26"/>
      <c r="R23" s="26"/>
      <c r="S23" s="26"/>
      <c r="T23" s="136"/>
      <c r="U23" s="137"/>
      <c r="V23" s="26"/>
      <c r="W23" s="26"/>
      <c r="X23" s="26"/>
      <c r="Y23" s="3"/>
    </row>
    <row r="24" spans="2:25" ht="15" customHeight="1" thickBot="1" x14ac:dyDescent="0.45">
      <c r="B24" s="124"/>
      <c r="C24" s="125"/>
      <c r="F24" s="26"/>
      <c r="G24" s="27"/>
      <c r="H24" s="138"/>
      <c r="I24" s="139"/>
      <c r="J24" s="2"/>
      <c r="K24" s="26"/>
      <c r="L24" s="26"/>
      <c r="M24" s="26"/>
      <c r="N24" s="26"/>
      <c r="O24" s="26"/>
      <c r="P24" s="26"/>
      <c r="Q24" s="26"/>
      <c r="R24" s="26"/>
      <c r="S24" s="26"/>
      <c r="T24" s="138"/>
      <c r="U24" s="139"/>
      <c r="V24" s="26"/>
      <c r="W24" s="26"/>
      <c r="X24" s="26"/>
      <c r="Y24" s="3"/>
    </row>
    <row r="25" spans="2:25" ht="15" customHeight="1" thickBot="1" x14ac:dyDescent="0.45">
      <c r="F25" s="28"/>
      <c r="G25" s="26"/>
      <c r="H25" s="26"/>
      <c r="I25" s="26"/>
      <c r="J25" s="37"/>
      <c r="K25" s="26"/>
      <c r="L25" s="26"/>
      <c r="M25" s="26"/>
      <c r="N25" s="26"/>
      <c r="O25" s="26"/>
      <c r="P25" s="26"/>
      <c r="Q25" s="26"/>
      <c r="R25" s="26"/>
      <c r="S25" s="26"/>
      <c r="T25" s="112"/>
      <c r="U25" s="26"/>
      <c r="V25" s="26"/>
      <c r="W25" s="26"/>
      <c r="X25" s="26"/>
      <c r="Y25" s="3"/>
    </row>
    <row r="26" spans="2:25" ht="15" customHeight="1" x14ac:dyDescent="0.4">
      <c r="B26" s="120" t="s">
        <v>3</v>
      </c>
      <c r="C26" s="121"/>
      <c r="F26" s="170" t="s">
        <v>89</v>
      </c>
      <c r="G26" s="171"/>
      <c r="H26" s="26"/>
      <c r="I26" s="26"/>
      <c r="J26" s="164" t="s">
        <v>90</v>
      </c>
      <c r="K26" s="165"/>
      <c r="L26" s="1"/>
      <c r="M26" s="1"/>
      <c r="N26" s="35"/>
      <c r="O26" s="35"/>
      <c r="P26" s="35"/>
      <c r="Q26" s="35"/>
      <c r="R26" s="26"/>
      <c r="S26" s="26"/>
      <c r="T26" s="134" t="s">
        <v>24</v>
      </c>
      <c r="U26" s="135"/>
      <c r="V26" s="26"/>
      <c r="W26" s="26"/>
      <c r="X26" s="26"/>
      <c r="Y26" s="3"/>
    </row>
    <row r="27" spans="2:25" ht="15" customHeight="1" x14ac:dyDescent="0.4">
      <c r="B27" s="122"/>
      <c r="C27" s="123"/>
      <c r="F27" s="172"/>
      <c r="G27" s="173"/>
      <c r="H27" s="26"/>
      <c r="I27" s="26"/>
      <c r="J27" s="166"/>
      <c r="K27" s="167"/>
      <c r="L27" s="1"/>
      <c r="M27" s="1"/>
      <c r="N27" s="26"/>
      <c r="O27" s="26"/>
      <c r="P27" s="26"/>
      <c r="Q27" s="26"/>
      <c r="R27" s="26"/>
      <c r="S27" s="26"/>
      <c r="T27" s="136"/>
      <c r="U27" s="137"/>
      <c r="V27" s="26"/>
      <c r="W27" s="26"/>
      <c r="X27" s="26"/>
      <c r="Y27" s="3"/>
    </row>
    <row r="28" spans="2:25" ht="15" customHeight="1" thickBot="1" x14ac:dyDescent="0.45">
      <c r="B28" s="124"/>
      <c r="C28" s="125"/>
      <c r="F28" s="174"/>
      <c r="G28" s="175"/>
      <c r="H28" s="26"/>
      <c r="I28" s="26"/>
      <c r="J28" s="168"/>
      <c r="K28" s="169"/>
      <c r="L28" s="1"/>
      <c r="M28" s="1"/>
      <c r="N28" s="26"/>
      <c r="O28" s="26"/>
      <c r="P28" s="26"/>
      <c r="Q28" s="26"/>
      <c r="R28" s="26"/>
      <c r="S28" s="27"/>
      <c r="T28" s="138"/>
      <c r="U28" s="139"/>
      <c r="V28" s="27"/>
      <c r="W28" s="27"/>
      <c r="X28" s="26"/>
      <c r="Y28" s="3"/>
    </row>
    <row r="29" spans="2:25" ht="15" customHeight="1" thickBot="1" x14ac:dyDescent="0.45">
      <c r="F29" s="26"/>
      <c r="G29" s="26"/>
      <c r="H29" s="26"/>
      <c r="I29" s="26"/>
      <c r="J29" s="28"/>
      <c r="K29" s="26"/>
      <c r="L29" s="26"/>
      <c r="M29" s="26"/>
      <c r="N29" s="26"/>
      <c r="O29" s="26"/>
      <c r="P29" s="26"/>
      <c r="Q29" s="26"/>
      <c r="R29" s="28"/>
      <c r="S29" s="26"/>
      <c r="T29" s="38"/>
      <c r="U29" s="26"/>
      <c r="V29" s="26"/>
      <c r="W29" s="30"/>
      <c r="X29" s="26"/>
      <c r="Y29" s="3"/>
    </row>
    <row r="30" spans="2:25" ht="15" customHeight="1" x14ac:dyDescent="0.4">
      <c r="B30" s="120" t="s">
        <v>4</v>
      </c>
      <c r="C30" s="121"/>
      <c r="F30" s="26"/>
      <c r="G30" s="26"/>
      <c r="H30" s="26"/>
      <c r="I30" s="26"/>
      <c r="J30" s="164" t="s">
        <v>91</v>
      </c>
      <c r="K30" s="165"/>
      <c r="L30" s="1"/>
      <c r="M30" s="1"/>
      <c r="N30" s="1"/>
      <c r="O30" s="26"/>
      <c r="P30" s="26"/>
      <c r="Q30" s="26"/>
      <c r="R30" s="164" t="s">
        <v>25</v>
      </c>
      <c r="S30" s="165"/>
      <c r="T30" s="26"/>
      <c r="U30" s="26"/>
      <c r="V30" s="26"/>
      <c r="W30" s="164" t="s">
        <v>27</v>
      </c>
      <c r="X30" s="165"/>
      <c r="Y30" s="3"/>
    </row>
    <row r="31" spans="2:25" ht="15" customHeight="1" x14ac:dyDescent="0.4">
      <c r="B31" s="122"/>
      <c r="C31" s="123"/>
      <c r="F31" s="26"/>
      <c r="G31" s="26"/>
      <c r="H31" s="26"/>
      <c r="I31" s="26"/>
      <c r="J31" s="166"/>
      <c r="K31" s="167"/>
      <c r="L31" s="1"/>
      <c r="M31" s="1"/>
      <c r="N31" s="1"/>
      <c r="O31" s="26"/>
      <c r="P31" s="26"/>
      <c r="Q31" s="26"/>
      <c r="R31" s="166"/>
      <c r="S31" s="167"/>
      <c r="T31" s="26"/>
      <c r="U31" s="26"/>
      <c r="V31" s="26"/>
      <c r="W31" s="166"/>
      <c r="X31" s="167"/>
      <c r="Y31" s="3"/>
    </row>
    <row r="32" spans="2:25" ht="15" customHeight="1" thickBot="1" x14ac:dyDescent="0.45">
      <c r="B32" s="124"/>
      <c r="C32" s="125"/>
      <c r="F32" s="26"/>
      <c r="G32" s="26"/>
      <c r="H32" s="26"/>
      <c r="I32" s="26"/>
      <c r="J32" s="168"/>
      <c r="K32" s="169"/>
      <c r="L32" s="1"/>
      <c r="M32" s="1"/>
      <c r="N32" s="1"/>
      <c r="O32" s="26"/>
      <c r="P32" s="26"/>
      <c r="Q32" s="27"/>
      <c r="R32" s="168"/>
      <c r="S32" s="169"/>
      <c r="T32" s="27"/>
      <c r="U32" s="26"/>
      <c r="V32" s="26"/>
      <c r="W32" s="168"/>
      <c r="X32" s="169"/>
      <c r="Y32" s="3"/>
    </row>
    <row r="33" spans="2:25" ht="15" customHeight="1" thickBot="1" x14ac:dyDescent="0.45">
      <c r="F33" s="26"/>
      <c r="G33" s="26"/>
      <c r="H33" s="26"/>
      <c r="I33" s="26"/>
      <c r="J33" s="28"/>
      <c r="K33" s="26"/>
      <c r="L33" s="26"/>
      <c r="M33" s="26"/>
      <c r="N33" s="26"/>
      <c r="O33" s="26"/>
      <c r="P33" s="28"/>
      <c r="Q33" s="26"/>
      <c r="R33" s="38"/>
      <c r="S33" s="26"/>
      <c r="T33" s="37"/>
      <c r="U33" s="26"/>
      <c r="V33" s="26"/>
      <c r="W33" s="28"/>
      <c r="X33" s="26"/>
      <c r="Y33" s="3"/>
    </row>
    <row r="34" spans="2:25" ht="15" customHeight="1" x14ac:dyDescent="0.4">
      <c r="B34" s="120" t="s">
        <v>5</v>
      </c>
      <c r="C34" s="121"/>
      <c r="F34" s="26"/>
      <c r="G34" s="26"/>
      <c r="H34" s="26"/>
      <c r="I34" s="26"/>
      <c r="J34" s="170" t="s">
        <v>92</v>
      </c>
      <c r="K34" s="171"/>
      <c r="L34" s="1"/>
      <c r="M34" s="1"/>
      <c r="N34" s="1"/>
      <c r="O34" s="164" t="s">
        <v>620</v>
      </c>
      <c r="P34" s="182"/>
      <c r="Q34" s="165"/>
      <c r="R34" s="26"/>
      <c r="S34" s="26"/>
      <c r="T34" s="164" t="s">
        <v>34</v>
      </c>
      <c r="U34" s="165"/>
      <c r="V34" s="26"/>
      <c r="W34" s="164" t="s">
        <v>28</v>
      </c>
      <c r="X34" s="165"/>
      <c r="Y34" s="19"/>
    </row>
    <row r="35" spans="2:25" ht="15" customHeight="1" x14ac:dyDescent="0.4">
      <c r="B35" s="122"/>
      <c r="C35" s="123"/>
      <c r="F35" s="26"/>
      <c r="G35" s="26"/>
      <c r="H35" s="26"/>
      <c r="I35" s="26"/>
      <c r="J35" s="172"/>
      <c r="K35" s="173"/>
      <c r="L35" s="1"/>
      <c r="M35" s="1"/>
      <c r="N35" s="1"/>
      <c r="O35" s="166"/>
      <c r="P35" s="183"/>
      <c r="Q35" s="167"/>
      <c r="R35" s="26"/>
      <c r="S35" s="26"/>
      <c r="T35" s="166"/>
      <c r="U35" s="167"/>
      <c r="V35" s="26"/>
      <c r="W35" s="166"/>
      <c r="X35" s="167"/>
      <c r="Y35" s="19"/>
    </row>
    <row r="36" spans="2:25" ht="15" customHeight="1" thickBot="1" x14ac:dyDescent="0.45">
      <c r="B36" s="124"/>
      <c r="C36" s="125"/>
      <c r="F36" s="26"/>
      <c r="G36" s="26"/>
      <c r="H36" s="26"/>
      <c r="I36" s="26"/>
      <c r="J36" s="174"/>
      <c r="K36" s="175"/>
      <c r="L36" s="1"/>
      <c r="M36" s="1"/>
      <c r="N36" s="1"/>
      <c r="O36" s="168"/>
      <c r="P36" s="184"/>
      <c r="Q36" s="169"/>
      <c r="R36" s="26"/>
      <c r="S36" s="26"/>
      <c r="T36" s="168"/>
      <c r="U36" s="169"/>
      <c r="V36" s="26"/>
      <c r="W36" s="168"/>
      <c r="X36" s="169"/>
      <c r="Y36" s="19"/>
    </row>
    <row r="37" spans="2:25" ht="15" customHeight="1" thickBot="1" x14ac:dyDescent="0.45">
      <c r="F37" s="26"/>
      <c r="G37" s="26"/>
      <c r="H37" s="26"/>
      <c r="I37" s="26"/>
      <c r="J37" s="26"/>
      <c r="K37" s="26"/>
      <c r="L37" s="26"/>
      <c r="M37" s="26"/>
      <c r="N37" s="26"/>
      <c r="O37" s="29"/>
      <c r="P37" s="26"/>
      <c r="Q37" s="28"/>
      <c r="R37" s="26"/>
      <c r="S37" s="26"/>
      <c r="T37" s="28"/>
      <c r="U37" s="26"/>
      <c r="V37" s="26"/>
      <c r="W37" s="28"/>
      <c r="X37" s="26"/>
      <c r="Y37" s="3"/>
    </row>
    <row r="38" spans="2:25" ht="15" customHeight="1" x14ac:dyDescent="0.4">
      <c r="B38" s="120" t="s">
        <v>6</v>
      </c>
      <c r="C38" s="121"/>
      <c r="F38" s="26"/>
      <c r="G38" s="26"/>
      <c r="H38" s="26"/>
      <c r="I38" s="26"/>
      <c r="J38" s="26"/>
      <c r="K38" s="26"/>
      <c r="L38" s="26"/>
      <c r="M38" s="26"/>
      <c r="N38" s="170" t="s">
        <v>621</v>
      </c>
      <c r="O38" s="171"/>
      <c r="P38" s="1"/>
      <c r="Q38" s="170" t="s">
        <v>32</v>
      </c>
      <c r="R38" s="171"/>
      <c r="S38" s="1"/>
      <c r="T38" s="164" t="s">
        <v>35</v>
      </c>
      <c r="U38" s="165"/>
      <c r="V38" s="26"/>
      <c r="W38" s="164" t="s">
        <v>29</v>
      </c>
      <c r="X38" s="165"/>
      <c r="Y38" s="19"/>
    </row>
    <row r="39" spans="2:25" ht="15" customHeight="1" x14ac:dyDescent="0.4">
      <c r="B39" s="122"/>
      <c r="C39" s="123"/>
      <c r="F39" s="26"/>
      <c r="G39" s="26"/>
      <c r="H39" s="26"/>
      <c r="I39" s="26"/>
      <c r="J39" s="26"/>
      <c r="K39" s="26"/>
      <c r="L39" s="26"/>
      <c r="M39" s="26"/>
      <c r="N39" s="172"/>
      <c r="O39" s="173"/>
      <c r="P39" s="1"/>
      <c r="Q39" s="172"/>
      <c r="R39" s="173"/>
      <c r="S39" s="1"/>
      <c r="T39" s="166"/>
      <c r="U39" s="167"/>
      <c r="V39" s="26"/>
      <c r="W39" s="166"/>
      <c r="X39" s="167"/>
      <c r="Y39" s="19"/>
    </row>
    <row r="40" spans="2:25" ht="15" customHeight="1" thickBot="1" x14ac:dyDescent="0.45">
      <c r="B40" s="124"/>
      <c r="C40" s="125"/>
      <c r="F40" s="26"/>
      <c r="G40" s="26"/>
      <c r="H40" s="26"/>
      <c r="I40" s="26"/>
      <c r="J40" s="26"/>
      <c r="K40" s="26"/>
      <c r="L40" s="26"/>
      <c r="M40" s="26"/>
      <c r="N40" s="174"/>
      <c r="O40" s="175"/>
      <c r="P40" s="1"/>
      <c r="Q40" s="174"/>
      <c r="R40" s="175"/>
      <c r="S40" s="1"/>
      <c r="T40" s="168"/>
      <c r="U40" s="169"/>
      <c r="V40" s="26"/>
      <c r="W40" s="168"/>
      <c r="X40" s="169"/>
      <c r="Y40" s="19"/>
    </row>
    <row r="41" spans="2:25" ht="15" customHeight="1" thickBot="1" x14ac:dyDescent="0.45"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8"/>
      <c r="U41" s="26"/>
      <c r="V41" s="26"/>
      <c r="W41" s="28"/>
      <c r="X41" s="26"/>
      <c r="Y41" s="3"/>
    </row>
    <row r="42" spans="2:25" ht="15" customHeight="1" x14ac:dyDescent="0.4">
      <c r="B42" s="120" t="s">
        <v>7</v>
      </c>
      <c r="C42" s="121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70" t="s">
        <v>36</v>
      </c>
      <c r="U42" s="171"/>
      <c r="V42" s="26"/>
      <c r="W42" s="170" t="s">
        <v>30</v>
      </c>
      <c r="X42" s="171"/>
      <c r="Y42" s="19"/>
    </row>
    <row r="43" spans="2:25" ht="15" customHeight="1" x14ac:dyDescent="0.4">
      <c r="B43" s="122"/>
      <c r="C43" s="123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172"/>
      <c r="U43" s="173"/>
      <c r="V43" s="26"/>
      <c r="W43" s="172"/>
      <c r="X43" s="173"/>
      <c r="Y43" s="19"/>
    </row>
    <row r="44" spans="2:25" ht="15" customHeight="1" thickBot="1" x14ac:dyDescent="0.45">
      <c r="B44" s="124"/>
      <c r="C44" s="125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174"/>
      <c r="U44" s="175"/>
      <c r="V44" s="26"/>
      <c r="W44" s="174"/>
      <c r="X44" s="175"/>
      <c r="Y44" s="19"/>
    </row>
    <row r="45" spans="2:25" ht="28.8" customHeight="1" thickBot="1" x14ac:dyDescent="0.35">
      <c r="Y45" s="3"/>
    </row>
    <row r="46" spans="2:25" ht="15" customHeight="1" x14ac:dyDescent="0.3">
      <c r="D46" s="140" t="s">
        <v>18</v>
      </c>
      <c r="E46" s="141"/>
      <c r="G46" s="146" t="s">
        <v>19</v>
      </c>
      <c r="H46" s="147"/>
      <c r="J46" s="176" t="s">
        <v>20</v>
      </c>
      <c r="K46" s="177"/>
      <c r="L46" s="1"/>
      <c r="M46" s="158" t="s">
        <v>21</v>
      </c>
      <c r="N46" s="159"/>
      <c r="O46" s="132"/>
      <c r="P46" s="132"/>
      <c r="Q46" s="132"/>
      <c r="R46" s="1"/>
      <c r="Y46" s="3"/>
    </row>
    <row r="47" spans="2:25" ht="15" customHeight="1" x14ac:dyDescent="0.3">
      <c r="D47" s="142"/>
      <c r="E47" s="143"/>
      <c r="G47" s="148"/>
      <c r="H47" s="149"/>
      <c r="J47" s="178"/>
      <c r="K47" s="179"/>
      <c r="L47" s="1"/>
      <c r="M47" s="160"/>
      <c r="N47" s="161"/>
      <c r="O47" s="132"/>
      <c r="P47" s="132"/>
      <c r="Q47" s="132"/>
      <c r="R47" s="1"/>
      <c r="Y47" s="3"/>
    </row>
    <row r="48" spans="2:25" ht="15" customHeight="1" thickBot="1" x14ac:dyDescent="0.35">
      <c r="D48" s="144"/>
      <c r="E48" s="145"/>
      <c r="G48" s="150"/>
      <c r="H48" s="151"/>
      <c r="J48" s="180"/>
      <c r="K48" s="181"/>
      <c r="L48" s="1"/>
      <c r="M48" s="162"/>
      <c r="N48" s="163"/>
      <c r="O48" s="132"/>
      <c r="P48" s="132"/>
      <c r="Q48" s="132"/>
      <c r="R48" s="1"/>
      <c r="Y48" s="3"/>
    </row>
    <row r="49" spans="2:25" ht="15" customHeight="1" x14ac:dyDescent="0.3">
      <c r="B49" s="3"/>
      <c r="C49" s="3"/>
      <c r="D49" s="19"/>
      <c r="E49" s="19"/>
      <c r="F49" s="3"/>
      <c r="G49" s="19"/>
      <c r="H49" s="19"/>
      <c r="I49" s="3"/>
      <c r="J49" s="19"/>
      <c r="K49" s="19"/>
      <c r="L49" s="3"/>
      <c r="M49" s="19"/>
      <c r="N49" s="19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4" spans="2:25" ht="23.4" x14ac:dyDescent="0.45">
      <c r="B54" s="61" t="s">
        <v>84</v>
      </c>
    </row>
  </sheetData>
  <mergeCells count="35">
    <mergeCell ref="M46:N48"/>
    <mergeCell ref="O46:Q48"/>
    <mergeCell ref="B38:C40"/>
    <mergeCell ref="B42:C44"/>
    <mergeCell ref="B34:C36"/>
    <mergeCell ref="J34:K36"/>
    <mergeCell ref="D46:E48"/>
    <mergeCell ref="G46:H48"/>
    <mergeCell ref="J46:K48"/>
    <mergeCell ref="O34:Q36"/>
    <mergeCell ref="B26:C28"/>
    <mergeCell ref="F26:G28"/>
    <mergeCell ref="J26:K28"/>
    <mergeCell ref="B30:C32"/>
    <mergeCell ref="J30:K32"/>
    <mergeCell ref="B14:C16"/>
    <mergeCell ref="L14:M16"/>
    <mergeCell ref="B18:C20"/>
    <mergeCell ref="L18:M20"/>
    <mergeCell ref="B22:C24"/>
    <mergeCell ref="H22:I24"/>
    <mergeCell ref="O14:Q16"/>
    <mergeCell ref="O18:Q20"/>
    <mergeCell ref="T22:U24"/>
    <mergeCell ref="W30:X32"/>
    <mergeCell ref="T26:U28"/>
    <mergeCell ref="R30:S32"/>
    <mergeCell ref="T42:U44"/>
    <mergeCell ref="W42:X44"/>
    <mergeCell ref="T34:U36"/>
    <mergeCell ref="W34:X36"/>
    <mergeCell ref="N38:O40"/>
    <mergeCell ref="Q38:R40"/>
    <mergeCell ref="T38:U40"/>
    <mergeCell ref="W38:X40"/>
  </mergeCells>
  <conditionalFormatting sqref="AK4">
    <cfRule type="duplicateValues" dxfId="6071" priority="1"/>
  </conditionalFormatting>
  <hyperlinks>
    <hyperlink ref="AK4" location="Contents!A1" display="Back to Contents" xr:uid="{3ECDB23B-4796-4D4A-A2CC-C0E0FC808F5F}"/>
    <hyperlink ref="L14:M16" location="WPrem!A1" display="NW Premier Division" xr:uid="{BEB3907B-9BF7-4C46-BAD8-2FF8C3589483}"/>
    <hyperlink ref="L18:M20" location="'W1'!A1" display="NW Division 1" xr:uid="{279EC29E-B79E-4203-A539-AF5AFED06949}"/>
    <hyperlink ref="H22:I24" location="W2N!A1" display="NW Division 2 North" xr:uid="{C623272A-4D74-4F5B-AD73-4CCDA3F6282D}"/>
    <hyperlink ref="F26:G28" location="W3N!A1" display="NW Division 3 North " xr:uid="{C4EBFB1C-A0D4-4D00-AEDB-F8CD9DADD7D2}"/>
    <hyperlink ref="J26:K28" location="W3NC!A1" display="NW Division 3 North (Central)" xr:uid="{F4948B4D-E855-4D05-B96C-4570509D1C8D}"/>
    <hyperlink ref="J30:K32" location="W4NC!A1" display="NW Division 4 North (Central)" xr:uid="{5E1143E4-4AA5-4129-BC80-F49337ADA683}"/>
    <hyperlink ref="J34:K36" location="W5NC!A1" display="NW Division 5 North (Central)" xr:uid="{C1169C6B-4401-4564-A8F5-824DB6DE7D8F}"/>
    <hyperlink ref="T22:U24" location="W2S!A1" display="NW Division 2 South" xr:uid="{565E31B7-B3D3-4BAD-B3E0-484D76C43B69}"/>
    <hyperlink ref="T26:U28" location="W3S!A1" display="NW Division 3 South" xr:uid="{21A97FE0-46D4-4A9B-B4E4-34C1EF430BDE}"/>
    <hyperlink ref="W30:X32" location="W4E!A1" display="NW Division 4 East" xr:uid="{9EE06C54-5EB1-4384-B0CD-3E6E9FD03002}"/>
    <hyperlink ref="R30:S32" location="W4W!A1" display="NW Division 4 West" xr:uid="{C646A8BE-FD47-4EAF-8334-7CA5BB3126E5}"/>
    <hyperlink ref="O34:Q36" location="W4W!A1" display="NW Division 4 West" xr:uid="{061A892F-AC81-4FED-ADA7-155CA2957D02}"/>
    <hyperlink ref="T34:U36" location="M5SC!A1" display="NW Division 5 South (Central)" xr:uid="{EFD6B718-452E-48A2-AA1E-793A1CFE7B50}"/>
    <hyperlink ref="W34:X36" location="W5E!A1" display="NW Division 5 East" xr:uid="{8745AE51-38AA-4396-BDE3-976175B5986F}"/>
    <hyperlink ref="N38:O40" location="W6WN!A1" display="NW Division 6 West (North)" xr:uid="{BC519294-3699-475D-B3A8-9BDAAC8FDC09}"/>
    <hyperlink ref="Q38:R40" location="W6WS!A1" display="NW Division 6 West (South)" xr:uid="{A3923B55-42F9-4C71-944F-CA1D8D337C60}"/>
    <hyperlink ref="T38:U40" location="W6SC!A1" display="NW Division 6 South (Central)" xr:uid="{6F1D3104-9FAA-43E2-AE26-FF4FEED6E88E}"/>
    <hyperlink ref="W38:X40" location="W6E!A1" display="NW Division 6 East" xr:uid="{B7C189D8-67CF-4D85-98BA-0F961879DDB3}"/>
    <hyperlink ref="T42:U44" location="W7SC!A1" display="NW Division 7 South (Central)" xr:uid="{10FEAA68-0228-49C5-A20B-C1E1E63C52B0}"/>
    <hyperlink ref="W42:X44" location="W7E!A1" display="NW Division 7 East" xr:uid="{722E6E8A-9A19-49FB-8787-28108AEDA71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15506-C6DD-49AF-BBB2-629795D040C4}">
  <dimension ref="A2:AQ178"/>
  <sheetViews>
    <sheetView workbookViewId="0"/>
  </sheetViews>
  <sheetFormatPr defaultRowHeight="14.4" x14ac:dyDescent="0.3"/>
  <cols>
    <col min="1" max="1" width="4" style="47" customWidth="1"/>
    <col min="2" max="2" width="26.6640625" style="3" customWidth="1"/>
    <col min="3" max="3" width="27.88671875" style="3" customWidth="1"/>
    <col min="4" max="4" width="43" style="3" customWidth="1"/>
    <col min="5" max="5" width="15.5546875" style="3" customWidth="1"/>
    <col min="6" max="6" width="28.88671875" style="3" customWidth="1"/>
    <col min="7" max="7" width="11.21875" style="4" customWidth="1"/>
    <col min="8" max="8" width="28.5546875" style="3" customWidth="1"/>
    <col min="9" max="9" width="16.77734375" style="4" customWidth="1"/>
    <col min="10" max="10" width="3.109375" style="3" customWidth="1"/>
    <col min="11" max="11" width="17.66406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67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E9" s="47"/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12" s="3" customFormat="1" ht="15" customHeight="1" x14ac:dyDescent="0.3">
      <c r="A10" s="47">
        <f>COUNTIF(F$26:H$178,"Alderley Edge 4 (W)")</f>
        <v>22</v>
      </c>
      <c r="B10" s="4" t="s">
        <v>336</v>
      </c>
      <c r="C10" s="53">
        <v>3211809</v>
      </c>
      <c r="D10" s="57">
        <f>COUNTIF(F$26:I$178,"3211809")</f>
        <v>22</v>
      </c>
      <c r="E10" s="47"/>
      <c r="F10" s="57">
        <f>COUNTIF(F$26:F$178,"Alderley Edge 4 (W)")</f>
        <v>11</v>
      </c>
      <c r="G10" s="57"/>
      <c r="H10" s="57">
        <f>COUNTIF(H$26:H$178,"Alderley Edge 4 (W)")</f>
        <v>11</v>
      </c>
      <c r="I10" s="57">
        <f>COUNTIF(F$26:F$101,"Alderley Edge 4 (W)")</f>
        <v>5</v>
      </c>
      <c r="J10" s="57">
        <f>COUNTIF(F$102:F$178,"Alderley Edge 4 (W)")</f>
        <v>6</v>
      </c>
      <c r="K10" s="57">
        <f>COUNTIF(H$26:H$101,"Alderley Edge 4 (W)")</f>
        <v>6</v>
      </c>
      <c r="L10" s="57">
        <f>COUNTIF(H$102:H$178,"Alderley Edge 4 (W)")</f>
        <v>5</v>
      </c>
    </row>
    <row r="11" spans="1:12" s="3" customFormat="1" ht="15" customHeight="1" x14ac:dyDescent="0.3">
      <c r="A11" s="47">
        <f>COUNTIF(F$26:H$178,"Bye")</f>
        <v>22</v>
      </c>
      <c r="B11" s="4" t="s">
        <v>570</v>
      </c>
      <c r="C11" s="97" t="s">
        <v>556</v>
      </c>
      <c r="D11" s="57">
        <f>COUNTIF(F$26:I$178,"Code")</f>
        <v>22</v>
      </c>
      <c r="E11" s="47"/>
      <c r="F11" s="57">
        <f>COUNTIF(F$26:F$178,"Bye")</f>
        <v>11</v>
      </c>
      <c r="G11" s="57"/>
      <c r="H11" s="57">
        <f>COUNTIF(H$26:H$178,"Bye")</f>
        <v>11</v>
      </c>
      <c r="I11" s="57">
        <f>COUNTIF(F$26:F$101,"Bye")</f>
        <v>6</v>
      </c>
      <c r="J11" s="57">
        <f>COUNTIF(F$102:F$178,"Bye")</f>
        <v>5</v>
      </c>
      <c r="K11" s="57">
        <f>COUNTIF(H$26:H$101,"Bye")</f>
        <v>5</v>
      </c>
      <c r="L11" s="57">
        <f>COUNTIF(H$102:H$178,"Bye")</f>
        <v>6</v>
      </c>
    </row>
    <row r="12" spans="1:12" s="3" customFormat="1" ht="15" customHeight="1" x14ac:dyDescent="0.3">
      <c r="A12" s="47">
        <f>COUNTIF(F$26:H$178,"Crewe Vagrants 3 (W)")</f>
        <v>22</v>
      </c>
      <c r="B12" s="4" t="s">
        <v>373</v>
      </c>
      <c r="C12" s="74">
        <v>3207807</v>
      </c>
      <c r="D12" s="57">
        <f>COUNTIF(F$26:I$178,"3207807")</f>
        <v>22</v>
      </c>
      <c r="E12" s="47"/>
      <c r="F12" s="57">
        <f>COUNTIF(F$26:F$178,"Crewe Vagrants 3 (W)")</f>
        <v>11</v>
      </c>
      <c r="G12" s="57"/>
      <c r="H12" s="57">
        <f>COUNTIF(H$26:H$178,"Crewe Vagrants 3 (W)")</f>
        <v>11</v>
      </c>
      <c r="I12" s="57">
        <f>COUNTIF(F$26:F$101,"Crewe Vagrants 3 (W)")</f>
        <v>5</v>
      </c>
      <c r="J12" s="57">
        <f>COUNTIF(F$102:F$178,"Crewe Vagrants 3 (W)")</f>
        <v>6</v>
      </c>
      <c r="K12" s="57">
        <f>COUNTIF(H$26:H$101,"Crewe Vagrants 3 (W)")</f>
        <v>6</v>
      </c>
      <c r="L12" s="57">
        <f>COUNTIF(H$102:H$178,"Crewe Vagrants 3 (W)")</f>
        <v>5</v>
      </c>
    </row>
    <row r="13" spans="1:12" s="3" customFormat="1" ht="15" customHeight="1" x14ac:dyDescent="0.3">
      <c r="A13" s="47">
        <f>COUNTIF(F$26:H$178,"Deeside Ramblers 3 (W)")</f>
        <v>22</v>
      </c>
      <c r="B13" s="4" t="s">
        <v>338</v>
      </c>
      <c r="C13" s="74">
        <v>3207307</v>
      </c>
      <c r="D13" s="57">
        <f>COUNTIF(F$26:I$178,"3207307")</f>
        <v>22</v>
      </c>
      <c r="E13" s="47"/>
      <c r="F13" s="57">
        <f>COUNTIF(F$26:F$178,"Deeside Ramblers 3 (W)")</f>
        <v>11</v>
      </c>
      <c r="G13" s="57"/>
      <c r="H13" s="57">
        <f>COUNTIF(H$26:H$178,"Deeside Ramblers 3 (W)")</f>
        <v>11</v>
      </c>
      <c r="I13" s="57">
        <f>COUNTIF(F$26:F$101,"Deeside Ramblers 3 (W)")</f>
        <v>5</v>
      </c>
      <c r="J13" s="57">
        <f>COUNTIF(F$102:F$178,"Deeside Ramblers 3 (W)")</f>
        <v>6</v>
      </c>
      <c r="K13" s="57">
        <f>COUNTIF(H$26:H$101,"Deeside Ramblers 3 (W)")</f>
        <v>6</v>
      </c>
      <c r="L13" s="57">
        <f>COUNTIF(H$102:H$178,"Deeside Ramblers 3 (W)")</f>
        <v>5</v>
      </c>
    </row>
    <row r="14" spans="1:12" s="3" customFormat="1" ht="15" customHeight="1" x14ac:dyDescent="0.3">
      <c r="A14" s="47">
        <f>COUNTIF(F$26:H$178,"Deeside Ramblers 4 (W)")</f>
        <v>22</v>
      </c>
      <c r="B14" s="4" t="s">
        <v>374</v>
      </c>
      <c r="C14" s="74">
        <v>3207203</v>
      </c>
      <c r="D14" s="57">
        <f>COUNTIF(F$26:I$178,"3207203")</f>
        <v>22</v>
      </c>
      <c r="E14" s="47"/>
      <c r="F14" s="57">
        <f>COUNTIF(F$26:F$178,"Deeside Ramblers 4 (W)")</f>
        <v>11</v>
      </c>
      <c r="G14" s="57"/>
      <c r="H14" s="57">
        <f>COUNTIF(H$26:H$178,"Deeside Ramblers 4 (W)")</f>
        <v>11</v>
      </c>
      <c r="I14" s="57">
        <f>COUNTIF(F$26:F$101,"Deeside Ramblers 4 (W)")</f>
        <v>5</v>
      </c>
      <c r="J14" s="57">
        <f>COUNTIF(F$102:F$178,"Deeside Ramblers 4 (W)")</f>
        <v>6</v>
      </c>
      <c r="K14" s="57">
        <f>COUNTIF(H$26:H$101,"Deeside Ramblers 4 (W)")</f>
        <v>6</v>
      </c>
      <c r="L14" s="57">
        <f>COUNTIF(H$102:H$178,"Deeside Ramblers 4 (W)")</f>
        <v>5</v>
      </c>
    </row>
    <row r="15" spans="1:12" s="3" customFormat="1" ht="15" customHeight="1" x14ac:dyDescent="0.3">
      <c r="A15" s="47">
        <f>COUNTIF(F$26:H$178,"Knutsford 1 (W)")</f>
        <v>22</v>
      </c>
      <c r="B15" s="4" t="s">
        <v>339</v>
      </c>
      <c r="C15" s="74">
        <v>3204300</v>
      </c>
      <c r="D15" s="57">
        <f>COUNTIF(F$26:I$178,"3204300")</f>
        <v>22</v>
      </c>
      <c r="E15" s="47"/>
      <c r="F15" s="57">
        <f>COUNTIF(F$26:F$178,"Knutsford 1 (W)")</f>
        <v>11</v>
      </c>
      <c r="G15" s="57"/>
      <c r="H15" s="57">
        <f>COUNTIF(H$26:H$178,"Knutsford 1 (W)")</f>
        <v>11</v>
      </c>
      <c r="I15" s="57">
        <f>COUNTIF(F$26:F$101,"Knutsford 1 (W)")</f>
        <v>6</v>
      </c>
      <c r="J15" s="57">
        <f>COUNTIF(F$102:F$178,"Knutsford 1 (W)")</f>
        <v>5</v>
      </c>
      <c r="K15" s="57">
        <f>COUNTIF(H$26:H$101,"Knutsford 1 (W)")</f>
        <v>5</v>
      </c>
      <c r="L15" s="57">
        <f>COUNTIF(H$102:H$178,"Knutsford 1 (W)")</f>
        <v>6</v>
      </c>
    </row>
    <row r="16" spans="1:12" s="3" customFormat="1" ht="15" customHeight="1" x14ac:dyDescent="0.3">
      <c r="A16" s="47">
        <f>COUNTIF(F$26:H$178,"Lymm 3 (W)")</f>
        <v>22</v>
      </c>
      <c r="B16" s="4" t="s">
        <v>375</v>
      </c>
      <c r="C16" s="74">
        <v>3069209</v>
      </c>
      <c r="D16" s="57">
        <f>COUNTIF(F$26:I$178,"3069209")</f>
        <v>22</v>
      </c>
      <c r="E16" s="47"/>
      <c r="F16" s="57">
        <f>COUNTIF(F$26:F$178,"Lymm 3 (W)")</f>
        <v>11</v>
      </c>
      <c r="G16" s="57"/>
      <c r="H16" s="57">
        <f>COUNTIF(H$26:H$178,"Lymm 3 (W)")</f>
        <v>11</v>
      </c>
      <c r="I16" s="57">
        <f>COUNTIF(F$26:F$101,"Lymm 3 (W)")</f>
        <v>6</v>
      </c>
      <c r="J16" s="57">
        <f>COUNTIF(F$102:F$178,"Lymm 3 (W)")</f>
        <v>5</v>
      </c>
      <c r="K16" s="57">
        <f>COUNTIF(H$26:H$101,"Lymm 3 (W)")</f>
        <v>5</v>
      </c>
      <c r="L16" s="57">
        <f>COUNTIF(H$102:H$178,"Lymm 3 (W)")</f>
        <v>6</v>
      </c>
    </row>
    <row r="17" spans="1:12" s="3" customFormat="1" x14ac:dyDescent="0.3">
      <c r="A17" s="47">
        <f>COUNTIF(F$26:H$178,"Oswestry 1 (W)")</f>
        <v>22</v>
      </c>
      <c r="B17" s="105" t="s">
        <v>377</v>
      </c>
      <c r="C17" s="74">
        <v>3200106</v>
      </c>
      <c r="D17" s="57">
        <f>COUNTIF(F$26:I$178,"3200106")</f>
        <v>22</v>
      </c>
      <c r="E17" s="47"/>
      <c r="F17" s="57">
        <f>COUNTIF(F$26:F$178,"Oswestry 1 (W)")</f>
        <v>11</v>
      </c>
      <c r="G17" s="57"/>
      <c r="H17" s="57">
        <f>COUNTIF(H$26:H$178,"Oswestry 1 (W)")</f>
        <v>11</v>
      </c>
      <c r="I17" s="57">
        <f>COUNTIF(F$26:F$101,"Oswestry 1 (W)")</f>
        <v>6</v>
      </c>
      <c r="J17" s="57">
        <f>COUNTIF(F$102:F$178,"Oswestry 1 (W)")</f>
        <v>5</v>
      </c>
      <c r="K17" s="57">
        <f>COUNTIF(H$26:H$101,"Oswestry 1 (W)")</f>
        <v>5</v>
      </c>
      <c r="L17" s="57">
        <f>COUNTIF(H$102:H$178,"Oswestry 1 (W)")</f>
        <v>6</v>
      </c>
    </row>
    <row r="18" spans="1:12" s="3" customFormat="1" x14ac:dyDescent="0.3">
      <c r="A18" s="47">
        <f>COUNTIF(F$26:H$178,"Sandbach 1 (W)")</f>
        <v>22</v>
      </c>
      <c r="B18" s="4" t="s">
        <v>341</v>
      </c>
      <c r="C18" s="74">
        <v>3197708</v>
      </c>
      <c r="D18" s="57">
        <f>COUNTIF(F$26:I$178,"3197708")</f>
        <v>22</v>
      </c>
      <c r="E18" s="47"/>
      <c r="F18" s="57">
        <f>COUNTIF(F$26:F$178,"Sandbach 1 (W)")</f>
        <v>11</v>
      </c>
      <c r="G18" s="57"/>
      <c r="H18" s="57">
        <f>COUNTIF(H$26:H$178,"Sandbach 1 (W)")</f>
        <v>11</v>
      </c>
      <c r="I18" s="57">
        <f>COUNTIF(F$26:F$101,"Sandbach 1 (W)")</f>
        <v>6</v>
      </c>
      <c r="J18" s="57">
        <f>COUNTIF(F$102:F$178,"Sandbach 1 (W)")</f>
        <v>5</v>
      </c>
      <c r="K18" s="57">
        <f>COUNTIF(H$26:H$101,"Sandbach 1 (W)")</f>
        <v>5</v>
      </c>
      <c r="L18" s="57">
        <f>COUNTIF(H$102:H$178,"Sandbach 1 (W)")</f>
        <v>6</v>
      </c>
    </row>
    <row r="19" spans="1:12" s="3" customFormat="1" x14ac:dyDescent="0.3">
      <c r="A19" s="47">
        <f>COUNTIF(F$26:H$178,"Whitchurch (Shropshire) 2 (W)")</f>
        <v>22</v>
      </c>
      <c r="B19" s="105" t="s">
        <v>435</v>
      </c>
      <c r="C19" s="74">
        <v>3195200</v>
      </c>
      <c r="D19" s="57">
        <f>COUNTIF(F$26:I$178,"3197708")</f>
        <v>22</v>
      </c>
      <c r="E19" s="47"/>
      <c r="F19" s="57">
        <f>COUNTIF(F$26:F$178,"Whitchurch (Shropshire) 2 (W)")</f>
        <v>11</v>
      </c>
      <c r="G19" s="57"/>
      <c r="H19" s="57">
        <f>COUNTIF(H$26:H$178,"Whitchurch (Shropshire) 2 (W)")</f>
        <v>11</v>
      </c>
      <c r="I19" s="57">
        <f>COUNTIF(F$26:F$101,"Whitchurch (Shropshire) 2 (W)")</f>
        <v>6</v>
      </c>
      <c r="J19" s="57">
        <f>COUNTIF(F$102:F$178,"Whitchurch (Shropshire) 2 (W)")</f>
        <v>5</v>
      </c>
      <c r="K19" s="57">
        <f>COUNTIF(H$26:H$101,"Whitchurch (Shropshire) 2 (W)")</f>
        <v>5</v>
      </c>
      <c r="L19" s="57">
        <f>COUNTIF(H$102:H$178,"Whitchurch (Shropshire) 2 (W)")</f>
        <v>6</v>
      </c>
    </row>
    <row r="20" spans="1:12" s="3" customFormat="1" x14ac:dyDescent="0.3">
      <c r="A20" s="47">
        <f>COUNTIF(F$26:H$178,"Wilmslow 3 (W)")</f>
        <v>22</v>
      </c>
      <c r="B20" s="4" t="s">
        <v>344</v>
      </c>
      <c r="C20" s="74">
        <v>3194909</v>
      </c>
      <c r="D20" s="57">
        <f>COUNTIF(F$26:I$178,"3194909")</f>
        <v>22</v>
      </c>
      <c r="E20" s="47"/>
      <c r="F20" s="57">
        <f>COUNTIF(F$26:F$178,"Wilmslow 3 (W)")</f>
        <v>11</v>
      </c>
      <c r="G20" s="57"/>
      <c r="H20" s="57">
        <f>COUNTIF(H$26:H$178,"Wilmslow 3 (W)")</f>
        <v>11</v>
      </c>
      <c r="I20" s="57">
        <f>COUNTIF(F$26:F$101,"Wilmslow 3 (W)")</f>
        <v>5</v>
      </c>
      <c r="J20" s="57">
        <f>COUNTIF(F$102:F$178,"Wilmslow 3 (W)")</f>
        <v>6</v>
      </c>
      <c r="K20" s="57">
        <f>COUNTIF(H$26:H$101,"Wilmslow 3 (W)")</f>
        <v>6</v>
      </c>
      <c r="L20" s="57">
        <f>COUNTIF(H$102:H$178,"Wilmslow 3 (W)")</f>
        <v>5</v>
      </c>
    </row>
    <row r="21" spans="1:12" s="3" customFormat="1" x14ac:dyDescent="0.3">
      <c r="A21" s="47">
        <f>COUNTIF(F$26:H$178,"Winnington Park 2 (W)")</f>
        <v>22</v>
      </c>
      <c r="B21" s="4" t="s">
        <v>345</v>
      </c>
      <c r="C21" s="74">
        <v>3194003</v>
      </c>
      <c r="D21" s="57">
        <f>COUNTIF(F$26:I$178,"3194003")</f>
        <v>22</v>
      </c>
      <c r="E21" s="47"/>
      <c r="F21" s="57">
        <f>COUNTIF(F$26:F$178,"Winnington Park 2 (W)")</f>
        <v>11</v>
      </c>
      <c r="G21" s="57"/>
      <c r="H21" s="57">
        <f>COUNTIF(H$26:H$178,"Winnington Park 2 (W)")</f>
        <v>11</v>
      </c>
      <c r="I21" s="57">
        <f>COUNTIF(F$26:F$101,"Winnington Park 2 (W)")</f>
        <v>5</v>
      </c>
      <c r="J21" s="57">
        <f>COUNTIF(F$102:F$178,"Winnington Park 2 (W)")</f>
        <v>6</v>
      </c>
      <c r="K21" s="57">
        <f>COUNTIF(H$26:H$101,"Winnington Park 2 (W)")</f>
        <v>6</v>
      </c>
      <c r="L21" s="57">
        <f>COUNTIF(H$102:H$178,"Winnington Park 2 (W)")</f>
        <v>5</v>
      </c>
    </row>
    <row r="22" spans="1:12" x14ac:dyDescent="0.3">
      <c r="E22" s="47"/>
      <c r="F22" s="47"/>
      <c r="G22" s="57"/>
      <c r="H22" s="47"/>
      <c r="I22" s="57"/>
    </row>
    <row r="23" spans="1:12" s="3" customFormat="1" ht="21" x14ac:dyDescent="0.4">
      <c r="A23" s="47"/>
      <c r="B23" s="22" t="s">
        <v>93</v>
      </c>
      <c r="G23" s="4"/>
      <c r="I23" s="4"/>
      <c r="K23" s="51"/>
    </row>
    <row r="24" spans="1:12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  <c r="K24" s="51"/>
    </row>
    <row r="25" spans="1:12" s="3" customFormat="1" x14ac:dyDescent="0.3">
      <c r="A25" s="47"/>
      <c r="B25" s="40"/>
      <c r="C25" s="14"/>
      <c r="D25" s="14"/>
      <c r="E25" s="14"/>
      <c r="F25" s="14"/>
      <c r="G25" s="14"/>
      <c r="H25" s="13"/>
      <c r="I25" s="14"/>
      <c r="K25" s="51"/>
    </row>
    <row r="26" spans="1:12" s="3" customFormat="1" x14ac:dyDescent="0.3">
      <c r="A26" s="47"/>
      <c r="B26" s="44">
        <v>45913</v>
      </c>
      <c r="C26" s="3" t="s">
        <v>416</v>
      </c>
      <c r="D26" s="3" t="s">
        <v>67</v>
      </c>
      <c r="E26" s="101"/>
      <c r="F26" s="4" t="s">
        <v>336</v>
      </c>
      <c r="G26" s="4">
        <v>3211809</v>
      </c>
      <c r="H26" s="3" t="s">
        <v>345</v>
      </c>
      <c r="I26" s="4">
        <v>3194003</v>
      </c>
      <c r="K26" s="4"/>
      <c r="L26" s="4"/>
    </row>
    <row r="27" spans="1:12" x14ac:dyDescent="0.3">
      <c r="B27" s="44">
        <v>45913</v>
      </c>
      <c r="C27" s="3" t="s">
        <v>416</v>
      </c>
      <c r="D27" s="3" t="s">
        <v>67</v>
      </c>
      <c r="E27" s="101"/>
      <c r="F27" s="4" t="s">
        <v>435</v>
      </c>
      <c r="G27" s="4">
        <v>3195200</v>
      </c>
      <c r="H27" s="3" t="s">
        <v>373</v>
      </c>
      <c r="I27" s="4">
        <v>3207807</v>
      </c>
      <c r="K27" s="3"/>
      <c r="L27" s="4"/>
    </row>
    <row r="28" spans="1:12" x14ac:dyDescent="0.3">
      <c r="B28" s="44">
        <v>45913</v>
      </c>
      <c r="C28" s="3" t="s">
        <v>416</v>
      </c>
      <c r="D28" s="3" t="s">
        <v>67</v>
      </c>
      <c r="E28" s="101"/>
      <c r="F28" s="4" t="s">
        <v>375</v>
      </c>
      <c r="G28" s="4">
        <v>3069209</v>
      </c>
      <c r="H28" s="3" t="s">
        <v>338</v>
      </c>
      <c r="I28" s="4">
        <v>3207307</v>
      </c>
    </row>
    <row r="29" spans="1:12" x14ac:dyDescent="0.3">
      <c r="B29" s="44">
        <v>45913</v>
      </c>
      <c r="C29" s="3" t="s">
        <v>416</v>
      </c>
      <c r="D29" s="3" t="s">
        <v>67</v>
      </c>
      <c r="E29" s="101"/>
      <c r="F29" s="4" t="s">
        <v>339</v>
      </c>
      <c r="G29" s="4">
        <v>3204300</v>
      </c>
      <c r="H29" s="3" t="s">
        <v>341</v>
      </c>
      <c r="I29" s="4">
        <v>3197708</v>
      </c>
    </row>
    <row r="30" spans="1:12" x14ac:dyDescent="0.3">
      <c r="B30" s="44">
        <v>45913</v>
      </c>
      <c r="C30" s="3" t="s">
        <v>416</v>
      </c>
      <c r="D30" s="3" t="s">
        <v>67</v>
      </c>
      <c r="E30" s="101"/>
      <c r="F30" s="4" t="s">
        <v>570</v>
      </c>
      <c r="G30" s="96" t="s">
        <v>556</v>
      </c>
      <c r="H30" s="3" t="s">
        <v>374</v>
      </c>
      <c r="I30" s="4">
        <v>3207203</v>
      </c>
    </row>
    <row r="31" spans="1:12" x14ac:dyDescent="0.3">
      <c r="B31" s="44">
        <v>45913</v>
      </c>
      <c r="C31" s="3" t="s">
        <v>416</v>
      </c>
      <c r="D31" s="3" t="s">
        <v>67</v>
      </c>
      <c r="E31" s="101"/>
      <c r="F31" s="4" t="s">
        <v>377</v>
      </c>
      <c r="G31" s="4">
        <v>3200106</v>
      </c>
      <c r="H31" s="3" t="s">
        <v>344</v>
      </c>
      <c r="I31" s="4">
        <v>3194909</v>
      </c>
    </row>
    <row r="32" spans="1:12" x14ac:dyDescent="0.3">
      <c r="B32" s="4"/>
      <c r="E32" s="101"/>
      <c r="F32" s="4" t="s">
        <v>418</v>
      </c>
      <c r="G32" s="4" t="s">
        <v>418</v>
      </c>
      <c r="H32" s="3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67</v>
      </c>
      <c r="E33" s="101"/>
      <c r="F33" s="3" t="s">
        <v>341</v>
      </c>
      <c r="G33" s="4">
        <v>3197708</v>
      </c>
      <c r="H33" s="3" t="s">
        <v>336</v>
      </c>
      <c r="I33" s="4">
        <v>3211809</v>
      </c>
    </row>
    <row r="34" spans="2:9" x14ac:dyDescent="0.3">
      <c r="B34" s="44">
        <v>45920</v>
      </c>
      <c r="C34" s="3" t="s">
        <v>416</v>
      </c>
      <c r="D34" s="3" t="s">
        <v>67</v>
      </c>
      <c r="E34" s="101"/>
      <c r="F34" s="3" t="s">
        <v>373</v>
      </c>
      <c r="G34" s="4">
        <v>3207807</v>
      </c>
      <c r="H34" s="4" t="s">
        <v>377</v>
      </c>
      <c r="I34" s="4">
        <v>3200106</v>
      </c>
    </row>
    <row r="35" spans="2:9" x14ac:dyDescent="0.3">
      <c r="B35" s="44">
        <v>45920</v>
      </c>
      <c r="C35" s="3" t="s">
        <v>416</v>
      </c>
      <c r="D35" s="3" t="s">
        <v>67</v>
      </c>
      <c r="E35" s="101"/>
      <c r="F35" s="3" t="s">
        <v>345</v>
      </c>
      <c r="G35" s="4">
        <v>3194003</v>
      </c>
      <c r="H35" s="4" t="s">
        <v>435</v>
      </c>
      <c r="I35" s="4">
        <v>3195200</v>
      </c>
    </row>
    <row r="36" spans="2:9" x14ac:dyDescent="0.3">
      <c r="B36" s="44">
        <v>45920</v>
      </c>
      <c r="C36" s="3" t="s">
        <v>416</v>
      </c>
      <c r="D36" s="3" t="s">
        <v>67</v>
      </c>
      <c r="E36" s="101"/>
      <c r="F36" s="3" t="s">
        <v>374</v>
      </c>
      <c r="G36" s="4">
        <v>3207203</v>
      </c>
      <c r="H36" s="4" t="s">
        <v>375</v>
      </c>
      <c r="I36" s="4">
        <v>3069209</v>
      </c>
    </row>
    <row r="37" spans="2:9" x14ac:dyDescent="0.3">
      <c r="B37" s="44">
        <v>45920</v>
      </c>
      <c r="C37" s="3" t="s">
        <v>416</v>
      </c>
      <c r="D37" s="3" t="s">
        <v>67</v>
      </c>
      <c r="E37" s="101"/>
      <c r="F37" s="3" t="s">
        <v>338</v>
      </c>
      <c r="G37" s="4">
        <v>3207307</v>
      </c>
      <c r="H37" s="4" t="s">
        <v>339</v>
      </c>
      <c r="I37" s="4">
        <v>3204300</v>
      </c>
    </row>
    <row r="38" spans="2:9" x14ac:dyDescent="0.3">
      <c r="B38" s="44">
        <v>45920</v>
      </c>
      <c r="C38" s="3" t="s">
        <v>416</v>
      </c>
      <c r="D38" s="3" t="s">
        <v>67</v>
      </c>
      <c r="E38" s="101"/>
      <c r="F38" s="3" t="s">
        <v>344</v>
      </c>
      <c r="G38" s="4">
        <v>3194909</v>
      </c>
      <c r="H38" s="4" t="s">
        <v>570</v>
      </c>
      <c r="I38" s="4" t="s">
        <v>556</v>
      </c>
    </row>
    <row r="39" spans="2:9" x14ac:dyDescent="0.3">
      <c r="B39" s="4"/>
      <c r="E39" s="101"/>
      <c r="F39" s="4" t="s">
        <v>418</v>
      </c>
      <c r="G39" s="4" t="s">
        <v>418</v>
      </c>
      <c r="H39" s="3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67</v>
      </c>
      <c r="E40" s="101"/>
      <c r="F40" s="3" t="s">
        <v>341</v>
      </c>
      <c r="G40" s="4">
        <v>3197708</v>
      </c>
      <c r="H40" s="3" t="s">
        <v>338</v>
      </c>
      <c r="I40" s="4">
        <v>3207307</v>
      </c>
    </row>
    <row r="41" spans="2:9" x14ac:dyDescent="0.3">
      <c r="B41" s="44">
        <v>45927</v>
      </c>
      <c r="C41" s="3" t="s">
        <v>416</v>
      </c>
      <c r="D41" s="3" t="s">
        <v>67</v>
      </c>
      <c r="E41" s="101"/>
      <c r="F41" s="4" t="s">
        <v>435</v>
      </c>
      <c r="G41" s="4">
        <v>3195200</v>
      </c>
      <c r="H41" s="3" t="s">
        <v>336</v>
      </c>
      <c r="I41" s="4">
        <v>3211809</v>
      </c>
    </row>
    <row r="42" spans="2:9" x14ac:dyDescent="0.3">
      <c r="B42" s="44">
        <v>45927</v>
      </c>
      <c r="C42" s="3" t="s">
        <v>416</v>
      </c>
      <c r="D42" s="3" t="s">
        <v>67</v>
      </c>
      <c r="E42" s="101"/>
      <c r="F42" s="4" t="s">
        <v>375</v>
      </c>
      <c r="G42" s="4">
        <v>3069209</v>
      </c>
      <c r="H42" s="3" t="s">
        <v>344</v>
      </c>
      <c r="I42" s="4">
        <v>3194909</v>
      </c>
    </row>
    <row r="43" spans="2:9" x14ac:dyDescent="0.3">
      <c r="B43" s="44">
        <v>45927</v>
      </c>
      <c r="C43" s="3" t="s">
        <v>416</v>
      </c>
      <c r="D43" s="3" t="s">
        <v>67</v>
      </c>
      <c r="E43" s="101"/>
      <c r="F43" s="4" t="s">
        <v>339</v>
      </c>
      <c r="G43" s="4">
        <v>3204300</v>
      </c>
      <c r="H43" s="3" t="s">
        <v>374</v>
      </c>
      <c r="I43" s="4">
        <v>3207203</v>
      </c>
    </row>
    <row r="44" spans="2:9" x14ac:dyDescent="0.3">
      <c r="B44" s="44">
        <v>45927</v>
      </c>
      <c r="C44" s="3" t="s">
        <v>416</v>
      </c>
      <c r="D44" s="3" t="s">
        <v>67</v>
      </c>
      <c r="E44" s="101"/>
      <c r="F44" s="4" t="s">
        <v>570</v>
      </c>
      <c r="G44" s="4" t="s">
        <v>556</v>
      </c>
      <c r="H44" s="3" t="s">
        <v>373</v>
      </c>
      <c r="I44" s="4">
        <v>3207807</v>
      </c>
    </row>
    <row r="45" spans="2:9" x14ac:dyDescent="0.3">
      <c r="B45" s="44">
        <v>45927</v>
      </c>
      <c r="C45" s="3" t="s">
        <v>416</v>
      </c>
      <c r="D45" s="3" t="s">
        <v>67</v>
      </c>
      <c r="E45" s="101"/>
      <c r="F45" s="4" t="s">
        <v>377</v>
      </c>
      <c r="G45" s="4">
        <v>3200106</v>
      </c>
      <c r="H45" s="3" t="s">
        <v>345</v>
      </c>
      <c r="I45" s="4">
        <v>3194003</v>
      </c>
    </row>
    <row r="46" spans="2:9" x14ac:dyDescent="0.3">
      <c r="B46" s="4"/>
      <c r="E46" s="101"/>
      <c r="F46" s="4" t="s">
        <v>418</v>
      </c>
      <c r="G46" s="4" t="s">
        <v>418</v>
      </c>
      <c r="H46" s="3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67</v>
      </c>
      <c r="E47" s="101"/>
      <c r="F47" s="4" t="s">
        <v>336</v>
      </c>
      <c r="G47" s="4">
        <v>3211809</v>
      </c>
      <c r="H47" s="4" t="s">
        <v>377</v>
      </c>
      <c r="I47" s="4">
        <v>3200106</v>
      </c>
    </row>
    <row r="48" spans="2:9" x14ac:dyDescent="0.3">
      <c r="B48" s="44">
        <v>45934</v>
      </c>
      <c r="C48" s="3" t="s">
        <v>416</v>
      </c>
      <c r="D48" s="3" t="s">
        <v>67</v>
      </c>
      <c r="E48" s="101"/>
      <c r="F48" s="4" t="s">
        <v>373</v>
      </c>
      <c r="G48" s="4">
        <v>3207807</v>
      </c>
      <c r="H48" s="3" t="s">
        <v>375</v>
      </c>
      <c r="I48" s="4">
        <v>3069209</v>
      </c>
    </row>
    <row r="49" spans="2:9" x14ac:dyDescent="0.3">
      <c r="B49" s="44">
        <v>45934</v>
      </c>
      <c r="C49" s="3" t="s">
        <v>416</v>
      </c>
      <c r="D49" s="3" t="s">
        <v>67</v>
      </c>
      <c r="E49" s="101"/>
      <c r="F49" s="3" t="s">
        <v>345</v>
      </c>
      <c r="G49" s="4">
        <v>3194003</v>
      </c>
      <c r="H49" s="3" t="s">
        <v>570</v>
      </c>
      <c r="I49" s="4" t="s">
        <v>556</v>
      </c>
    </row>
    <row r="50" spans="2:9" x14ac:dyDescent="0.3">
      <c r="B50" s="44">
        <v>45934</v>
      </c>
      <c r="C50" s="3" t="s">
        <v>416</v>
      </c>
      <c r="D50" s="3" t="s">
        <v>67</v>
      </c>
      <c r="E50" s="101"/>
      <c r="F50" s="3" t="s">
        <v>435</v>
      </c>
      <c r="G50" s="4">
        <v>3195200</v>
      </c>
      <c r="H50" s="4" t="s">
        <v>341</v>
      </c>
      <c r="I50" s="4">
        <v>3197708</v>
      </c>
    </row>
    <row r="51" spans="2:9" x14ac:dyDescent="0.3">
      <c r="B51" s="44">
        <v>45934</v>
      </c>
      <c r="C51" s="3" t="s">
        <v>416</v>
      </c>
      <c r="D51" s="3" t="s">
        <v>67</v>
      </c>
      <c r="E51" s="101"/>
      <c r="F51" s="3" t="s">
        <v>374</v>
      </c>
      <c r="G51" s="4">
        <v>3207203</v>
      </c>
      <c r="H51" s="4" t="s">
        <v>338</v>
      </c>
      <c r="I51" s="4">
        <v>3207307</v>
      </c>
    </row>
    <row r="52" spans="2:9" x14ac:dyDescent="0.3">
      <c r="B52" s="44">
        <v>45934</v>
      </c>
      <c r="C52" s="3" t="s">
        <v>416</v>
      </c>
      <c r="D52" s="3" t="s">
        <v>67</v>
      </c>
      <c r="E52" s="101"/>
      <c r="F52" s="3" t="s">
        <v>344</v>
      </c>
      <c r="G52" s="4">
        <v>3194909</v>
      </c>
      <c r="H52" s="4" t="s">
        <v>339</v>
      </c>
      <c r="I52" s="4">
        <v>3204300</v>
      </c>
    </row>
    <row r="53" spans="2:9" x14ac:dyDescent="0.3">
      <c r="B53" s="4"/>
      <c r="E53" s="101"/>
      <c r="F53" s="4" t="s">
        <v>418</v>
      </c>
      <c r="G53" s="4" t="s">
        <v>418</v>
      </c>
      <c r="H53" s="3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67</v>
      </c>
      <c r="E54" s="101"/>
      <c r="F54" s="3" t="s">
        <v>341</v>
      </c>
      <c r="G54" s="4">
        <v>3197708</v>
      </c>
      <c r="H54" s="3" t="s">
        <v>374</v>
      </c>
      <c r="I54" s="4">
        <v>3207203</v>
      </c>
    </row>
    <row r="55" spans="2:9" x14ac:dyDescent="0.3">
      <c r="B55" s="44">
        <v>45941</v>
      </c>
      <c r="C55" s="3" t="s">
        <v>416</v>
      </c>
      <c r="D55" s="3" t="s">
        <v>67</v>
      </c>
      <c r="E55" s="101"/>
      <c r="F55" s="3" t="s">
        <v>375</v>
      </c>
      <c r="G55" s="4">
        <v>3069209</v>
      </c>
      <c r="H55" s="3" t="s">
        <v>345</v>
      </c>
      <c r="I55" s="4">
        <v>3194003</v>
      </c>
    </row>
    <row r="56" spans="2:9" x14ac:dyDescent="0.3">
      <c r="B56" s="44">
        <v>45941</v>
      </c>
      <c r="C56" s="3" t="s">
        <v>416</v>
      </c>
      <c r="D56" s="3" t="s">
        <v>67</v>
      </c>
      <c r="E56" s="101"/>
      <c r="F56" s="4" t="s">
        <v>339</v>
      </c>
      <c r="G56" s="4">
        <v>3204300</v>
      </c>
      <c r="H56" s="4" t="s">
        <v>373</v>
      </c>
      <c r="I56" s="4">
        <v>3207807</v>
      </c>
    </row>
    <row r="57" spans="2:9" x14ac:dyDescent="0.3">
      <c r="B57" s="44">
        <v>45941</v>
      </c>
      <c r="C57" s="3" t="s">
        <v>416</v>
      </c>
      <c r="D57" s="3" t="s">
        <v>67</v>
      </c>
      <c r="E57" s="101"/>
      <c r="F57" s="4" t="s">
        <v>570</v>
      </c>
      <c r="G57" s="4" t="s">
        <v>556</v>
      </c>
      <c r="H57" s="3" t="s">
        <v>336</v>
      </c>
      <c r="I57" s="4">
        <v>3211809</v>
      </c>
    </row>
    <row r="58" spans="2:9" x14ac:dyDescent="0.3">
      <c r="B58" s="44">
        <v>45941</v>
      </c>
      <c r="C58" s="3" t="s">
        <v>416</v>
      </c>
      <c r="D58" s="3" t="s">
        <v>67</v>
      </c>
      <c r="E58" s="101"/>
      <c r="F58" s="4" t="s">
        <v>338</v>
      </c>
      <c r="G58" s="4">
        <v>3207307</v>
      </c>
      <c r="H58" s="3" t="s">
        <v>344</v>
      </c>
      <c r="I58" s="4">
        <v>3194909</v>
      </c>
    </row>
    <row r="59" spans="2:9" x14ac:dyDescent="0.3">
      <c r="B59" s="44">
        <v>45941</v>
      </c>
      <c r="C59" s="3" t="s">
        <v>416</v>
      </c>
      <c r="D59" s="3" t="s">
        <v>67</v>
      </c>
      <c r="E59" s="101"/>
      <c r="F59" s="4" t="s">
        <v>377</v>
      </c>
      <c r="G59" s="4">
        <v>3200106</v>
      </c>
      <c r="H59" s="3" t="s">
        <v>435</v>
      </c>
      <c r="I59" s="4">
        <v>3195200</v>
      </c>
    </row>
    <row r="60" spans="2:9" x14ac:dyDescent="0.3">
      <c r="B60" s="4"/>
      <c r="E60" s="101"/>
      <c r="F60" s="4" t="s">
        <v>418</v>
      </c>
      <c r="G60" s="4" t="s">
        <v>418</v>
      </c>
      <c r="H60" s="3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67</v>
      </c>
      <c r="E61" s="101"/>
      <c r="F61" s="4" t="s">
        <v>336</v>
      </c>
      <c r="G61" s="4">
        <v>3211809</v>
      </c>
      <c r="H61" s="4" t="s">
        <v>375</v>
      </c>
      <c r="I61" s="4">
        <v>3069209</v>
      </c>
    </row>
    <row r="62" spans="2:9" x14ac:dyDescent="0.3">
      <c r="B62" s="44">
        <v>45948</v>
      </c>
      <c r="C62" s="3" t="s">
        <v>416</v>
      </c>
      <c r="D62" s="3" t="s">
        <v>67</v>
      </c>
      <c r="E62" s="101"/>
      <c r="F62" s="4" t="s">
        <v>373</v>
      </c>
      <c r="G62" s="4">
        <v>3207807</v>
      </c>
      <c r="H62" s="4" t="s">
        <v>338</v>
      </c>
      <c r="I62" s="4">
        <v>3207307</v>
      </c>
    </row>
    <row r="63" spans="2:9" x14ac:dyDescent="0.3">
      <c r="B63" s="44">
        <v>45948</v>
      </c>
      <c r="C63" s="3" t="s">
        <v>416</v>
      </c>
      <c r="D63" s="3" t="s">
        <v>67</v>
      </c>
      <c r="E63" s="101"/>
      <c r="F63" s="4" t="s">
        <v>345</v>
      </c>
      <c r="G63" s="4">
        <v>3194003</v>
      </c>
      <c r="H63" s="3" t="s">
        <v>339</v>
      </c>
      <c r="I63" s="4">
        <v>3204300</v>
      </c>
    </row>
    <row r="64" spans="2:9" x14ac:dyDescent="0.3">
      <c r="B64" s="44">
        <v>45948</v>
      </c>
      <c r="C64" s="3" t="s">
        <v>416</v>
      </c>
      <c r="D64" s="3" t="s">
        <v>67</v>
      </c>
      <c r="E64" s="101"/>
      <c r="F64" s="3" t="s">
        <v>435</v>
      </c>
      <c r="G64" s="4">
        <v>3195200</v>
      </c>
      <c r="H64" s="4" t="s">
        <v>570</v>
      </c>
      <c r="I64" s="4" t="s">
        <v>556</v>
      </c>
    </row>
    <row r="65" spans="2:9" x14ac:dyDescent="0.3">
      <c r="B65" s="44">
        <v>45948</v>
      </c>
      <c r="C65" s="3" t="s">
        <v>416</v>
      </c>
      <c r="D65" s="3" t="s">
        <v>67</v>
      </c>
      <c r="E65" s="101"/>
      <c r="F65" s="4" t="s">
        <v>377</v>
      </c>
      <c r="G65" s="4">
        <v>3200106</v>
      </c>
      <c r="H65" s="3" t="s">
        <v>341</v>
      </c>
      <c r="I65" s="4">
        <v>3197708</v>
      </c>
    </row>
    <row r="66" spans="2:9" x14ac:dyDescent="0.3">
      <c r="B66" s="44">
        <v>45948</v>
      </c>
      <c r="C66" s="3" t="s">
        <v>416</v>
      </c>
      <c r="D66" s="3" t="s">
        <v>67</v>
      </c>
      <c r="E66" s="101"/>
      <c r="F66" s="3" t="s">
        <v>344</v>
      </c>
      <c r="G66" s="4">
        <v>3194909</v>
      </c>
      <c r="H66" s="3" t="s">
        <v>374</v>
      </c>
      <c r="I66" s="4">
        <v>3207203</v>
      </c>
    </row>
    <row r="67" spans="2:9" x14ac:dyDescent="0.3">
      <c r="B67" s="4"/>
      <c r="E67" s="101"/>
      <c r="F67" s="4" t="s">
        <v>418</v>
      </c>
      <c r="G67" s="4" t="s">
        <v>418</v>
      </c>
      <c r="H67" s="3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67</v>
      </c>
      <c r="E68" s="101"/>
      <c r="F68" s="3" t="s">
        <v>341</v>
      </c>
      <c r="G68" s="4">
        <v>3197708</v>
      </c>
      <c r="H68" s="3" t="s">
        <v>344</v>
      </c>
      <c r="I68" s="4">
        <v>3194909</v>
      </c>
    </row>
    <row r="69" spans="2:9" x14ac:dyDescent="0.3">
      <c r="B69" s="44">
        <v>45962</v>
      </c>
      <c r="C69" s="3" t="s">
        <v>416</v>
      </c>
      <c r="D69" s="3" t="s">
        <v>67</v>
      </c>
      <c r="E69" s="101"/>
      <c r="F69" s="3" t="s">
        <v>374</v>
      </c>
      <c r="G69" s="4">
        <v>3207203</v>
      </c>
      <c r="H69" s="3" t="s">
        <v>373</v>
      </c>
      <c r="I69" s="4">
        <v>3207807</v>
      </c>
    </row>
    <row r="70" spans="2:9" x14ac:dyDescent="0.3">
      <c r="B70" s="44">
        <v>45962</v>
      </c>
      <c r="C70" s="3" t="s">
        <v>416</v>
      </c>
      <c r="D70" s="3" t="s">
        <v>67</v>
      </c>
      <c r="E70" s="101"/>
      <c r="F70" s="3" t="s">
        <v>375</v>
      </c>
      <c r="G70" s="4">
        <v>3069209</v>
      </c>
      <c r="H70" s="3" t="s">
        <v>435</v>
      </c>
      <c r="I70" s="4">
        <v>3195200</v>
      </c>
    </row>
    <row r="71" spans="2:9" x14ac:dyDescent="0.3">
      <c r="B71" s="44">
        <v>45962</v>
      </c>
      <c r="C71" s="3" t="s">
        <v>416</v>
      </c>
      <c r="D71" s="3" t="s">
        <v>67</v>
      </c>
      <c r="E71" s="101"/>
      <c r="F71" s="4" t="s">
        <v>339</v>
      </c>
      <c r="G71" s="4">
        <v>3204300</v>
      </c>
      <c r="H71" s="4" t="s">
        <v>336</v>
      </c>
      <c r="I71" s="4">
        <v>3211809</v>
      </c>
    </row>
    <row r="72" spans="2:9" x14ac:dyDescent="0.3">
      <c r="B72" s="44">
        <v>45962</v>
      </c>
      <c r="C72" s="3" t="s">
        <v>416</v>
      </c>
      <c r="D72" s="3" t="s">
        <v>67</v>
      </c>
      <c r="E72" s="101"/>
      <c r="F72" s="4" t="s">
        <v>570</v>
      </c>
      <c r="G72" s="4" t="s">
        <v>556</v>
      </c>
      <c r="H72" s="4" t="s">
        <v>377</v>
      </c>
      <c r="I72" s="4">
        <v>3200106</v>
      </c>
    </row>
    <row r="73" spans="2:9" x14ac:dyDescent="0.3">
      <c r="B73" s="44">
        <v>45962</v>
      </c>
      <c r="C73" s="3" t="s">
        <v>416</v>
      </c>
      <c r="D73" s="3" t="s">
        <v>67</v>
      </c>
      <c r="E73" s="101"/>
      <c r="F73" s="4" t="s">
        <v>338</v>
      </c>
      <c r="G73" s="4">
        <v>3207307</v>
      </c>
      <c r="H73" s="3" t="s">
        <v>345</v>
      </c>
      <c r="I73" s="4">
        <v>3194003</v>
      </c>
    </row>
    <row r="74" spans="2:9" x14ac:dyDescent="0.3">
      <c r="B74" s="4"/>
      <c r="E74" s="101"/>
      <c r="F74" s="4" t="s">
        <v>418</v>
      </c>
      <c r="G74" s="4" t="s">
        <v>418</v>
      </c>
      <c r="H74" s="3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67</v>
      </c>
      <c r="E75" s="101"/>
      <c r="F75" s="4" t="s">
        <v>336</v>
      </c>
      <c r="G75" s="4">
        <v>3211809</v>
      </c>
      <c r="H75" s="3" t="s">
        <v>338</v>
      </c>
      <c r="I75" s="4">
        <v>3207307</v>
      </c>
    </row>
    <row r="76" spans="2:9" x14ac:dyDescent="0.3">
      <c r="B76" s="44">
        <v>45969</v>
      </c>
      <c r="C76" s="3" t="s">
        <v>416</v>
      </c>
      <c r="D76" s="3" t="s">
        <v>67</v>
      </c>
      <c r="E76" s="101"/>
      <c r="F76" s="4" t="s">
        <v>373</v>
      </c>
      <c r="G76" s="4">
        <v>3207807</v>
      </c>
      <c r="H76" s="4" t="s">
        <v>344</v>
      </c>
      <c r="I76" s="4">
        <v>3194909</v>
      </c>
    </row>
    <row r="77" spans="2:9" x14ac:dyDescent="0.3">
      <c r="B77" s="44">
        <v>45969</v>
      </c>
      <c r="C77" s="3" t="s">
        <v>416</v>
      </c>
      <c r="D77" s="3" t="s">
        <v>67</v>
      </c>
      <c r="E77" s="101"/>
      <c r="F77" s="4" t="s">
        <v>345</v>
      </c>
      <c r="G77" s="4">
        <v>3194003</v>
      </c>
      <c r="H77" s="4" t="s">
        <v>374</v>
      </c>
      <c r="I77" s="4">
        <v>3207203</v>
      </c>
    </row>
    <row r="78" spans="2:9" x14ac:dyDescent="0.3">
      <c r="B78" s="44">
        <v>45969</v>
      </c>
      <c r="C78" s="3" t="s">
        <v>416</v>
      </c>
      <c r="D78" s="3" t="s">
        <v>67</v>
      </c>
      <c r="E78" s="101"/>
      <c r="F78" s="4" t="s">
        <v>435</v>
      </c>
      <c r="G78" s="4">
        <v>3195200</v>
      </c>
      <c r="H78" s="3" t="s">
        <v>339</v>
      </c>
      <c r="I78" s="4">
        <v>3204300</v>
      </c>
    </row>
    <row r="79" spans="2:9" x14ac:dyDescent="0.3">
      <c r="B79" s="44">
        <v>45969</v>
      </c>
      <c r="C79" s="3" t="s">
        <v>416</v>
      </c>
      <c r="D79" s="3" t="s">
        <v>67</v>
      </c>
      <c r="E79" s="101"/>
      <c r="F79" s="3" t="s">
        <v>570</v>
      </c>
      <c r="G79" s="4" t="s">
        <v>556</v>
      </c>
      <c r="H79" s="3" t="s">
        <v>341</v>
      </c>
      <c r="I79" s="4">
        <v>3197708</v>
      </c>
    </row>
    <row r="80" spans="2:9" x14ac:dyDescent="0.3">
      <c r="B80" s="44">
        <v>45969</v>
      </c>
      <c r="C80" s="3" t="s">
        <v>416</v>
      </c>
      <c r="D80" s="3" t="s">
        <v>67</v>
      </c>
      <c r="E80" s="101"/>
      <c r="F80" s="4" t="s">
        <v>377</v>
      </c>
      <c r="G80" s="4">
        <v>3200106</v>
      </c>
      <c r="H80" s="3" t="s">
        <v>375</v>
      </c>
      <c r="I80" s="4">
        <v>3069209</v>
      </c>
    </row>
    <row r="81" spans="2:9" x14ac:dyDescent="0.3">
      <c r="B81" s="4"/>
      <c r="E81" s="101"/>
      <c r="F81" s="4" t="s">
        <v>418</v>
      </c>
      <c r="G81" s="4" t="s">
        <v>418</v>
      </c>
      <c r="H81" s="3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67</v>
      </c>
      <c r="E82" s="101"/>
      <c r="F82" s="3" t="s">
        <v>341</v>
      </c>
      <c r="G82" s="4">
        <v>3197708</v>
      </c>
      <c r="H82" s="3" t="s">
        <v>373</v>
      </c>
      <c r="I82" s="4">
        <v>3207807</v>
      </c>
    </row>
    <row r="83" spans="2:9" x14ac:dyDescent="0.3">
      <c r="B83" s="44">
        <v>45976</v>
      </c>
      <c r="C83" s="3" t="s">
        <v>416</v>
      </c>
      <c r="D83" s="3" t="s">
        <v>67</v>
      </c>
      <c r="E83" s="101"/>
      <c r="F83" s="3" t="s">
        <v>374</v>
      </c>
      <c r="G83" s="4">
        <v>3207203</v>
      </c>
      <c r="H83" s="4" t="s">
        <v>336</v>
      </c>
      <c r="I83" s="4">
        <v>3211809</v>
      </c>
    </row>
    <row r="84" spans="2:9" x14ac:dyDescent="0.3">
      <c r="B84" s="44">
        <v>45976</v>
      </c>
      <c r="C84" s="3" t="s">
        <v>416</v>
      </c>
      <c r="D84" s="3" t="s">
        <v>67</v>
      </c>
      <c r="E84" s="101"/>
      <c r="F84" s="3" t="s">
        <v>375</v>
      </c>
      <c r="G84" s="4">
        <v>3069209</v>
      </c>
      <c r="H84" s="3" t="s">
        <v>570</v>
      </c>
      <c r="I84" s="4" t="s">
        <v>556</v>
      </c>
    </row>
    <row r="85" spans="2:9" x14ac:dyDescent="0.3">
      <c r="B85" s="44">
        <v>45976</v>
      </c>
      <c r="C85" s="3" t="s">
        <v>416</v>
      </c>
      <c r="D85" s="3" t="s">
        <v>67</v>
      </c>
      <c r="E85" s="101"/>
      <c r="F85" s="4" t="s">
        <v>339</v>
      </c>
      <c r="G85" s="4">
        <v>3204300</v>
      </c>
      <c r="H85" s="4" t="s">
        <v>377</v>
      </c>
      <c r="I85" s="4">
        <v>3200106</v>
      </c>
    </row>
    <row r="86" spans="2:9" x14ac:dyDescent="0.3">
      <c r="B86" s="44">
        <v>45976</v>
      </c>
      <c r="C86" s="3" t="s">
        <v>416</v>
      </c>
      <c r="D86" s="3" t="s">
        <v>67</v>
      </c>
      <c r="E86" s="101"/>
      <c r="F86" s="4" t="s">
        <v>338</v>
      </c>
      <c r="G86" s="4">
        <v>3207307</v>
      </c>
      <c r="H86" s="4" t="s">
        <v>435</v>
      </c>
      <c r="I86" s="4">
        <v>3195200</v>
      </c>
    </row>
    <row r="87" spans="2:9" x14ac:dyDescent="0.3">
      <c r="B87" s="44">
        <v>45976</v>
      </c>
      <c r="C87" s="3" t="s">
        <v>416</v>
      </c>
      <c r="D87" s="3" t="s">
        <v>67</v>
      </c>
      <c r="E87" s="101"/>
      <c r="F87" s="3" t="s">
        <v>344</v>
      </c>
      <c r="G87" s="4">
        <v>3194909</v>
      </c>
      <c r="H87" s="3" t="s">
        <v>345</v>
      </c>
      <c r="I87" s="4">
        <v>3194003</v>
      </c>
    </row>
    <row r="88" spans="2:9" x14ac:dyDescent="0.3">
      <c r="B88" s="4"/>
      <c r="E88" s="101"/>
      <c r="F88" s="4" t="s">
        <v>418</v>
      </c>
      <c r="G88" s="4" t="s">
        <v>418</v>
      </c>
      <c r="H88" s="3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67</v>
      </c>
      <c r="E89" s="101"/>
      <c r="F89" s="4" t="s">
        <v>336</v>
      </c>
      <c r="G89" s="4">
        <v>3211809</v>
      </c>
      <c r="H89" s="3" t="s">
        <v>344</v>
      </c>
      <c r="I89" s="4">
        <v>3194909</v>
      </c>
    </row>
    <row r="90" spans="2:9" x14ac:dyDescent="0.3">
      <c r="B90" s="44">
        <v>45983</v>
      </c>
      <c r="C90" s="3" t="s">
        <v>416</v>
      </c>
      <c r="D90" s="3" t="s">
        <v>67</v>
      </c>
      <c r="E90" s="101"/>
      <c r="F90" s="4" t="s">
        <v>345</v>
      </c>
      <c r="G90" s="4">
        <v>3194003</v>
      </c>
      <c r="H90" s="3" t="s">
        <v>373</v>
      </c>
      <c r="I90" s="4">
        <v>3207807</v>
      </c>
    </row>
    <row r="91" spans="2:9" x14ac:dyDescent="0.3">
      <c r="B91" s="44">
        <v>45983</v>
      </c>
      <c r="C91" s="3" t="s">
        <v>416</v>
      </c>
      <c r="D91" s="3" t="s">
        <v>67</v>
      </c>
      <c r="E91" s="101"/>
      <c r="F91" s="4" t="s">
        <v>435</v>
      </c>
      <c r="G91" s="4">
        <v>3195200</v>
      </c>
      <c r="H91" s="3" t="s">
        <v>374</v>
      </c>
      <c r="I91" s="4">
        <v>3207203</v>
      </c>
    </row>
    <row r="92" spans="2:9" x14ac:dyDescent="0.3">
      <c r="B92" s="44">
        <v>45983</v>
      </c>
      <c r="C92" s="3" t="s">
        <v>416</v>
      </c>
      <c r="D92" s="3" t="s">
        <v>67</v>
      </c>
      <c r="E92" s="101"/>
      <c r="F92" s="4" t="s">
        <v>375</v>
      </c>
      <c r="G92" s="4">
        <v>3069209</v>
      </c>
      <c r="H92" s="4" t="s">
        <v>341</v>
      </c>
      <c r="I92" s="4">
        <v>3197708</v>
      </c>
    </row>
    <row r="93" spans="2:9" x14ac:dyDescent="0.3">
      <c r="B93" s="44">
        <v>45983</v>
      </c>
      <c r="C93" s="3" t="s">
        <v>416</v>
      </c>
      <c r="D93" s="3" t="s">
        <v>67</v>
      </c>
      <c r="E93" s="101"/>
      <c r="F93" s="4" t="s">
        <v>570</v>
      </c>
      <c r="G93" s="4" t="s">
        <v>556</v>
      </c>
      <c r="H93" s="3" t="s">
        <v>339</v>
      </c>
      <c r="I93" s="4">
        <v>3204300</v>
      </c>
    </row>
    <row r="94" spans="2:9" x14ac:dyDescent="0.3">
      <c r="B94" s="44">
        <v>45983</v>
      </c>
      <c r="C94" s="3" t="s">
        <v>416</v>
      </c>
      <c r="D94" s="3" t="s">
        <v>67</v>
      </c>
      <c r="E94" s="101"/>
      <c r="F94" s="4" t="s">
        <v>377</v>
      </c>
      <c r="G94" s="4">
        <v>3200106</v>
      </c>
      <c r="H94" s="3" t="s">
        <v>338</v>
      </c>
      <c r="I94" s="4">
        <v>3207307</v>
      </c>
    </row>
    <row r="95" spans="2:9" x14ac:dyDescent="0.3">
      <c r="B95" s="4"/>
      <c r="E95" s="101"/>
      <c r="F95" s="4" t="s">
        <v>418</v>
      </c>
      <c r="G95" s="4" t="s">
        <v>418</v>
      </c>
      <c r="H95" s="3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67</v>
      </c>
      <c r="E96" s="101"/>
      <c r="F96" s="3" t="s">
        <v>341</v>
      </c>
      <c r="G96" s="4">
        <v>3197708</v>
      </c>
      <c r="H96" s="3" t="s">
        <v>345</v>
      </c>
      <c r="I96" s="4">
        <v>3194003</v>
      </c>
    </row>
    <row r="97" spans="2:9" x14ac:dyDescent="0.3">
      <c r="B97" s="44">
        <v>45990</v>
      </c>
      <c r="C97" s="3" t="s">
        <v>416</v>
      </c>
      <c r="D97" s="3" t="s">
        <v>67</v>
      </c>
      <c r="E97" s="101"/>
      <c r="F97" s="3" t="s">
        <v>373</v>
      </c>
      <c r="G97" s="4">
        <v>3207807</v>
      </c>
      <c r="H97" s="4" t="s">
        <v>336</v>
      </c>
      <c r="I97" s="4">
        <v>3211809</v>
      </c>
    </row>
    <row r="98" spans="2:9" x14ac:dyDescent="0.3">
      <c r="B98" s="44">
        <v>45990</v>
      </c>
      <c r="C98" s="3" t="s">
        <v>416</v>
      </c>
      <c r="D98" s="3" t="s">
        <v>67</v>
      </c>
      <c r="E98" s="101"/>
      <c r="F98" s="3" t="s">
        <v>374</v>
      </c>
      <c r="G98" s="4">
        <v>3207203</v>
      </c>
      <c r="H98" s="4" t="s">
        <v>377</v>
      </c>
      <c r="I98" s="4">
        <v>3200106</v>
      </c>
    </row>
    <row r="99" spans="2:9" x14ac:dyDescent="0.3">
      <c r="B99" s="44">
        <v>45990</v>
      </c>
      <c r="C99" s="3" t="s">
        <v>416</v>
      </c>
      <c r="D99" s="3" t="s">
        <v>67</v>
      </c>
      <c r="E99" s="101"/>
      <c r="F99" s="4" t="s">
        <v>339</v>
      </c>
      <c r="G99" s="4">
        <v>3204300</v>
      </c>
      <c r="H99" s="4" t="s">
        <v>375</v>
      </c>
      <c r="I99" s="4">
        <v>3069209</v>
      </c>
    </row>
    <row r="100" spans="2:9" x14ac:dyDescent="0.3">
      <c r="B100" s="44">
        <v>45990</v>
      </c>
      <c r="C100" s="3" t="s">
        <v>416</v>
      </c>
      <c r="D100" s="3" t="s">
        <v>67</v>
      </c>
      <c r="E100" s="101"/>
      <c r="F100" s="3" t="s">
        <v>338</v>
      </c>
      <c r="G100" s="4">
        <v>3207307</v>
      </c>
      <c r="H100" s="4" t="s">
        <v>570</v>
      </c>
      <c r="I100" s="4" t="s">
        <v>556</v>
      </c>
    </row>
    <row r="101" spans="2:9" x14ac:dyDescent="0.3">
      <c r="B101" s="44">
        <v>45990</v>
      </c>
      <c r="C101" s="3" t="s">
        <v>416</v>
      </c>
      <c r="D101" s="3" t="s">
        <v>67</v>
      </c>
      <c r="E101" s="101"/>
      <c r="F101" s="3" t="s">
        <v>344</v>
      </c>
      <c r="G101" s="4">
        <v>3194909</v>
      </c>
      <c r="H101" s="4" t="s">
        <v>435</v>
      </c>
      <c r="I101" s="4">
        <v>3195200</v>
      </c>
    </row>
    <row r="102" spans="2:9" x14ac:dyDescent="0.3">
      <c r="B102" s="4"/>
      <c r="E102" s="101"/>
      <c r="F102" s="4" t="s">
        <v>418</v>
      </c>
      <c r="G102" s="4" t="s">
        <v>418</v>
      </c>
      <c r="H102" s="3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67</v>
      </c>
      <c r="E103" s="101"/>
      <c r="F103" s="3" t="s">
        <v>341</v>
      </c>
      <c r="G103" s="4">
        <v>3197708</v>
      </c>
      <c r="H103" s="4" t="s">
        <v>339</v>
      </c>
      <c r="I103" s="4">
        <v>3204300</v>
      </c>
    </row>
    <row r="104" spans="2:9" x14ac:dyDescent="0.3">
      <c r="B104" s="44">
        <v>46032</v>
      </c>
      <c r="C104" s="3" t="s">
        <v>416</v>
      </c>
      <c r="D104" s="3" t="s">
        <v>67</v>
      </c>
      <c r="E104" s="101"/>
      <c r="F104" s="3" t="s">
        <v>373</v>
      </c>
      <c r="G104" s="4">
        <v>3207807</v>
      </c>
      <c r="H104" s="4" t="s">
        <v>435</v>
      </c>
      <c r="I104" s="4">
        <v>3195200</v>
      </c>
    </row>
    <row r="105" spans="2:9" x14ac:dyDescent="0.3">
      <c r="B105" s="44">
        <v>46032</v>
      </c>
      <c r="C105" s="3" t="s">
        <v>416</v>
      </c>
      <c r="D105" s="3" t="s">
        <v>67</v>
      </c>
      <c r="E105" s="101"/>
      <c r="F105" s="3" t="s">
        <v>345</v>
      </c>
      <c r="G105" s="4">
        <v>3194003</v>
      </c>
      <c r="H105" s="4" t="s">
        <v>336</v>
      </c>
      <c r="I105" s="4">
        <v>3211809</v>
      </c>
    </row>
    <row r="106" spans="2:9" x14ac:dyDescent="0.3">
      <c r="B106" s="44">
        <v>46032</v>
      </c>
      <c r="C106" s="3" t="s">
        <v>416</v>
      </c>
      <c r="D106" s="3" t="s">
        <v>67</v>
      </c>
      <c r="E106" s="101"/>
      <c r="F106" s="3" t="s">
        <v>374</v>
      </c>
      <c r="G106" s="4">
        <v>3207203</v>
      </c>
      <c r="H106" s="3" t="s">
        <v>570</v>
      </c>
      <c r="I106" s="4" t="s">
        <v>556</v>
      </c>
    </row>
    <row r="107" spans="2:9" x14ac:dyDescent="0.3">
      <c r="B107" s="44">
        <v>46032</v>
      </c>
      <c r="C107" s="3" t="s">
        <v>416</v>
      </c>
      <c r="D107" s="3" t="s">
        <v>67</v>
      </c>
      <c r="E107" s="101"/>
      <c r="F107" s="3" t="s">
        <v>338</v>
      </c>
      <c r="G107" s="4">
        <v>3207307</v>
      </c>
      <c r="H107" s="4" t="s">
        <v>375</v>
      </c>
      <c r="I107" s="4">
        <v>3069209</v>
      </c>
    </row>
    <row r="108" spans="2:9" x14ac:dyDescent="0.3">
      <c r="B108" s="44">
        <v>46032</v>
      </c>
      <c r="C108" s="3" t="s">
        <v>416</v>
      </c>
      <c r="D108" s="3" t="s">
        <v>67</v>
      </c>
      <c r="E108" s="101"/>
      <c r="F108" s="3" t="s">
        <v>344</v>
      </c>
      <c r="G108" s="4">
        <v>3194909</v>
      </c>
      <c r="H108" s="4" t="s">
        <v>377</v>
      </c>
      <c r="I108" s="4">
        <v>3200106</v>
      </c>
    </row>
    <row r="109" spans="2:9" x14ac:dyDescent="0.3">
      <c r="B109" s="4"/>
      <c r="E109" s="101"/>
      <c r="F109" s="4" t="s">
        <v>418</v>
      </c>
      <c r="G109" s="4" t="s">
        <v>418</v>
      </c>
      <c r="H109" s="3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67</v>
      </c>
      <c r="E110" s="101"/>
      <c r="F110" s="4" t="s">
        <v>336</v>
      </c>
      <c r="G110" s="4">
        <v>3211809</v>
      </c>
      <c r="H110" s="3" t="s">
        <v>341</v>
      </c>
      <c r="I110" s="4">
        <v>3197708</v>
      </c>
    </row>
    <row r="111" spans="2:9" x14ac:dyDescent="0.3">
      <c r="B111" s="44">
        <v>46039</v>
      </c>
      <c r="C111" s="3" t="s">
        <v>416</v>
      </c>
      <c r="D111" s="3" t="s">
        <v>67</v>
      </c>
      <c r="E111" s="101"/>
      <c r="F111" s="4" t="s">
        <v>435</v>
      </c>
      <c r="G111" s="4">
        <v>3195200</v>
      </c>
      <c r="H111" s="3" t="s">
        <v>345</v>
      </c>
      <c r="I111" s="4">
        <v>3194003</v>
      </c>
    </row>
    <row r="112" spans="2:9" x14ac:dyDescent="0.3">
      <c r="B112" s="44">
        <v>46039</v>
      </c>
      <c r="C112" s="3" t="s">
        <v>416</v>
      </c>
      <c r="D112" s="3" t="s">
        <v>67</v>
      </c>
      <c r="E112" s="101"/>
      <c r="F112" s="4" t="s">
        <v>375</v>
      </c>
      <c r="G112" s="4">
        <v>3069209</v>
      </c>
      <c r="H112" s="3" t="s">
        <v>374</v>
      </c>
      <c r="I112" s="4">
        <v>3207203</v>
      </c>
    </row>
    <row r="113" spans="2:9" x14ac:dyDescent="0.3">
      <c r="B113" s="44">
        <v>46039</v>
      </c>
      <c r="C113" s="3" t="s">
        <v>416</v>
      </c>
      <c r="D113" s="3" t="s">
        <v>67</v>
      </c>
      <c r="E113" s="101"/>
      <c r="F113" s="4" t="s">
        <v>339</v>
      </c>
      <c r="G113" s="4">
        <v>3204300</v>
      </c>
      <c r="H113" s="3" t="s">
        <v>338</v>
      </c>
      <c r="I113" s="4">
        <v>3207307</v>
      </c>
    </row>
    <row r="114" spans="2:9" x14ac:dyDescent="0.3">
      <c r="B114" s="44">
        <v>46039</v>
      </c>
      <c r="C114" s="3" t="s">
        <v>416</v>
      </c>
      <c r="D114" s="3" t="s">
        <v>67</v>
      </c>
      <c r="E114" s="101"/>
      <c r="F114" s="4" t="s">
        <v>570</v>
      </c>
      <c r="G114" s="4" t="s">
        <v>556</v>
      </c>
      <c r="H114" s="3" t="s">
        <v>344</v>
      </c>
      <c r="I114" s="4">
        <v>3194909</v>
      </c>
    </row>
    <row r="115" spans="2:9" x14ac:dyDescent="0.3">
      <c r="B115" s="44">
        <v>46039</v>
      </c>
      <c r="C115" s="3" t="s">
        <v>416</v>
      </c>
      <c r="D115" s="3" t="s">
        <v>67</v>
      </c>
      <c r="E115" s="101"/>
      <c r="F115" s="4" t="s">
        <v>377</v>
      </c>
      <c r="G115" s="4">
        <v>3200106</v>
      </c>
      <c r="H115" s="3" t="s">
        <v>373</v>
      </c>
      <c r="I115" s="4">
        <v>3207807</v>
      </c>
    </row>
    <row r="116" spans="2:9" x14ac:dyDescent="0.3">
      <c r="B116" s="4"/>
      <c r="E116" s="101"/>
      <c r="F116" s="4" t="s">
        <v>418</v>
      </c>
      <c r="G116" s="4" t="s">
        <v>418</v>
      </c>
      <c r="H116" s="3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67</v>
      </c>
      <c r="E117" s="101"/>
      <c r="F117" s="4" t="s">
        <v>336</v>
      </c>
      <c r="G117" s="4">
        <v>3211809</v>
      </c>
      <c r="H117" s="4" t="s">
        <v>435</v>
      </c>
      <c r="I117" s="4">
        <v>3195200</v>
      </c>
    </row>
    <row r="118" spans="2:9" x14ac:dyDescent="0.3">
      <c r="B118" s="44">
        <v>46046</v>
      </c>
      <c r="C118" s="3" t="s">
        <v>416</v>
      </c>
      <c r="D118" s="3" t="s">
        <v>67</v>
      </c>
      <c r="E118" s="101"/>
      <c r="F118" s="3" t="s">
        <v>373</v>
      </c>
      <c r="G118" s="4">
        <v>3207807</v>
      </c>
      <c r="H118" s="3" t="s">
        <v>570</v>
      </c>
      <c r="I118" s="4" t="s">
        <v>556</v>
      </c>
    </row>
    <row r="119" spans="2:9" x14ac:dyDescent="0.3">
      <c r="B119" s="44">
        <v>46046</v>
      </c>
      <c r="C119" s="3" t="s">
        <v>416</v>
      </c>
      <c r="D119" s="3" t="s">
        <v>67</v>
      </c>
      <c r="E119" s="101"/>
      <c r="F119" s="3" t="s">
        <v>345</v>
      </c>
      <c r="G119" s="4">
        <v>3194003</v>
      </c>
      <c r="H119" s="4" t="s">
        <v>377</v>
      </c>
      <c r="I119" s="4">
        <v>3200106</v>
      </c>
    </row>
    <row r="120" spans="2:9" x14ac:dyDescent="0.3">
      <c r="B120" s="44">
        <v>46046</v>
      </c>
      <c r="C120" s="3" t="s">
        <v>416</v>
      </c>
      <c r="D120" s="3" t="s">
        <v>67</v>
      </c>
      <c r="E120" s="101"/>
      <c r="F120" s="3" t="s">
        <v>374</v>
      </c>
      <c r="G120" s="4">
        <v>3207203</v>
      </c>
      <c r="H120" s="4" t="s">
        <v>339</v>
      </c>
      <c r="I120" s="4">
        <v>3204300</v>
      </c>
    </row>
    <row r="121" spans="2:9" x14ac:dyDescent="0.3">
      <c r="B121" s="44">
        <v>46046</v>
      </c>
      <c r="C121" s="3" t="s">
        <v>416</v>
      </c>
      <c r="D121" s="3" t="s">
        <v>67</v>
      </c>
      <c r="E121" s="101"/>
      <c r="F121" s="3" t="s">
        <v>338</v>
      </c>
      <c r="G121" s="4">
        <v>3207307</v>
      </c>
      <c r="H121" s="4" t="s">
        <v>341</v>
      </c>
      <c r="I121" s="4">
        <v>3197708</v>
      </c>
    </row>
    <row r="122" spans="2:9" x14ac:dyDescent="0.3">
      <c r="B122" s="44">
        <v>46046</v>
      </c>
      <c r="C122" s="3" t="s">
        <v>416</v>
      </c>
      <c r="D122" s="3" t="s">
        <v>67</v>
      </c>
      <c r="E122" s="101"/>
      <c r="F122" s="3" t="s">
        <v>344</v>
      </c>
      <c r="G122" s="4">
        <v>3194909</v>
      </c>
      <c r="H122" s="4" t="s">
        <v>375</v>
      </c>
      <c r="I122" s="4">
        <v>3069209</v>
      </c>
    </row>
    <row r="123" spans="2:9" x14ac:dyDescent="0.3">
      <c r="B123" s="4"/>
      <c r="E123" s="101"/>
      <c r="F123" s="4" t="s">
        <v>418</v>
      </c>
      <c r="G123" s="4" t="s">
        <v>418</v>
      </c>
      <c r="H123" s="3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67</v>
      </c>
      <c r="E124" s="101"/>
      <c r="F124" s="3" t="s">
        <v>341</v>
      </c>
      <c r="G124" s="4">
        <v>3197708</v>
      </c>
      <c r="H124" s="4" t="s">
        <v>435</v>
      </c>
      <c r="I124" s="4">
        <v>3195200</v>
      </c>
    </row>
    <row r="125" spans="2:9" x14ac:dyDescent="0.3">
      <c r="B125" s="44">
        <v>46053</v>
      </c>
      <c r="C125" s="3" t="s">
        <v>416</v>
      </c>
      <c r="D125" s="3" t="s">
        <v>67</v>
      </c>
      <c r="E125" s="101"/>
      <c r="F125" s="3" t="s">
        <v>375</v>
      </c>
      <c r="G125" s="4">
        <v>3069209</v>
      </c>
      <c r="H125" s="3" t="s">
        <v>373</v>
      </c>
      <c r="I125" s="4">
        <v>3207807</v>
      </c>
    </row>
    <row r="126" spans="2:9" x14ac:dyDescent="0.3">
      <c r="B126" s="44">
        <v>46053</v>
      </c>
      <c r="C126" s="3" t="s">
        <v>416</v>
      </c>
      <c r="D126" s="3" t="s">
        <v>67</v>
      </c>
      <c r="E126" s="101"/>
      <c r="F126" s="4" t="s">
        <v>339</v>
      </c>
      <c r="G126" s="4">
        <v>3204300</v>
      </c>
      <c r="H126" s="3" t="s">
        <v>344</v>
      </c>
      <c r="I126" s="4">
        <v>3194909</v>
      </c>
    </row>
    <row r="127" spans="2:9" x14ac:dyDescent="0.3">
      <c r="B127" s="44">
        <v>46053</v>
      </c>
      <c r="C127" s="3" t="s">
        <v>416</v>
      </c>
      <c r="D127" s="3" t="s">
        <v>67</v>
      </c>
      <c r="E127" s="101"/>
      <c r="F127" s="4" t="s">
        <v>570</v>
      </c>
      <c r="G127" s="4" t="s">
        <v>556</v>
      </c>
      <c r="H127" s="3" t="s">
        <v>345</v>
      </c>
      <c r="I127" s="4">
        <v>3194003</v>
      </c>
    </row>
    <row r="128" spans="2:9" x14ac:dyDescent="0.3">
      <c r="B128" s="44">
        <v>46053</v>
      </c>
      <c r="C128" s="3" t="s">
        <v>416</v>
      </c>
      <c r="D128" s="3" t="s">
        <v>67</v>
      </c>
      <c r="E128" s="101"/>
      <c r="F128" s="4" t="s">
        <v>338</v>
      </c>
      <c r="G128" s="4">
        <v>3207307</v>
      </c>
      <c r="H128" s="3" t="s">
        <v>374</v>
      </c>
      <c r="I128" s="4">
        <v>3207203</v>
      </c>
    </row>
    <row r="129" spans="2:9" x14ac:dyDescent="0.3">
      <c r="B129" s="44">
        <v>46053</v>
      </c>
      <c r="C129" s="3" t="s">
        <v>416</v>
      </c>
      <c r="D129" s="3" t="s">
        <v>67</v>
      </c>
      <c r="E129" s="101"/>
      <c r="F129" s="4" t="s">
        <v>377</v>
      </c>
      <c r="G129" s="4">
        <v>3200106</v>
      </c>
      <c r="H129" s="3" t="s">
        <v>336</v>
      </c>
      <c r="I129" s="4">
        <v>3211809</v>
      </c>
    </row>
    <row r="130" spans="2:9" x14ac:dyDescent="0.3">
      <c r="B130" s="4"/>
      <c r="E130" s="101"/>
      <c r="F130" s="4" t="s">
        <v>418</v>
      </c>
      <c r="G130" s="4" t="s">
        <v>418</v>
      </c>
      <c r="H130" s="3" t="s">
        <v>418</v>
      </c>
      <c r="I130" s="4" t="s">
        <v>418</v>
      </c>
    </row>
    <row r="131" spans="2:9" x14ac:dyDescent="0.3">
      <c r="B131" s="44">
        <v>46060</v>
      </c>
      <c r="C131" s="3" t="s">
        <v>416</v>
      </c>
      <c r="D131" s="3" t="s">
        <v>67</v>
      </c>
      <c r="E131" s="101"/>
      <c r="F131" s="4" t="s">
        <v>336</v>
      </c>
      <c r="G131" s="4">
        <v>3211809</v>
      </c>
      <c r="H131" s="4" t="s">
        <v>570</v>
      </c>
      <c r="I131" s="4" t="s">
        <v>556</v>
      </c>
    </row>
    <row r="132" spans="2:9" x14ac:dyDescent="0.3">
      <c r="B132" s="44">
        <v>46060</v>
      </c>
      <c r="C132" s="3" t="s">
        <v>416</v>
      </c>
      <c r="D132" s="3" t="s">
        <v>67</v>
      </c>
      <c r="E132" s="101"/>
      <c r="F132" s="4" t="s">
        <v>373</v>
      </c>
      <c r="G132" s="4">
        <v>3207807</v>
      </c>
      <c r="H132" s="4" t="s">
        <v>339</v>
      </c>
      <c r="I132" s="4">
        <v>3204300</v>
      </c>
    </row>
    <row r="133" spans="2:9" x14ac:dyDescent="0.3">
      <c r="B133" s="44">
        <v>46060</v>
      </c>
      <c r="C133" s="3" t="s">
        <v>416</v>
      </c>
      <c r="D133" s="3" t="s">
        <v>67</v>
      </c>
      <c r="E133" s="101"/>
      <c r="F133" s="3" t="s">
        <v>345</v>
      </c>
      <c r="G133" s="4">
        <v>3194003</v>
      </c>
      <c r="H133" s="3" t="s">
        <v>375</v>
      </c>
      <c r="I133" s="4">
        <v>3069209</v>
      </c>
    </row>
    <row r="134" spans="2:9" x14ac:dyDescent="0.3">
      <c r="B134" s="44">
        <v>46060</v>
      </c>
      <c r="C134" s="3" t="s">
        <v>416</v>
      </c>
      <c r="D134" s="3" t="s">
        <v>67</v>
      </c>
      <c r="E134" s="101"/>
      <c r="F134" s="3" t="s">
        <v>435</v>
      </c>
      <c r="G134" s="4">
        <v>3195200</v>
      </c>
      <c r="H134" s="4" t="s">
        <v>377</v>
      </c>
      <c r="I134" s="4">
        <v>3200106</v>
      </c>
    </row>
    <row r="135" spans="2:9" x14ac:dyDescent="0.3">
      <c r="B135" s="44">
        <v>46060</v>
      </c>
      <c r="C135" s="3" t="s">
        <v>416</v>
      </c>
      <c r="D135" s="3" t="s">
        <v>67</v>
      </c>
      <c r="E135" s="101"/>
      <c r="F135" s="3" t="s">
        <v>374</v>
      </c>
      <c r="G135" s="4">
        <v>3207203</v>
      </c>
      <c r="H135" s="3" t="s">
        <v>341</v>
      </c>
      <c r="I135" s="4">
        <v>3197708</v>
      </c>
    </row>
    <row r="136" spans="2:9" x14ac:dyDescent="0.3">
      <c r="B136" s="44">
        <v>46060</v>
      </c>
      <c r="C136" s="3" t="s">
        <v>416</v>
      </c>
      <c r="D136" s="3" t="s">
        <v>67</v>
      </c>
      <c r="E136" s="101"/>
      <c r="F136" s="3" t="s">
        <v>344</v>
      </c>
      <c r="G136" s="4">
        <v>3194909</v>
      </c>
      <c r="H136" s="4" t="s">
        <v>338</v>
      </c>
      <c r="I136" s="4">
        <v>3207307</v>
      </c>
    </row>
    <row r="137" spans="2:9" x14ac:dyDescent="0.3">
      <c r="B137" s="4"/>
      <c r="E137" s="101"/>
      <c r="F137" s="4" t="s">
        <v>418</v>
      </c>
      <c r="G137" s="4" t="s">
        <v>418</v>
      </c>
      <c r="H137" s="3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67</v>
      </c>
      <c r="E138" s="101"/>
      <c r="F138" s="3" t="s">
        <v>341</v>
      </c>
      <c r="G138" s="4">
        <v>3197708</v>
      </c>
      <c r="H138" s="4" t="s">
        <v>377</v>
      </c>
      <c r="I138" s="4">
        <v>3200106</v>
      </c>
    </row>
    <row r="139" spans="2:9" x14ac:dyDescent="0.3">
      <c r="B139" s="44">
        <v>46074</v>
      </c>
      <c r="C139" s="3" t="s">
        <v>416</v>
      </c>
      <c r="D139" s="3" t="s">
        <v>67</v>
      </c>
      <c r="E139" s="101"/>
      <c r="F139" s="3" t="s">
        <v>374</v>
      </c>
      <c r="G139" s="4">
        <v>3207203</v>
      </c>
      <c r="H139" s="3" t="s">
        <v>344</v>
      </c>
      <c r="I139" s="4">
        <v>3194909</v>
      </c>
    </row>
    <row r="140" spans="2:9" x14ac:dyDescent="0.3">
      <c r="B140" s="44">
        <v>46074</v>
      </c>
      <c r="C140" s="3" t="s">
        <v>416</v>
      </c>
      <c r="D140" s="3" t="s">
        <v>67</v>
      </c>
      <c r="E140" s="101"/>
      <c r="F140" s="3" t="s">
        <v>375</v>
      </c>
      <c r="G140" s="4">
        <v>3069209</v>
      </c>
      <c r="H140" s="3" t="s">
        <v>336</v>
      </c>
      <c r="I140" s="4">
        <v>3211809</v>
      </c>
    </row>
    <row r="141" spans="2:9" x14ac:dyDescent="0.3">
      <c r="B141" s="44">
        <v>46074</v>
      </c>
      <c r="C141" s="3" t="s">
        <v>416</v>
      </c>
      <c r="D141" s="3" t="s">
        <v>67</v>
      </c>
      <c r="E141" s="101"/>
      <c r="F141" s="4" t="s">
        <v>339</v>
      </c>
      <c r="G141" s="4">
        <v>3204300</v>
      </c>
      <c r="H141" s="4" t="s">
        <v>345</v>
      </c>
      <c r="I141" s="4">
        <v>3194003</v>
      </c>
    </row>
    <row r="142" spans="2:9" x14ac:dyDescent="0.3">
      <c r="B142" s="44">
        <v>46074</v>
      </c>
      <c r="C142" s="3" t="s">
        <v>416</v>
      </c>
      <c r="D142" s="3" t="s">
        <v>67</v>
      </c>
      <c r="E142" s="101"/>
      <c r="F142" s="4" t="s">
        <v>570</v>
      </c>
      <c r="G142" s="4" t="s">
        <v>556</v>
      </c>
      <c r="H142" s="3" t="s">
        <v>435</v>
      </c>
      <c r="I142" s="4">
        <v>3195200</v>
      </c>
    </row>
    <row r="143" spans="2:9" x14ac:dyDescent="0.3">
      <c r="B143" s="44">
        <v>46074</v>
      </c>
      <c r="C143" s="3" t="s">
        <v>416</v>
      </c>
      <c r="D143" s="3" t="s">
        <v>67</v>
      </c>
      <c r="E143" s="101"/>
      <c r="F143" s="4" t="s">
        <v>338</v>
      </c>
      <c r="G143" s="4">
        <v>3207307</v>
      </c>
      <c r="H143" s="3" t="s">
        <v>373</v>
      </c>
      <c r="I143" s="4">
        <v>3207807</v>
      </c>
    </row>
    <row r="144" spans="2:9" x14ac:dyDescent="0.3">
      <c r="B144" s="4"/>
      <c r="E144" s="101"/>
      <c r="F144" s="4" t="s">
        <v>418</v>
      </c>
      <c r="G144" s="4" t="s">
        <v>418</v>
      </c>
      <c r="H144" s="3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67</v>
      </c>
      <c r="E145" s="101"/>
      <c r="F145" s="4" t="s">
        <v>336</v>
      </c>
      <c r="G145" s="4">
        <v>3211809</v>
      </c>
      <c r="H145" s="4" t="s">
        <v>339</v>
      </c>
      <c r="I145" s="4">
        <v>3204300</v>
      </c>
    </row>
    <row r="146" spans="2:9" x14ac:dyDescent="0.3">
      <c r="B146" s="44">
        <v>46081</v>
      </c>
      <c r="C146" s="3" t="s">
        <v>416</v>
      </c>
      <c r="D146" s="3" t="s">
        <v>67</v>
      </c>
      <c r="E146" s="101"/>
      <c r="F146" s="4" t="s">
        <v>373</v>
      </c>
      <c r="G146" s="4">
        <v>3207807</v>
      </c>
      <c r="H146" s="4" t="s">
        <v>374</v>
      </c>
      <c r="I146" s="4">
        <v>3207203</v>
      </c>
    </row>
    <row r="147" spans="2:9" x14ac:dyDescent="0.3">
      <c r="B147" s="44">
        <v>46081</v>
      </c>
      <c r="C147" s="3" t="s">
        <v>416</v>
      </c>
      <c r="D147" s="3" t="s">
        <v>67</v>
      </c>
      <c r="E147" s="101"/>
      <c r="F147" s="4" t="s">
        <v>345</v>
      </c>
      <c r="G147" s="4">
        <v>3194003</v>
      </c>
      <c r="H147" s="4" t="s">
        <v>338</v>
      </c>
      <c r="I147" s="4">
        <v>3207307</v>
      </c>
    </row>
    <row r="148" spans="2:9" x14ac:dyDescent="0.3">
      <c r="B148" s="44">
        <v>46081</v>
      </c>
      <c r="C148" s="3" t="s">
        <v>416</v>
      </c>
      <c r="D148" s="3" t="s">
        <v>67</v>
      </c>
      <c r="E148" s="101"/>
      <c r="F148" s="3" t="s">
        <v>435</v>
      </c>
      <c r="G148" s="4">
        <v>3195200</v>
      </c>
      <c r="H148" s="3" t="s">
        <v>375</v>
      </c>
      <c r="I148" s="4">
        <v>3069209</v>
      </c>
    </row>
    <row r="149" spans="2:9" x14ac:dyDescent="0.3">
      <c r="B149" s="44">
        <v>46081</v>
      </c>
      <c r="C149" s="3" t="s">
        <v>416</v>
      </c>
      <c r="D149" s="3" t="s">
        <v>67</v>
      </c>
      <c r="E149" s="101"/>
      <c r="F149" s="4" t="s">
        <v>377</v>
      </c>
      <c r="G149" s="4">
        <v>3200106</v>
      </c>
      <c r="H149" s="3" t="s">
        <v>570</v>
      </c>
      <c r="I149" s="4" t="s">
        <v>556</v>
      </c>
    </row>
    <row r="150" spans="2:9" x14ac:dyDescent="0.3">
      <c r="B150" s="44">
        <v>46081</v>
      </c>
      <c r="C150" s="3" t="s">
        <v>416</v>
      </c>
      <c r="D150" s="3" t="s">
        <v>67</v>
      </c>
      <c r="E150" s="101"/>
      <c r="F150" s="3" t="s">
        <v>344</v>
      </c>
      <c r="G150" s="4">
        <v>3194909</v>
      </c>
      <c r="H150" s="3" t="s">
        <v>341</v>
      </c>
      <c r="I150" s="4">
        <v>3197708</v>
      </c>
    </row>
    <row r="151" spans="2:9" x14ac:dyDescent="0.3">
      <c r="B151" s="4"/>
      <c r="E151" s="101"/>
      <c r="F151" s="4" t="s">
        <v>418</v>
      </c>
      <c r="G151" s="4" t="s">
        <v>418</v>
      </c>
      <c r="H151" s="3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67</v>
      </c>
      <c r="E152" s="101"/>
      <c r="F152" s="3" t="s">
        <v>341</v>
      </c>
      <c r="G152" s="4">
        <v>3197708</v>
      </c>
      <c r="H152" s="4" t="s">
        <v>570</v>
      </c>
      <c r="I152" s="4" t="s">
        <v>556</v>
      </c>
    </row>
    <row r="153" spans="2:9" x14ac:dyDescent="0.3">
      <c r="B153" s="44">
        <v>46088</v>
      </c>
      <c r="C153" s="3" t="s">
        <v>416</v>
      </c>
      <c r="D153" s="3" t="s">
        <v>67</v>
      </c>
      <c r="E153" s="101"/>
      <c r="F153" s="3" t="s">
        <v>374</v>
      </c>
      <c r="G153" s="4">
        <v>3207203</v>
      </c>
      <c r="H153" s="3" t="s">
        <v>345</v>
      </c>
      <c r="I153" s="4">
        <v>3194003</v>
      </c>
    </row>
    <row r="154" spans="2:9" x14ac:dyDescent="0.3">
      <c r="B154" s="44">
        <v>46088</v>
      </c>
      <c r="C154" s="3" t="s">
        <v>416</v>
      </c>
      <c r="D154" s="3" t="s">
        <v>67</v>
      </c>
      <c r="E154" s="101"/>
      <c r="F154" s="3" t="s">
        <v>375</v>
      </c>
      <c r="G154" s="4">
        <v>3069209</v>
      </c>
      <c r="H154" s="4" t="s">
        <v>377</v>
      </c>
      <c r="I154" s="4">
        <v>3200106</v>
      </c>
    </row>
    <row r="155" spans="2:9" x14ac:dyDescent="0.3">
      <c r="B155" s="44">
        <v>46088</v>
      </c>
      <c r="C155" s="3" t="s">
        <v>416</v>
      </c>
      <c r="D155" s="3" t="s">
        <v>67</v>
      </c>
      <c r="E155" s="101"/>
      <c r="F155" s="4" t="s">
        <v>339</v>
      </c>
      <c r="G155" s="4">
        <v>3204300</v>
      </c>
      <c r="H155" s="4" t="s">
        <v>435</v>
      </c>
      <c r="I155" s="4">
        <v>3195200</v>
      </c>
    </row>
    <row r="156" spans="2:9" x14ac:dyDescent="0.3">
      <c r="B156" s="44">
        <v>46088</v>
      </c>
      <c r="C156" s="3" t="s">
        <v>416</v>
      </c>
      <c r="D156" s="3" t="s">
        <v>67</v>
      </c>
      <c r="E156" s="101"/>
      <c r="F156" s="4" t="s">
        <v>338</v>
      </c>
      <c r="G156" s="4">
        <v>3207307</v>
      </c>
      <c r="H156" s="4" t="s">
        <v>336</v>
      </c>
      <c r="I156" s="4">
        <v>3211809</v>
      </c>
    </row>
    <row r="157" spans="2:9" x14ac:dyDescent="0.3">
      <c r="B157" s="44">
        <v>46088</v>
      </c>
      <c r="C157" s="3" t="s">
        <v>416</v>
      </c>
      <c r="D157" s="3" t="s">
        <v>67</v>
      </c>
      <c r="E157" s="101"/>
      <c r="F157" s="3" t="s">
        <v>344</v>
      </c>
      <c r="G157" s="4">
        <v>3194909</v>
      </c>
      <c r="H157" s="3" t="s">
        <v>373</v>
      </c>
      <c r="I157" s="4">
        <v>3207807</v>
      </c>
    </row>
    <row r="158" spans="2:9" x14ac:dyDescent="0.3">
      <c r="B158" s="4"/>
      <c r="E158" s="101"/>
      <c r="F158" s="4" t="s">
        <v>418</v>
      </c>
      <c r="G158" s="4" t="s">
        <v>418</v>
      </c>
      <c r="H158" s="3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67</v>
      </c>
      <c r="E159" s="101"/>
      <c r="F159" s="4" t="s">
        <v>336</v>
      </c>
      <c r="G159" s="4">
        <v>3211809</v>
      </c>
      <c r="H159" s="3" t="s">
        <v>374</v>
      </c>
      <c r="I159" s="4">
        <v>3207203</v>
      </c>
    </row>
    <row r="160" spans="2:9" x14ac:dyDescent="0.3">
      <c r="B160" s="44">
        <v>46095</v>
      </c>
      <c r="C160" s="3" t="s">
        <v>416</v>
      </c>
      <c r="D160" s="3" t="s">
        <v>67</v>
      </c>
      <c r="E160" s="101"/>
      <c r="F160" s="4" t="s">
        <v>373</v>
      </c>
      <c r="G160" s="4">
        <v>3207807</v>
      </c>
      <c r="H160" s="3" t="s">
        <v>341</v>
      </c>
      <c r="I160" s="4">
        <v>3197708</v>
      </c>
    </row>
    <row r="161" spans="2:9" x14ac:dyDescent="0.3">
      <c r="B161" s="44">
        <v>46095</v>
      </c>
      <c r="C161" s="3" t="s">
        <v>416</v>
      </c>
      <c r="D161" s="3" t="s">
        <v>67</v>
      </c>
      <c r="E161" s="101"/>
      <c r="F161" s="4" t="s">
        <v>345</v>
      </c>
      <c r="G161" s="4">
        <v>3194003</v>
      </c>
      <c r="H161" s="4" t="s">
        <v>344</v>
      </c>
      <c r="I161" s="4">
        <v>3194909</v>
      </c>
    </row>
    <row r="162" spans="2:9" x14ac:dyDescent="0.3">
      <c r="B162" s="44">
        <v>46095</v>
      </c>
      <c r="C162" s="3" t="s">
        <v>416</v>
      </c>
      <c r="D162" s="3" t="s">
        <v>67</v>
      </c>
      <c r="E162" s="101"/>
      <c r="F162" s="4" t="s">
        <v>435</v>
      </c>
      <c r="G162" s="4">
        <v>3195200</v>
      </c>
      <c r="H162" s="4" t="s">
        <v>338</v>
      </c>
      <c r="I162" s="4">
        <v>3207307</v>
      </c>
    </row>
    <row r="163" spans="2:9" x14ac:dyDescent="0.3">
      <c r="B163" s="44">
        <v>46095</v>
      </c>
      <c r="C163" s="3" t="s">
        <v>416</v>
      </c>
      <c r="D163" s="3" t="s">
        <v>67</v>
      </c>
      <c r="E163" s="101"/>
      <c r="F163" s="3" t="s">
        <v>570</v>
      </c>
      <c r="G163" s="4" t="s">
        <v>556</v>
      </c>
      <c r="H163" s="3" t="s">
        <v>375</v>
      </c>
      <c r="I163" s="4">
        <v>3069209</v>
      </c>
    </row>
    <row r="164" spans="2:9" x14ac:dyDescent="0.3">
      <c r="B164" s="44">
        <v>46095</v>
      </c>
      <c r="C164" s="3" t="s">
        <v>416</v>
      </c>
      <c r="D164" s="3" t="s">
        <v>67</v>
      </c>
      <c r="E164" s="101"/>
      <c r="F164" s="4" t="s">
        <v>377</v>
      </c>
      <c r="G164" s="4">
        <v>3200106</v>
      </c>
      <c r="H164" s="3" t="s">
        <v>339</v>
      </c>
      <c r="I164" s="4">
        <v>3204300</v>
      </c>
    </row>
    <row r="165" spans="2:9" x14ac:dyDescent="0.3">
      <c r="B165" s="4"/>
      <c r="E165" s="101"/>
      <c r="F165" s="4" t="s">
        <v>418</v>
      </c>
      <c r="G165" s="4" t="s">
        <v>418</v>
      </c>
      <c r="H165" s="3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67</v>
      </c>
      <c r="E166" s="101"/>
      <c r="F166" s="3" t="s">
        <v>341</v>
      </c>
      <c r="G166" s="4">
        <v>3197708</v>
      </c>
      <c r="H166" s="4" t="s">
        <v>375</v>
      </c>
      <c r="I166" s="4">
        <v>3069209</v>
      </c>
    </row>
    <row r="167" spans="2:9" x14ac:dyDescent="0.3">
      <c r="B167" s="44">
        <v>46102</v>
      </c>
      <c r="C167" s="3" t="s">
        <v>416</v>
      </c>
      <c r="D167" s="3" t="s">
        <v>67</v>
      </c>
      <c r="E167" s="101"/>
      <c r="F167" s="3" t="s">
        <v>373</v>
      </c>
      <c r="G167" s="4">
        <v>3207807</v>
      </c>
      <c r="H167" s="4" t="s">
        <v>345</v>
      </c>
      <c r="I167" s="4">
        <v>3194003</v>
      </c>
    </row>
    <row r="168" spans="2:9" x14ac:dyDescent="0.3">
      <c r="B168" s="44">
        <v>46102</v>
      </c>
      <c r="C168" s="3" t="s">
        <v>416</v>
      </c>
      <c r="D168" s="3" t="s">
        <v>67</v>
      </c>
      <c r="E168" s="101"/>
      <c r="F168" s="3" t="s">
        <v>374</v>
      </c>
      <c r="G168" s="4">
        <v>3207203</v>
      </c>
      <c r="H168" s="4" t="s">
        <v>435</v>
      </c>
      <c r="I168" s="4">
        <v>3195200</v>
      </c>
    </row>
    <row r="169" spans="2:9" x14ac:dyDescent="0.3">
      <c r="B169" s="44">
        <v>46102</v>
      </c>
      <c r="C169" s="3" t="s">
        <v>416</v>
      </c>
      <c r="D169" s="3" t="s">
        <v>67</v>
      </c>
      <c r="E169" s="101"/>
      <c r="F169" s="4" t="s">
        <v>339</v>
      </c>
      <c r="G169" s="4">
        <v>3204300</v>
      </c>
      <c r="H169" s="4" t="s">
        <v>570</v>
      </c>
      <c r="I169" s="4" t="s">
        <v>556</v>
      </c>
    </row>
    <row r="170" spans="2:9" x14ac:dyDescent="0.3">
      <c r="B170" s="44">
        <v>46102</v>
      </c>
      <c r="C170" s="3" t="s">
        <v>416</v>
      </c>
      <c r="D170" s="3" t="s">
        <v>67</v>
      </c>
      <c r="E170" s="101"/>
      <c r="F170" s="3" t="s">
        <v>338</v>
      </c>
      <c r="G170" s="4">
        <v>3207307</v>
      </c>
      <c r="H170" s="4" t="s">
        <v>377</v>
      </c>
      <c r="I170" s="4">
        <v>3200106</v>
      </c>
    </row>
    <row r="171" spans="2:9" x14ac:dyDescent="0.3">
      <c r="B171" s="44">
        <v>46102</v>
      </c>
      <c r="C171" s="3" t="s">
        <v>416</v>
      </c>
      <c r="D171" s="3" t="s">
        <v>67</v>
      </c>
      <c r="E171" s="101"/>
      <c r="F171" s="3" t="s">
        <v>344</v>
      </c>
      <c r="G171" s="4">
        <v>3194909</v>
      </c>
      <c r="H171" s="3" t="s">
        <v>336</v>
      </c>
      <c r="I171" s="4">
        <v>3211809</v>
      </c>
    </row>
    <row r="172" spans="2:9" x14ac:dyDescent="0.3">
      <c r="B172" s="4"/>
      <c r="E172" s="101"/>
      <c r="F172" s="4" t="s">
        <v>418</v>
      </c>
      <c r="G172" s="4" t="s">
        <v>418</v>
      </c>
      <c r="H172" s="3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67</v>
      </c>
      <c r="E173" s="101"/>
      <c r="F173" s="4" t="s">
        <v>336</v>
      </c>
      <c r="G173" s="4">
        <v>3211809</v>
      </c>
      <c r="H173" s="3" t="s">
        <v>373</v>
      </c>
      <c r="I173" s="4">
        <v>3207807</v>
      </c>
    </row>
    <row r="174" spans="2:9" x14ac:dyDescent="0.3">
      <c r="B174" s="44">
        <v>46109</v>
      </c>
      <c r="C174" s="3" t="s">
        <v>416</v>
      </c>
      <c r="D174" s="3" t="s">
        <v>67</v>
      </c>
      <c r="E174" s="101"/>
      <c r="F174" s="4" t="s">
        <v>345</v>
      </c>
      <c r="G174" s="4">
        <v>3194003</v>
      </c>
      <c r="H174" s="3" t="s">
        <v>341</v>
      </c>
      <c r="I174" s="4">
        <v>3197708</v>
      </c>
    </row>
    <row r="175" spans="2:9" x14ac:dyDescent="0.3">
      <c r="B175" s="44">
        <v>46109</v>
      </c>
      <c r="C175" s="3" t="s">
        <v>416</v>
      </c>
      <c r="D175" s="3" t="s">
        <v>67</v>
      </c>
      <c r="E175" s="101"/>
      <c r="F175" s="4" t="s">
        <v>435</v>
      </c>
      <c r="G175" s="4">
        <v>3195200</v>
      </c>
      <c r="H175" s="3" t="s">
        <v>344</v>
      </c>
      <c r="I175" s="4">
        <v>3194909</v>
      </c>
    </row>
    <row r="176" spans="2:9" x14ac:dyDescent="0.3">
      <c r="B176" s="44">
        <v>46109</v>
      </c>
      <c r="C176" s="3" t="s">
        <v>416</v>
      </c>
      <c r="D176" s="3" t="s">
        <v>67</v>
      </c>
      <c r="E176" s="101"/>
      <c r="F176" s="4" t="s">
        <v>375</v>
      </c>
      <c r="G176" s="4">
        <v>3069209</v>
      </c>
      <c r="H176" s="3" t="s">
        <v>339</v>
      </c>
      <c r="I176" s="4">
        <v>3204300</v>
      </c>
    </row>
    <row r="177" spans="2:9" x14ac:dyDescent="0.3">
      <c r="B177" s="44">
        <v>46109</v>
      </c>
      <c r="C177" s="3" t="s">
        <v>416</v>
      </c>
      <c r="D177" s="3" t="s">
        <v>67</v>
      </c>
      <c r="E177" s="101"/>
      <c r="F177" s="4" t="s">
        <v>570</v>
      </c>
      <c r="G177" s="4" t="s">
        <v>556</v>
      </c>
      <c r="H177" s="4" t="s">
        <v>338</v>
      </c>
      <c r="I177" s="4">
        <v>3207307</v>
      </c>
    </row>
    <row r="178" spans="2:9" x14ac:dyDescent="0.3">
      <c r="B178" s="44">
        <v>46109</v>
      </c>
      <c r="C178" s="3" t="s">
        <v>416</v>
      </c>
      <c r="D178" s="3" t="s">
        <v>67</v>
      </c>
      <c r="E178" s="101"/>
      <c r="F178" s="4" t="s">
        <v>377</v>
      </c>
      <c r="G178" s="4">
        <v>3200106</v>
      </c>
      <c r="H178" s="3" t="s">
        <v>374</v>
      </c>
      <c r="I178" s="4">
        <v>3207203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2640" priority="321"/>
  </conditionalFormatting>
  <conditionalFormatting sqref="B10 B12 B14:B17 B20:B21">
    <cfRule type="duplicateValues" dxfId="2639" priority="320"/>
  </conditionalFormatting>
  <conditionalFormatting sqref="I33">
    <cfRule type="duplicateValues" dxfId="2638" priority="316"/>
  </conditionalFormatting>
  <conditionalFormatting sqref="I35">
    <cfRule type="duplicateValues" dxfId="2637" priority="216"/>
  </conditionalFormatting>
  <conditionalFormatting sqref="I36">
    <cfRule type="duplicateValues" dxfId="2636" priority="278"/>
  </conditionalFormatting>
  <conditionalFormatting sqref="I37">
    <cfRule type="duplicateValues" dxfId="2635" priority="237"/>
  </conditionalFormatting>
  <conditionalFormatting sqref="I38">
    <cfRule type="duplicateValues" dxfId="2634" priority="257"/>
  </conditionalFormatting>
  <conditionalFormatting sqref="I40">
    <cfRule type="duplicateValues" dxfId="2633" priority="173"/>
  </conditionalFormatting>
  <conditionalFormatting sqref="I41">
    <cfRule type="duplicateValues" dxfId="2632" priority="315"/>
  </conditionalFormatting>
  <conditionalFormatting sqref="I42">
    <cfRule type="duplicateValues" dxfId="2631" priority="130"/>
  </conditionalFormatting>
  <conditionalFormatting sqref="I43">
    <cfRule type="duplicateValues" dxfId="2630" priority="109"/>
  </conditionalFormatting>
  <conditionalFormatting sqref="I44">
    <cfRule type="duplicateValues" dxfId="2629" priority="88"/>
  </conditionalFormatting>
  <conditionalFormatting sqref="I45">
    <cfRule type="duplicateValues" dxfId="2628" priority="151"/>
  </conditionalFormatting>
  <conditionalFormatting sqref="I48">
    <cfRule type="duplicateValues" dxfId="2627" priority="171"/>
  </conditionalFormatting>
  <conditionalFormatting sqref="I49">
    <cfRule type="duplicateValues" dxfId="2626" priority="172"/>
  </conditionalFormatting>
  <conditionalFormatting sqref="I50">
    <cfRule type="duplicateValues" dxfId="2625" priority="235"/>
  </conditionalFormatting>
  <conditionalFormatting sqref="I51">
    <cfRule type="duplicateValues" dxfId="2624" priority="193"/>
  </conditionalFormatting>
  <conditionalFormatting sqref="I52">
    <cfRule type="duplicateValues" dxfId="2623" priority="214"/>
  </conditionalFormatting>
  <conditionalFormatting sqref="I54">
    <cfRule type="duplicateValues" dxfId="2622" priority="149"/>
  </conditionalFormatting>
  <conditionalFormatting sqref="I55">
    <cfRule type="duplicateValues" dxfId="2621" priority="86"/>
  </conditionalFormatting>
  <conditionalFormatting sqref="I56">
    <cfRule type="duplicateValues" dxfId="2620" priority="275"/>
  </conditionalFormatting>
  <conditionalFormatting sqref="I57">
    <cfRule type="duplicateValues" dxfId="2619" priority="313"/>
  </conditionalFormatting>
  <conditionalFormatting sqref="I58">
    <cfRule type="duplicateValues" dxfId="2618" priority="128"/>
  </conditionalFormatting>
  <conditionalFormatting sqref="I59">
    <cfRule type="duplicateValues" dxfId="2617" priority="107"/>
  </conditionalFormatting>
  <conditionalFormatting sqref="I61">
    <cfRule type="duplicateValues" dxfId="2616" priority="212"/>
  </conditionalFormatting>
  <conditionalFormatting sqref="I62">
    <cfRule type="duplicateValues" dxfId="2615" priority="233"/>
  </conditionalFormatting>
  <conditionalFormatting sqref="I63">
    <cfRule type="duplicateValues" dxfId="2614" priority="293"/>
  </conditionalFormatting>
  <conditionalFormatting sqref="I64">
    <cfRule type="duplicateValues" dxfId="2613" priority="191"/>
  </conditionalFormatting>
  <conditionalFormatting sqref="I65">
    <cfRule type="duplicateValues" dxfId="2612" priority="148"/>
  </conditionalFormatting>
  <conditionalFormatting sqref="I66">
    <cfRule type="duplicateValues" dxfId="2611" priority="169"/>
  </conditionalFormatting>
  <conditionalFormatting sqref="I68">
    <cfRule type="duplicateValues" dxfId="2610" priority="84"/>
  </conditionalFormatting>
  <conditionalFormatting sqref="I69">
    <cfRule type="duplicateValues" dxfId="2609" priority="126"/>
  </conditionalFormatting>
  <conditionalFormatting sqref="I70">
    <cfRule type="duplicateValues" dxfId="2608" priority="105"/>
  </conditionalFormatting>
  <conditionalFormatting sqref="I71">
    <cfRule type="duplicateValues" dxfId="2607" priority="252"/>
  </conditionalFormatting>
  <conditionalFormatting sqref="I73">
    <cfRule type="duplicateValues" dxfId="2606" priority="311"/>
  </conditionalFormatting>
  <conditionalFormatting sqref="I75">
    <cfRule type="duplicateValues" dxfId="2605" priority="167"/>
  </conditionalFormatting>
  <conditionalFormatting sqref="I76">
    <cfRule type="duplicateValues" dxfId="2604" priority="189"/>
  </conditionalFormatting>
  <conditionalFormatting sqref="I77">
    <cfRule type="duplicateValues" dxfId="2603" priority="210"/>
  </conditionalFormatting>
  <conditionalFormatting sqref="I78">
    <cfRule type="duplicateValues" dxfId="2602" priority="291"/>
  </conditionalFormatting>
  <conditionalFormatting sqref="I79">
    <cfRule type="duplicateValues" dxfId="2601" priority="146"/>
  </conditionalFormatting>
  <conditionalFormatting sqref="I80">
    <cfRule type="duplicateValues" dxfId="2600" priority="83"/>
  </conditionalFormatting>
  <conditionalFormatting sqref="I82">
    <cfRule type="duplicateValues" dxfId="2599" priority="103"/>
  </conditionalFormatting>
  <conditionalFormatting sqref="I83">
    <cfRule type="duplicateValues" dxfId="2598" priority="271"/>
  </conditionalFormatting>
  <conditionalFormatting sqref="I84">
    <cfRule type="duplicateValues" dxfId="2597" priority="309"/>
  </conditionalFormatting>
  <conditionalFormatting sqref="I86">
    <cfRule type="duplicateValues" dxfId="2596" priority="250"/>
  </conditionalFormatting>
  <conditionalFormatting sqref="I87">
    <cfRule type="duplicateValues" dxfId="2595" priority="124"/>
  </conditionalFormatting>
  <conditionalFormatting sqref="I89">
    <cfRule type="duplicateValues" dxfId="2594" priority="81"/>
  </conditionalFormatting>
  <conditionalFormatting sqref="I90">
    <cfRule type="duplicateValues" dxfId="2593" priority="144"/>
  </conditionalFormatting>
  <conditionalFormatting sqref="I91">
    <cfRule type="duplicateValues" dxfId="2592" priority="165"/>
  </conditionalFormatting>
  <conditionalFormatting sqref="I92">
    <cfRule type="duplicateValues" dxfId="2591" priority="187"/>
  </conditionalFormatting>
  <conditionalFormatting sqref="I93">
    <cfRule type="duplicateValues" dxfId="2590" priority="289"/>
  </conditionalFormatting>
  <conditionalFormatting sqref="I94">
    <cfRule type="duplicateValues" dxfId="2589" priority="102"/>
  </conditionalFormatting>
  <conditionalFormatting sqref="I96">
    <cfRule type="duplicateValues" dxfId="2588" priority="122"/>
  </conditionalFormatting>
  <conditionalFormatting sqref="I97">
    <cfRule type="duplicateValues" dxfId="2587" priority="228"/>
  </conditionalFormatting>
  <conditionalFormatting sqref="I99">
    <cfRule type="duplicateValues" dxfId="2586" priority="207"/>
  </conditionalFormatting>
  <conditionalFormatting sqref="I100">
    <cfRule type="duplicateValues" dxfId="2585" priority="269"/>
  </conditionalFormatting>
  <conditionalFormatting sqref="I101">
    <cfRule type="duplicateValues" dxfId="2584" priority="67"/>
  </conditionalFormatting>
  <conditionalFormatting sqref="I103">
    <cfRule type="duplicateValues" dxfId="2583" priority="185"/>
  </conditionalFormatting>
  <conditionalFormatting sqref="I104">
    <cfRule type="duplicateValues" dxfId="2582" priority="206"/>
  </conditionalFormatting>
  <conditionalFormatting sqref="I105">
    <cfRule type="duplicateValues" dxfId="2581" priority="227"/>
  </conditionalFormatting>
  <conditionalFormatting sqref="I106">
    <cfRule type="duplicateValues" dxfId="2580" priority="306"/>
  </conditionalFormatting>
  <conditionalFormatting sqref="I107">
    <cfRule type="duplicateValues" dxfId="2579" priority="248"/>
  </conditionalFormatting>
  <conditionalFormatting sqref="I110">
    <cfRule type="duplicateValues" dxfId="2578" priority="286"/>
  </conditionalFormatting>
  <conditionalFormatting sqref="I111">
    <cfRule type="duplicateValues" dxfId="2577" priority="120"/>
  </conditionalFormatting>
  <conditionalFormatting sqref="I112">
    <cfRule type="duplicateValues" dxfId="2576" priority="99"/>
  </conditionalFormatting>
  <conditionalFormatting sqref="I113">
    <cfRule type="duplicateValues" dxfId="2575" priority="78"/>
  </conditionalFormatting>
  <conditionalFormatting sqref="I114">
    <cfRule type="duplicateValues" dxfId="2574" priority="141"/>
  </conditionalFormatting>
  <conditionalFormatting sqref="I115">
    <cfRule type="duplicateValues" dxfId="2573" priority="162"/>
  </conditionalFormatting>
  <conditionalFormatting sqref="I117">
    <cfRule type="duplicateValues" dxfId="2572" priority="267"/>
  </conditionalFormatting>
  <conditionalFormatting sqref="I118">
    <cfRule type="duplicateValues" dxfId="2571" priority="66"/>
  </conditionalFormatting>
  <conditionalFormatting sqref="I120">
    <cfRule type="duplicateValues" dxfId="2570" priority="246"/>
  </conditionalFormatting>
  <conditionalFormatting sqref="I121">
    <cfRule type="duplicateValues" dxfId="2569" priority="204"/>
  </conditionalFormatting>
  <conditionalFormatting sqref="I122">
    <cfRule type="duplicateValues" dxfId="2568" priority="225"/>
  </conditionalFormatting>
  <conditionalFormatting sqref="I124">
    <cfRule type="duplicateValues" dxfId="2567" priority="265"/>
  </conditionalFormatting>
  <conditionalFormatting sqref="I125">
    <cfRule type="duplicateValues" dxfId="2566" priority="139"/>
  </conditionalFormatting>
  <conditionalFormatting sqref="I126">
    <cfRule type="duplicateValues" dxfId="2565" priority="304"/>
  </conditionalFormatting>
  <conditionalFormatting sqref="I127">
    <cfRule type="duplicateValues" dxfId="2564" priority="118"/>
  </conditionalFormatting>
  <conditionalFormatting sqref="I128">
    <cfRule type="duplicateValues" dxfId="2563" priority="97"/>
  </conditionalFormatting>
  <conditionalFormatting sqref="I129">
    <cfRule type="duplicateValues" dxfId="2562" priority="76"/>
  </conditionalFormatting>
  <conditionalFormatting sqref="I131">
    <cfRule type="duplicateValues" dxfId="2561" priority="223"/>
  </conditionalFormatting>
  <conditionalFormatting sqref="I132">
    <cfRule type="duplicateValues" dxfId="2560" priority="244"/>
  </conditionalFormatting>
  <conditionalFormatting sqref="I133">
    <cfRule type="duplicateValues" dxfId="2559" priority="65"/>
  </conditionalFormatting>
  <conditionalFormatting sqref="I135">
    <cfRule type="duplicateValues" dxfId="2558" priority="159"/>
  </conditionalFormatting>
  <conditionalFormatting sqref="I136">
    <cfRule type="duplicateValues" dxfId="2557" priority="182"/>
  </conditionalFormatting>
  <conditionalFormatting sqref="I139">
    <cfRule type="duplicateValues" dxfId="2556" priority="95"/>
  </conditionalFormatting>
  <conditionalFormatting sqref="I140">
    <cfRule type="duplicateValues" dxfId="2555" priority="74"/>
  </conditionalFormatting>
  <conditionalFormatting sqref="I141">
    <cfRule type="duplicateValues" dxfId="2554" priority="263"/>
  </conditionalFormatting>
  <conditionalFormatting sqref="I142">
    <cfRule type="duplicateValues" dxfId="2553" priority="302"/>
  </conditionalFormatting>
  <conditionalFormatting sqref="I143">
    <cfRule type="duplicateValues" dxfId="2552" priority="116"/>
  </conditionalFormatting>
  <conditionalFormatting sqref="I145">
    <cfRule type="duplicateValues" dxfId="2551" priority="179"/>
  </conditionalFormatting>
  <conditionalFormatting sqref="I146">
    <cfRule type="duplicateValues" dxfId="2550" priority="200"/>
  </conditionalFormatting>
  <conditionalFormatting sqref="I147">
    <cfRule type="duplicateValues" dxfId="2549" priority="221"/>
  </conditionalFormatting>
  <conditionalFormatting sqref="I148">
    <cfRule type="duplicateValues" dxfId="2548" priority="157"/>
  </conditionalFormatting>
  <conditionalFormatting sqref="I149">
    <cfRule type="duplicateValues" dxfId="2547" priority="282"/>
  </conditionalFormatting>
  <conditionalFormatting sqref="I150">
    <cfRule type="duplicateValues" dxfId="2546" priority="136"/>
  </conditionalFormatting>
  <conditionalFormatting sqref="I152">
    <cfRule type="duplicateValues" dxfId="2545" priority="220"/>
  </conditionalFormatting>
  <conditionalFormatting sqref="I153">
    <cfRule type="duplicateValues" dxfId="2544" priority="300"/>
  </conditionalFormatting>
  <conditionalFormatting sqref="I155">
    <cfRule type="duplicateValues" dxfId="2543" priority="241"/>
  </conditionalFormatting>
  <conditionalFormatting sqref="I156">
    <cfRule type="duplicateValues" dxfId="2542" priority="261"/>
  </conditionalFormatting>
  <conditionalFormatting sqref="I157">
    <cfRule type="duplicateValues" dxfId="2541" priority="93"/>
  </conditionalFormatting>
  <conditionalFormatting sqref="I159">
    <cfRule type="duplicateValues" dxfId="2540" priority="134"/>
  </conditionalFormatting>
  <conditionalFormatting sqref="I160">
    <cfRule type="duplicateValues" dxfId="2539" priority="155"/>
  </conditionalFormatting>
  <conditionalFormatting sqref="I161">
    <cfRule type="duplicateValues" dxfId="2538" priority="177"/>
  </conditionalFormatting>
  <conditionalFormatting sqref="I162">
    <cfRule type="duplicateValues" dxfId="2537" priority="198"/>
  </conditionalFormatting>
  <conditionalFormatting sqref="I163">
    <cfRule type="duplicateValues" dxfId="2536" priority="71"/>
  </conditionalFormatting>
  <conditionalFormatting sqref="I164">
    <cfRule type="duplicateValues" dxfId="2535" priority="280"/>
  </conditionalFormatting>
  <conditionalFormatting sqref="I166">
    <cfRule type="duplicateValues" dxfId="2534" priority="197"/>
  </conditionalFormatting>
  <conditionalFormatting sqref="I167">
    <cfRule type="duplicateValues" dxfId="2533" priority="239"/>
  </conditionalFormatting>
  <conditionalFormatting sqref="I168">
    <cfRule type="duplicateValues" dxfId="2532" priority="259"/>
  </conditionalFormatting>
  <conditionalFormatting sqref="I169">
    <cfRule type="duplicateValues" dxfId="2531" priority="218"/>
  </conditionalFormatting>
  <conditionalFormatting sqref="I171">
    <cfRule type="duplicateValues" dxfId="2530" priority="112"/>
  </conditionalFormatting>
  <conditionalFormatting sqref="I173">
    <cfRule type="duplicateValues" dxfId="2529" priority="90"/>
  </conditionalFormatting>
  <conditionalFormatting sqref="I174">
    <cfRule type="duplicateValues" dxfId="2528" priority="69"/>
  </conditionalFormatting>
  <conditionalFormatting sqref="I175">
    <cfRule type="duplicateValues" dxfId="2527" priority="132"/>
  </conditionalFormatting>
  <conditionalFormatting sqref="I176">
    <cfRule type="duplicateValues" dxfId="2526" priority="153"/>
  </conditionalFormatting>
  <conditionalFormatting sqref="I177">
    <cfRule type="duplicateValues" dxfId="2525" priority="175"/>
  </conditionalFormatting>
  <conditionalFormatting sqref="I178">
    <cfRule type="duplicateValues" dxfId="2524" priority="279"/>
  </conditionalFormatting>
  <conditionalFormatting sqref="I5:I8">
    <cfRule type="duplicateValues" dxfId="2523" priority="323"/>
  </conditionalFormatting>
  <conditionalFormatting sqref="I26:I31">
    <cfRule type="duplicateValues" dxfId="2522" priority="59"/>
  </conditionalFormatting>
  <conditionalFormatting sqref="I34">
    <cfRule type="duplicateValues" dxfId="2521" priority="56"/>
  </conditionalFormatting>
  <conditionalFormatting sqref="I47">
    <cfRule type="duplicateValues" dxfId="2520" priority="52"/>
  </conditionalFormatting>
  <conditionalFormatting sqref="I72">
    <cfRule type="duplicateValues" dxfId="2519" priority="44"/>
  </conditionalFormatting>
  <conditionalFormatting sqref="I85">
    <cfRule type="duplicateValues" dxfId="2518" priority="38"/>
  </conditionalFormatting>
  <conditionalFormatting sqref="I98">
    <cfRule type="duplicateValues" dxfId="2517" priority="40"/>
  </conditionalFormatting>
  <conditionalFormatting sqref="I108">
    <cfRule type="duplicateValues" dxfId="2516" priority="34"/>
  </conditionalFormatting>
  <conditionalFormatting sqref="I119">
    <cfRule type="duplicateValues" dxfId="2515" priority="30"/>
  </conditionalFormatting>
  <conditionalFormatting sqref="I134">
    <cfRule type="duplicateValues" dxfId="2514" priority="26"/>
  </conditionalFormatting>
  <conditionalFormatting sqref="I138">
    <cfRule type="duplicateValues" dxfId="2513" priority="24"/>
  </conditionalFormatting>
  <conditionalFormatting sqref="I154">
    <cfRule type="duplicateValues" dxfId="2512" priority="20"/>
  </conditionalFormatting>
  <conditionalFormatting sqref="I170">
    <cfRule type="duplicateValues" dxfId="2511" priority="14"/>
  </conditionalFormatting>
  <conditionalFormatting sqref="K3:K4 K7:K8">
    <cfRule type="duplicateValues" dxfId="2510" priority="322"/>
  </conditionalFormatting>
  <conditionalFormatting sqref="K5">
    <cfRule type="duplicateValues" dxfId="2509" priority="319"/>
  </conditionalFormatting>
  <conditionalFormatting sqref="K26">
    <cfRule type="duplicateValues" dxfId="2508" priority="13"/>
  </conditionalFormatting>
  <conditionalFormatting sqref="K27">
    <cfRule type="duplicateValues" dxfId="2507" priority="11"/>
  </conditionalFormatting>
  <conditionalFormatting sqref="L26">
    <cfRule type="duplicateValues" dxfId="2506" priority="12"/>
  </conditionalFormatting>
  <conditionalFormatting sqref="L27">
    <cfRule type="duplicateValues" dxfId="2505" priority="10"/>
  </conditionalFormatting>
  <conditionalFormatting sqref="I10:L21">
    <cfRule type="cellIs" dxfId="2504" priority="5" operator="lessThan">
      <formula>5</formula>
    </cfRule>
    <cfRule type="cellIs" dxfId="2503" priority="6" operator="greaterThan">
      <formula>6</formula>
    </cfRule>
  </conditionalFormatting>
  <conditionalFormatting sqref="J10:J21">
    <cfRule type="containsText" dxfId="2502" priority="9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2501" priority="8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2500" priority="7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2499" priority="4" operator="containsText" text="c'[Fixtures All.xlsx]Women Filtered'!$F$2">
      <formula>NOT(ISERROR(SEARCH("c'[Fixtures All.xlsx]Women Filtered'!$F$2",J10)))</formula>
    </cfRule>
  </conditionalFormatting>
  <conditionalFormatting sqref="F1:I1048576">
    <cfRule type="containsText" dxfId="2498" priority="1" operator="containsText" text="cODE">
      <formula>NOT(ISERROR(SEARCH("cODE",F1)))</formula>
    </cfRule>
  </conditionalFormatting>
  <hyperlinks>
    <hyperlink ref="K3" location="Contents!A1" display="Back to Contents" xr:uid="{EF319875-56CF-4C5A-8406-304C38C3EDA6}"/>
    <hyperlink ref="K5:K6" location="'All Fixtures'!A1" display="See all NW Fixtures" xr:uid="{DD1E17BB-BDA2-42A9-BD28-97802CB5EA3B}"/>
  </hyperlinks>
  <pageMargins left="0.7" right="0.7" top="0.75" bottom="0.75" header="0.3" footer="0.3"/>
  <ignoredErrors>
    <ignoredError sqref="J10:J21" formula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234B1-75A3-4936-BEBD-E032DED7C12B}">
  <dimension ref="A2:AQ178"/>
  <sheetViews>
    <sheetView workbookViewId="0"/>
  </sheetViews>
  <sheetFormatPr defaultRowHeight="14.4" x14ac:dyDescent="0.3"/>
  <cols>
    <col min="1" max="1" width="4" style="47" customWidth="1"/>
    <col min="2" max="2" width="31.109375" style="3" customWidth="1"/>
    <col min="3" max="3" width="26.21875" style="3" customWidth="1"/>
    <col min="4" max="4" width="41.6640625" style="3" customWidth="1"/>
    <col min="5" max="5" width="14.44140625" style="3" customWidth="1"/>
    <col min="6" max="6" width="31.109375" style="3" customWidth="1"/>
    <col min="7" max="7" width="9" style="4" customWidth="1"/>
    <col min="8" max="8" width="30.88671875" style="3" customWidth="1"/>
    <col min="9" max="9" width="8.6640625" style="4" customWidth="1"/>
    <col min="10" max="10" width="8.88671875" style="3"/>
    <col min="11" max="11" width="17.6640625" style="51" customWidth="1"/>
    <col min="12" max="12" width="3.21875" style="3" customWidth="1"/>
    <col min="13" max="13" width="18.88671875" style="3" customWidth="1"/>
    <col min="14" max="43" width="8.88671875" style="3"/>
  </cols>
  <sheetData>
    <row r="2" spans="1:43" ht="15" thickBot="1" x14ac:dyDescent="0.35"/>
    <row r="3" spans="1:43" ht="37.200000000000003" thickBot="1" x14ac:dyDescent="0.75">
      <c r="E3" s="16" t="s">
        <v>61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43" s="76" customFormat="1" ht="15" customHeight="1" x14ac:dyDescent="0.3">
      <c r="A10" s="47">
        <f>COUNTIF(F$26:H$178,"Brookfield 1 (W)")</f>
        <v>22</v>
      </c>
      <c r="B10" s="15" t="s">
        <v>301</v>
      </c>
      <c r="C10" s="74">
        <v>3210300</v>
      </c>
      <c r="D10" s="57">
        <f>COUNTIF(F$26:I$178,"3210300")</f>
        <v>22</v>
      </c>
      <c r="E10" s="59"/>
      <c r="F10" s="57">
        <f>COUNTIF(F$26:F$178,"Brookfield 1 (W)")</f>
        <v>11</v>
      </c>
      <c r="G10" s="57"/>
      <c r="H10" s="57">
        <f>COUNTIF(H$26:H$178,"Brookfield 1 (W)")</f>
        <v>11</v>
      </c>
      <c r="I10" s="57">
        <f>COUNTIF(F$26:F$101,"Brookfield 1 (W)")</f>
        <v>6</v>
      </c>
      <c r="J10" s="57">
        <f>COUNTIF(F$102:F$178,"Brookfield 1 (W)")</f>
        <v>5</v>
      </c>
      <c r="K10" s="57">
        <f>COUNTIF(H$26:H$101,"Brookfield 1 (W)")</f>
        <v>5</v>
      </c>
      <c r="L10" s="57">
        <f>COUNTIF(H$102:H$178,"Brookfield 1 (W)")</f>
        <v>6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s="76" customFormat="1" ht="15" customHeight="1" x14ac:dyDescent="0.3">
      <c r="A11" s="47">
        <f>COUNTIF(F$26:H$178,"Chorley Phoenix 2 (W)")</f>
        <v>22</v>
      </c>
      <c r="B11" s="105" t="s">
        <v>367</v>
      </c>
      <c r="C11" s="53">
        <v>3208806</v>
      </c>
      <c r="D11" s="57">
        <f>COUNTIF(F$26:I$178,"3208806")</f>
        <v>22</v>
      </c>
      <c r="E11" s="59"/>
      <c r="F11" s="57">
        <f>COUNTIF(F$26:F$178,"Chorley Phoenix 2 (W)")</f>
        <v>11</v>
      </c>
      <c r="G11" s="57"/>
      <c r="H11" s="57">
        <f>COUNTIF(H$26:H$178,"Chorley Phoenix 2 (W)")</f>
        <v>11</v>
      </c>
      <c r="I11" s="57">
        <f>COUNTIF(F$26:F$101,"Chorley Phoenix 2 (W)")</f>
        <v>5</v>
      </c>
      <c r="J11" s="57">
        <f>COUNTIF(F$102:F$178,"Chorley Phoenix 2 (W)")</f>
        <v>6</v>
      </c>
      <c r="K11" s="57">
        <f>COUNTIF(H$26:H$101,"Chorley Phoenix 2 (W)")</f>
        <v>6</v>
      </c>
      <c r="L11" s="57">
        <f>COUNTIF(H$102:H$178,"Chorley Phoenix 2 (W)")</f>
        <v>5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s="76" customFormat="1" ht="15" customHeight="1" x14ac:dyDescent="0.3">
      <c r="A12" s="47">
        <f>COUNTIF(F$26:H$178,"Clitheroe Blackburn Northern 2 (W)")</f>
        <v>22</v>
      </c>
      <c r="B12" s="15" t="s">
        <v>302</v>
      </c>
      <c r="C12" s="74">
        <v>3208400</v>
      </c>
      <c r="D12" s="57">
        <f>COUNTIF(F$26:I$178,"3208400")</f>
        <v>22</v>
      </c>
      <c r="E12" s="59"/>
      <c r="F12" s="57">
        <f>COUNTIF(F$26:F$178,"Clitheroe Blackburn Northern 2 (W)")</f>
        <v>11</v>
      </c>
      <c r="G12" s="57"/>
      <c r="H12" s="57">
        <f>COUNTIF(H$26:H$178,"Clitheroe Blackburn Northern 2 (W)")</f>
        <v>11</v>
      </c>
      <c r="I12" s="57">
        <f>COUNTIF(F$26:F$101,"Clitheroe Blackburn Northern 2 (W)")</f>
        <v>5</v>
      </c>
      <c r="J12" s="57">
        <f>COUNTIF(F$102:F$178,"Clitheroe Blackburn Northern 2 (W)")</f>
        <v>6</v>
      </c>
      <c r="K12" s="57">
        <f>COUNTIF(H$26:H$101,"Clitheroe Blackburn Northern 2 (W)")</f>
        <v>6</v>
      </c>
      <c r="L12" s="57">
        <f>COUNTIF(H$102:H$178,"Clitheroe Blackburn Northern 2 (W)")</f>
        <v>5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s="76" customFormat="1" ht="15" customHeight="1" x14ac:dyDescent="0.3">
      <c r="A13" s="47">
        <f>COUNTIF(F$26:H$178,"Fylde 4 (W)")</f>
        <v>22</v>
      </c>
      <c r="B13" s="4" t="s">
        <v>330</v>
      </c>
      <c r="C13" s="74">
        <v>3205309</v>
      </c>
      <c r="D13" s="57">
        <f>COUNTIF(F$26:I$178,"3205309")</f>
        <v>22</v>
      </c>
      <c r="E13" s="59"/>
      <c r="F13" s="57">
        <f>COUNTIF(F$26:F$178,"Fylde 4 (W)")</f>
        <v>11</v>
      </c>
      <c r="G13" s="57"/>
      <c r="H13" s="57">
        <f>COUNTIF(H$26:H$178,"Fylde 4 (W)")</f>
        <v>11</v>
      </c>
      <c r="I13" s="57">
        <f>COUNTIF(F$26:F$101,"Fylde 4 (W)")</f>
        <v>6</v>
      </c>
      <c r="J13" s="57">
        <f>COUNTIF(F$102:F$178,"Fylde 4 (W)")</f>
        <v>5</v>
      </c>
      <c r="K13" s="57">
        <f>COUNTIF(H$26:H$101,"Fylde 4 (W)")</f>
        <v>5</v>
      </c>
      <c r="L13" s="57">
        <f>COUNTIF(H$102:H$178,"Fylde 4 (W)")</f>
        <v>6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s="76" customFormat="1" ht="15" customHeight="1" x14ac:dyDescent="0.3">
      <c r="A14" s="47">
        <f>COUNTIF(F$26:H$178,"Garstang 3 (W)")</f>
        <v>22</v>
      </c>
      <c r="B14" s="15" t="s">
        <v>304</v>
      </c>
      <c r="C14" s="74">
        <v>3204404</v>
      </c>
      <c r="D14" s="57">
        <f>COUNTIF(F$26:I$178,"3204404")</f>
        <v>22</v>
      </c>
      <c r="E14" s="59"/>
      <c r="F14" s="57">
        <f>COUNTIF(F$26:F$178,"Garstang 3 (W)")</f>
        <v>11</v>
      </c>
      <c r="G14" s="57"/>
      <c r="H14" s="57">
        <f>COUNTIF(H$26:H$178,"Garstang 3 (W)")</f>
        <v>11</v>
      </c>
      <c r="I14" s="57">
        <f>COUNTIF(F$26:F$101,"Garstang 3 (W)")</f>
        <v>5</v>
      </c>
      <c r="J14" s="57">
        <f>COUNTIF(F$102:F$178,"Garstang 3 (W)")</f>
        <v>6</v>
      </c>
      <c r="K14" s="57">
        <f>COUNTIF(H$26:H$101,"Garstang 3 (W)")</f>
        <v>6</v>
      </c>
      <c r="L14" s="57">
        <f>COUNTIF(H$102:H$178,"Garstang 3 (W)")</f>
        <v>5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s="76" customFormat="1" ht="15" customHeight="1" x14ac:dyDescent="0.3">
      <c r="A15" s="47">
        <f>COUNTIF(F$26:H$178,"Lancaster &amp; District 3 (W)")</f>
        <v>22</v>
      </c>
      <c r="B15" s="105" t="s">
        <v>596</v>
      </c>
      <c r="C15" s="97" t="s">
        <v>556</v>
      </c>
      <c r="D15" s="57">
        <f>COUNTIF(F$26:I$178,"Code")</f>
        <v>22</v>
      </c>
      <c r="E15" s="59"/>
      <c r="F15" s="57">
        <f>COUNTIF(F$26:F$178,"Lancaster &amp; District 3 (W)")</f>
        <v>11</v>
      </c>
      <c r="G15" s="57"/>
      <c r="H15" s="57">
        <f>COUNTIF(H$26:H$178,"Lancaster &amp; District 3 (W)")</f>
        <v>11</v>
      </c>
      <c r="I15" s="57">
        <f>COUNTIF(F$26:F$101,"Lancaster &amp; District 3 (W)")</f>
        <v>5</v>
      </c>
      <c r="J15" s="57">
        <f>COUNTIF(F$102:F$178,"Lancaster &amp; District 3 (W)")</f>
        <v>6</v>
      </c>
      <c r="K15" s="57">
        <f>COUNTIF(H$26:H$101,"Lancaster &amp; District 3 (W)")</f>
        <v>6</v>
      </c>
      <c r="L15" s="57">
        <f>COUNTIF(H$102:H$178,"Lancaster &amp; District 3 (W)")</f>
        <v>5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s="76" customFormat="1" x14ac:dyDescent="0.3">
      <c r="A16" s="47">
        <f>COUNTIF(F$26:H$178,"Leyland &amp; Chorley 1 (W)")</f>
        <v>22</v>
      </c>
      <c r="B16" s="15" t="s">
        <v>306</v>
      </c>
      <c r="C16" s="74">
        <v>3202604</v>
      </c>
      <c r="D16" s="57">
        <f>COUNTIF(F$26:I$178,"3202604")</f>
        <v>22</v>
      </c>
      <c r="E16" s="59"/>
      <c r="F16" s="57">
        <f>COUNTIF(F$26:F$178,"Leyland &amp; Chorley 1 (W)")</f>
        <v>11</v>
      </c>
      <c r="G16" s="57"/>
      <c r="H16" s="57">
        <f>COUNTIF(H$26:H$178,"Leyland &amp; Chorley 1 (W)")</f>
        <v>11</v>
      </c>
      <c r="I16" s="57">
        <f>COUNTIF(F$26:F$101,"Leyland &amp; Chorley 1 (W)")</f>
        <v>5</v>
      </c>
      <c r="J16" s="57">
        <f>COUNTIF(F$102:F$178,"Leyland &amp; Chorley 1 (W)")</f>
        <v>6</v>
      </c>
      <c r="K16" s="57">
        <f>COUNTIF(H$26:H$101,"Leyland &amp; Chorley 1 (W)")</f>
        <v>6</v>
      </c>
      <c r="L16" s="57">
        <f>COUNTIF(H$102:H$178,"Leyland &amp; Chorley 1 (W)")</f>
        <v>5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s="76" customFormat="1" x14ac:dyDescent="0.3">
      <c r="A17" s="47">
        <f>COUNTIF(F$26:H$178,"Longridge 2 (W)")</f>
        <v>22</v>
      </c>
      <c r="B17" s="15" t="s">
        <v>307</v>
      </c>
      <c r="C17" s="74">
        <v>3201907</v>
      </c>
      <c r="D17" s="57">
        <f>COUNTIF(F$26:I$178,"3201907")</f>
        <v>22</v>
      </c>
      <c r="E17" s="59"/>
      <c r="F17" s="57">
        <f>COUNTIF(F$26:F$178,"Longridge 2 (W)")</f>
        <v>11</v>
      </c>
      <c r="G17" s="57"/>
      <c r="H17" s="57">
        <f>COUNTIF(H$26:H$178,"Longridge 2 (W)")</f>
        <v>11</v>
      </c>
      <c r="I17" s="57">
        <f>COUNTIF(F$26:F$101,"Longridge 2 (W)")</f>
        <v>6</v>
      </c>
      <c r="J17" s="57">
        <f>COUNTIF(F$102:F$178,"Longridge 2 (W)")</f>
        <v>5</v>
      </c>
      <c r="K17" s="57">
        <f>COUNTIF(H$26:H$101,"Longridge 2 (W)")</f>
        <v>5</v>
      </c>
      <c r="L17" s="57">
        <f>COUNTIF(H$102:H$178,"Longridge 2 (W)")</f>
        <v>6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s="76" customFormat="1" x14ac:dyDescent="0.3">
      <c r="A18" s="47">
        <f>COUNTIF(F$26:H$178,"Pendle Forest 2 (W)")</f>
        <v>22</v>
      </c>
      <c r="B18" s="15" t="s">
        <v>308</v>
      </c>
      <c r="C18" s="15">
        <v>3199300</v>
      </c>
      <c r="D18" s="57">
        <f>COUNTIF(F$26:I$178,"3199300")</f>
        <v>22</v>
      </c>
      <c r="E18" s="59"/>
      <c r="F18" s="57">
        <f>COUNTIF(F$26:F$178,"Pendle Forest 2 (W)")</f>
        <v>11</v>
      </c>
      <c r="G18" s="57"/>
      <c r="H18" s="57">
        <f>COUNTIF(H$26:H$178,"Pendle Forest 2 (W)")</f>
        <v>11</v>
      </c>
      <c r="I18" s="57">
        <f>COUNTIF(F$26:F$101,"Pendle Forest 2 (W)")</f>
        <v>6</v>
      </c>
      <c r="J18" s="57">
        <f>COUNTIF(F$102:F$178,"Pendle Forest 2 (W)")</f>
        <v>5</v>
      </c>
      <c r="K18" s="57">
        <f>COUNTIF(H$26:H$101,"Pendle Forest 2 (W)")</f>
        <v>5</v>
      </c>
      <c r="L18" s="57">
        <f>COUNTIF(H$102:H$178,"Pendle Forest 2 (W)")</f>
        <v>6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s="76" customFormat="1" x14ac:dyDescent="0.3">
      <c r="A19" s="47">
        <f>COUNTIF(F$26:H$178,"Pendle Forest 3 (W)")</f>
        <v>22</v>
      </c>
      <c r="B19" s="105" t="s">
        <v>332</v>
      </c>
      <c r="C19" s="53">
        <v>3199206</v>
      </c>
      <c r="D19" s="57">
        <f>COUNTIF(F$26:I$178,"3199206")</f>
        <v>22</v>
      </c>
      <c r="E19" s="59"/>
      <c r="F19" s="57">
        <f>COUNTIF(F$26:F$178,"Pendle Forest 3 (W)")</f>
        <v>11</v>
      </c>
      <c r="G19" s="57"/>
      <c r="H19" s="57">
        <f>COUNTIF(H$26:H$178,"Pendle Forest 3 (W)")</f>
        <v>11</v>
      </c>
      <c r="I19" s="57">
        <f>COUNTIF(F$26:F$101,"Pendle Forest 3 (W)")</f>
        <v>6</v>
      </c>
      <c r="J19" s="57">
        <f>COUNTIF(F$102:F$178,"Pendle Forest 3 (W)")</f>
        <v>5</v>
      </c>
      <c r="K19" s="57">
        <f>COUNTIF(H$26:H$101,"Pendle Forest 3 (W)")</f>
        <v>5</v>
      </c>
      <c r="L19" s="57">
        <f>COUNTIF(H$102:H$178,"Pendle Forest 3 (W)")</f>
        <v>6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s="76" customFormat="1" x14ac:dyDescent="0.3">
      <c r="A20" s="47">
        <f>COUNTIF(F$26:H$178,"Preston 2 (W)")</f>
        <v>22</v>
      </c>
      <c r="B20" s="15" t="s">
        <v>309</v>
      </c>
      <c r="C20" s="74">
        <v>3082104</v>
      </c>
      <c r="D20" s="57">
        <f>COUNTIF(F$26:I$178,"3082104")</f>
        <v>22</v>
      </c>
      <c r="E20" s="59"/>
      <c r="F20" s="57">
        <f>COUNTIF(F$26:F$178,"Preston 2 (W)")</f>
        <v>11</v>
      </c>
      <c r="G20" s="57"/>
      <c r="H20" s="57">
        <f>COUNTIF(H$26:H$178,"Preston 2 (W)")</f>
        <v>11</v>
      </c>
      <c r="I20" s="57">
        <f>COUNTIF(F$26:F$101,"Preston 2 (W)")</f>
        <v>5</v>
      </c>
      <c r="J20" s="57">
        <f>COUNTIF(F$102:F$178,"Preston 2 (W)")</f>
        <v>6</v>
      </c>
      <c r="K20" s="57">
        <f>COUNTIF(H$26:H$101,"Preston 2 (W)")</f>
        <v>6</v>
      </c>
      <c r="L20" s="57">
        <f>COUNTIF(H$102:H$178,"Preston 2 (W)")</f>
        <v>5</v>
      </c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s="76" customFormat="1" x14ac:dyDescent="0.3">
      <c r="A21" s="47">
        <f>COUNTIF(F$26:H$178,"Windermere 1 (W)")</f>
        <v>22</v>
      </c>
      <c r="B21" s="4" t="s">
        <v>335</v>
      </c>
      <c r="C21" s="74">
        <v>3194201</v>
      </c>
      <c r="D21" s="57">
        <f>COUNTIF(F$26:I$178,"3194201")</f>
        <v>22</v>
      </c>
      <c r="E21" s="59"/>
      <c r="F21" s="57">
        <f>COUNTIF(F$26:F$178,"Windermere 1 (W)")</f>
        <v>11</v>
      </c>
      <c r="G21" s="57"/>
      <c r="H21" s="57">
        <f>COUNTIF(H$26:H$178,"Windermere 1 (W)")</f>
        <v>11</v>
      </c>
      <c r="I21" s="57">
        <f>COUNTIF(F$26:F$101,"Windermere 1 (W)")</f>
        <v>6</v>
      </c>
      <c r="J21" s="57">
        <f>COUNTIF(F$102:F$178,"Windermere 1 (W)")</f>
        <v>5</v>
      </c>
      <c r="K21" s="57">
        <f>COUNTIF(H$26:H$101,"Windermere 1 (W)")</f>
        <v>5</v>
      </c>
      <c r="L21" s="57">
        <f>COUNTIF(H$102:H$178,"Windermere 1 (W)")</f>
        <v>6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3" spans="1:43" s="3" customFormat="1" ht="21" x14ac:dyDescent="0.4">
      <c r="A23" s="47"/>
      <c r="B23" s="22" t="s">
        <v>93</v>
      </c>
      <c r="G23" s="4"/>
      <c r="I23" s="4"/>
      <c r="K23" s="51"/>
    </row>
    <row r="24" spans="1:43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  <c r="K24" s="51"/>
    </row>
    <row r="25" spans="1:43" s="3" customFormat="1" x14ac:dyDescent="0.3">
      <c r="A25" s="47"/>
      <c r="B25" s="40"/>
      <c r="C25" s="14"/>
      <c r="D25" s="14"/>
      <c r="E25" s="14"/>
      <c r="F25" s="14"/>
      <c r="G25" s="14"/>
      <c r="H25" s="13"/>
      <c r="I25" s="14"/>
      <c r="K25" s="51"/>
    </row>
    <row r="26" spans="1:43" x14ac:dyDescent="0.3">
      <c r="B26" s="44">
        <v>45913</v>
      </c>
      <c r="C26" s="3" t="s">
        <v>416</v>
      </c>
      <c r="D26" s="3" t="s">
        <v>61</v>
      </c>
      <c r="E26" s="101"/>
      <c r="F26" s="4" t="s">
        <v>309</v>
      </c>
      <c r="G26" s="4">
        <v>3082104</v>
      </c>
      <c r="H26" s="3" t="s">
        <v>596</v>
      </c>
      <c r="I26" s="4" t="s">
        <v>556</v>
      </c>
      <c r="K26" s="73"/>
      <c r="L26" s="15"/>
      <c r="M26" s="73"/>
      <c r="N26" s="15"/>
    </row>
    <row r="27" spans="1:43" x14ac:dyDescent="0.3">
      <c r="B27" s="44">
        <v>45913</v>
      </c>
      <c r="C27" s="3" t="s">
        <v>416</v>
      </c>
      <c r="D27" s="3" t="s">
        <v>61</v>
      </c>
      <c r="E27" s="101"/>
      <c r="F27" s="4" t="s">
        <v>301</v>
      </c>
      <c r="G27" s="4">
        <v>3210300</v>
      </c>
      <c r="H27" s="106" t="s">
        <v>367</v>
      </c>
      <c r="I27" s="106">
        <v>3208806</v>
      </c>
      <c r="K27" s="32"/>
      <c r="L27" s="15"/>
      <c r="M27" s="73"/>
      <c r="N27" s="15"/>
    </row>
    <row r="28" spans="1:43" x14ac:dyDescent="0.3">
      <c r="B28" s="44">
        <v>45913</v>
      </c>
      <c r="C28" s="3" t="s">
        <v>416</v>
      </c>
      <c r="D28" s="3" t="s">
        <v>61</v>
      </c>
      <c r="E28" s="101"/>
      <c r="F28" s="4" t="s">
        <v>332</v>
      </c>
      <c r="G28" s="4">
        <v>3199206</v>
      </c>
      <c r="H28" s="3" t="s">
        <v>304</v>
      </c>
      <c r="I28" s="4">
        <v>3204404</v>
      </c>
      <c r="J28" s="4"/>
      <c r="K28" s="74"/>
      <c r="L28" s="15"/>
      <c r="M28" s="73"/>
      <c r="N28" s="15"/>
    </row>
    <row r="29" spans="1:43" x14ac:dyDescent="0.3">
      <c r="B29" s="44">
        <v>45913</v>
      </c>
      <c r="C29" s="3" t="s">
        <v>416</v>
      </c>
      <c r="D29" s="3" t="s">
        <v>61</v>
      </c>
      <c r="E29" s="101"/>
      <c r="F29" s="4" t="s">
        <v>308</v>
      </c>
      <c r="G29" s="4">
        <v>3199300</v>
      </c>
      <c r="H29" s="73" t="s">
        <v>302</v>
      </c>
      <c r="I29" s="4">
        <v>3208400</v>
      </c>
      <c r="J29" s="15"/>
      <c r="K29" s="74"/>
      <c r="L29" s="74"/>
      <c r="M29" s="73"/>
      <c r="N29" s="15"/>
    </row>
    <row r="30" spans="1:43" x14ac:dyDescent="0.3">
      <c r="B30" s="44">
        <v>45913</v>
      </c>
      <c r="C30" s="3" t="s">
        <v>416</v>
      </c>
      <c r="D30" s="3" t="s">
        <v>61</v>
      </c>
      <c r="E30" s="101"/>
      <c r="F30" s="4" t="s">
        <v>335</v>
      </c>
      <c r="G30" s="4">
        <v>3194201</v>
      </c>
      <c r="H30" s="3" t="s">
        <v>306</v>
      </c>
      <c r="I30" s="4">
        <v>3202604</v>
      </c>
      <c r="K30" s="73"/>
      <c r="L30" s="15"/>
      <c r="M30" s="32"/>
      <c r="N30" s="15"/>
    </row>
    <row r="31" spans="1:43" x14ac:dyDescent="0.3">
      <c r="B31" s="44">
        <v>45913</v>
      </c>
      <c r="C31" s="3" t="s">
        <v>416</v>
      </c>
      <c r="D31" s="3" t="s">
        <v>61</v>
      </c>
      <c r="E31" s="101"/>
      <c r="F31" s="4" t="s">
        <v>330</v>
      </c>
      <c r="G31" s="4">
        <v>3205309</v>
      </c>
      <c r="H31" s="3" t="s">
        <v>307</v>
      </c>
      <c r="I31" s="4">
        <v>3201907</v>
      </c>
      <c r="K31" s="73"/>
      <c r="L31" s="74"/>
      <c r="M31" s="73"/>
      <c r="N31" s="15"/>
    </row>
    <row r="32" spans="1:43" x14ac:dyDescent="0.3">
      <c r="B32" s="4"/>
      <c r="E32" s="101"/>
      <c r="F32" s="4"/>
      <c r="G32" s="3"/>
      <c r="I32" s="3"/>
      <c r="K32" s="4"/>
      <c r="L32" s="4"/>
      <c r="M32" s="4"/>
      <c r="N32" s="4"/>
    </row>
    <row r="33" spans="2:14" x14ac:dyDescent="0.3">
      <c r="B33" s="44">
        <v>45920</v>
      </c>
      <c r="C33" s="3" t="s">
        <v>416</v>
      </c>
      <c r="D33" s="3" t="s">
        <v>61</v>
      </c>
      <c r="E33" s="101"/>
      <c r="F33" s="3" t="s">
        <v>307</v>
      </c>
      <c r="G33" s="4">
        <v>3201907</v>
      </c>
      <c r="H33" s="3" t="s">
        <v>309</v>
      </c>
      <c r="I33" s="4">
        <v>3082104</v>
      </c>
      <c r="K33" s="73"/>
      <c r="L33" s="15"/>
      <c r="M33" s="73"/>
      <c r="N33" s="15"/>
    </row>
    <row r="34" spans="2:14" x14ac:dyDescent="0.3">
      <c r="B34" s="44">
        <v>45920</v>
      </c>
      <c r="C34" s="3" t="s">
        <v>416</v>
      </c>
      <c r="D34" s="3" t="s">
        <v>61</v>
      </c>
      <c r="E34" s="101"/>
      <c r="F34" s="3" t="s">
        <v>306</v>
      </c>
      <c r="G34" s="4">
        <v>3202604</v>
      </c>
      <c r="H34" s="4" t="s">
        <v>330</v>
      </c>
      <c r="I34" s="4">
        <v>3205309</v>
      </c>
      <c r="K34" s="73"/>
      <c r="L34" s="15"/>
      <c r="M34" s="73"/>
      <c r="N34" s="15"/>
    </row>
    <row r="35" spans="2:14" x14ac:dyDescent="0.3">
      <c r="B35" s="44">
        <v>45920</v>
      </c>
      <c r="C35" s="3" t="s">
        <v>416</v>
      </c>
      <c r="D35" s="3" t="s">
        <v>61</v>
      </c>
      <c r="E35" s="101"/>
      <c r="F35" s="73" t="s">
        <v>302</v>
      </c>
      <c r="G35" s="4">
        <v>3208400</v>
      </c>
      <c r="H35" s="4" t="s">
        <v>335</v>
      </c>
      <c r="I35" s="4">
        <v>3194201</v>
      </c>
      <c r="K35" s="73"/>
      <c r="L35" s="15"/>
      <c r="M35" s="32"/>
      <c r="N35" s="15"/>
    </row>
    <row r="36" spans="2:14" x14ac:dyDescent="0.3">
      <c r="B36" s="44">
        <v>45920</v>
      </c>
      <c r="C36" s="3" t="s">
        <v>416</v>
      </c>
      <c r="D36" s="3" t="s">
        <v>61</v>
      </c>
      <c r="E36" s="101"/>
      <c r="F36" s="3" t="s">
        <v>596</v>
      </c>
      <c r="G36" s="4" t="s">
        <v>556</v>
      </c>
      <c r="H36" s="4" t="s">
        <v>301</v>
      </c>
      <c r="I36" s="4">
        <v>3210300</v>
      </c>
      <c r="K36" s="3"/>
      <c r="L36" s="74"/>
      <c r="M36" s="32"/>
      <c r="N36" s="15"/>
    </row>
    <row r="37" spans="2:14" x14ac:dyDescent="0.3">
      <c r="B37" s="44">
        <v>45920</v>
      </c>
      <c r="C37" s="3" t="s">
        <v>416</v>
      </c>
      <c r="D37" s="3" t="s">
        <v>61</v>
      </c>
      <c r="E37" s="101"/>
      <c r="F37" s="3" t="s">
        <v>304</v>
      </c>
      <c r="G37" s="4">
        <v>3204404</v>
      </c>
      <c r="H37" s="4" t="s">
        <v>308</v>
      </c>
      <c r="I37" s="4">
        <v>3199300</v>
      </c>
      <c r="K37" s="73"/>
      <c r="L37" s="15"/>
      <c r="M37" s="73"/>
      <c r="N37" s="15"/>
    </row>
    <row r="38" spans="2:14" x14ac:dyDescent="0.3">
      <c r="B38" s="44">
        <v>45920</v>
      </c>
      <c r="C38" s="3" t="s">
        <v>416</v>
      </c>
      <c r="D38" s="3" t="s">
        <v>61</v>
      </c>
      <c r="E38" s="101"/>
      <c r="F38" s="106" t="s">
        <v>367</v>
      </c>
      <c r="G38" s="106">
        <v>3208806</v>
      </c>
      <c r="H38" s="4" t="s">
        <v>332</v>
      </c>
      <c r="I38" s="4">
        <v>3199206</v>
      </c>
      <c r="K38" s="4"/>
      <c r="L38" s="15"/>
      <c r="M38" s="73"/>
      <c r="N38" s="74"/>
    </row>
    <row r="39" spans="2:14" x14ac:dyDescent="0.3">
      <c r="B39" s="4"/>
      <c r="E39" s="101"/>
      <c r="F39" s="4"/>
      <c r="G39" s="3"/>
      <c r="I39" s="3"/>
      <c r="K39" s="4"/>
      <c r="L39" s="4"/>
      <c r="M39" s="4"/>
      <c r="N39" s="4"/>
    </row>
    <row r="40" spans="2:14" x14ac:dyDescent="0.3">
      <c r="B40" s="44">
        <v>45927</v>
      </c>
      <c r="C40" s="3" t="s">
        <v>416</v>
      </c>
      <c r="D40" s="3" t="s">
        <v>61</v>
      </c>
      <c r="E40" s="101"/>
      <c r="F40" s="3" t="s">
        <v>307</v>
      </c>
      <c r="G40" s="4">
        <v>3201907</v>
      </c>
      <c r="H40" s="3" t="s">
        <v>306</v>
      </c>
      <c r="I40" s="4">
        <v>3202604</v>
      </c>
      <c r="K40" s="73"/>
      <c r="L40" s="15"/>
      <c r="M40" s="73"/>
      <c r="N40" s="15"/>
    </row>
    <row r="41" spans="2:14" x14ac:dyDescent="0.3">
      <c r="B41" s="44">
        <v>45927</v>
      </c>
      <c r="C41" s="3" t="s">
        <v>416</v>
      </c>
      <c r="D41" s="3" t="s">
        <v>61</v>
      </c>
      <c r="E41" s="101"/>
      <c r="F41" s="4" t="s">
        <v>301</v>
      </c>
      <c r="G41" s="4">
        <v>3210300</v>
      </c>
      <c r="H41" s="3" t="s">
        <v>309</v>
      </c>
      <c r="I41" s="4">
        <v>3082104</v>
      </c>
      <c r="K41" s="32"/>
      <c r="L41" s="15"/>
      <c r="M41" s="73"/>
      <c r="N41" s="15"/>
    </row>
    <row r="42" spans="2:14" x14ac:dyDescent="0.3">
      <c r="B42" s="44">
        <v>45927</v>
      </c>
      <c r="C42" s="3" t="s">
        <v>416</v>
      </c>
      <c r="D42" s="3" t="s">
        <v>61</v>
      </c>
      <c r="E42" s="101"/>
      <c r="F42" s="4" t="s">
        <v>332</v>
      </c>
      <c r="G42" s="4">
        <v>3199206</v>
      </c>
      <c r="H42" s="3" t="s">
        <v>596</v>
      </c>
      <c r="I42" s="4" t="s">
        <v>556</v>
      </c>
      <c r="K42" s="73"/>
      <c r="L42" s="15"/>
      <c r="M42" s="73"/>
      <c r="N42" s="15"/>
    </row>
    <row r="43" spans="2:14" x14ac:dyDescent="0.3">
      <c r="B43" s="44">
        <v>45927</v>
      </c>
      <c r="C43" s="3" t="s">
        <v>416</v>
      </c>
      <c r="D43" s="3" t="s">
        <v>61</v>
      </c>
      <c r="E43" s="101"/>
      <c r="F43" s="4" t="s">
        <v>308</v>
      </c>
      <c r="G43" s="4">
        <v>3199300</v>
      </c>
      <c r="H43" s="106" t="s">
        <v>367</v>
      </c>
      <c r="I43" s="106">
        <v>3208806</v>
      </c>
      <c r="K43" s="73"/>
      <c r="L43" s="15"/>
      <c r="M43" s="73"/>
      <c r="N43" s="15"/>
    </row>
    <row r="44" spans="2:14" x14ac:dyDescent="0.3">
      <c r="B44" s="44">
        <v>45927</v>
      </c>
      <c r="C44" s="3" t="s">
        <v>416</v>
      </c>
      <c r="D44" s="3" t="s">
        <v>61</v>
      </c>
      <c r="E44" s="101"/>
      <c r="F44" s="4" t="s">
        <v>335</v>
      </c>
      <c r="G44" s="4">
        <v>3194201</v>
      </c>
      <c r="H44" s="3" t="s">
        <v>304</v>
      </c>
      <c r="I44" s="4">
        <v>3204404</v>
      </c>
      <c r="K44" s="32"/>
      <c r="L44" s="15"/>
      <c r="N44" s="74"/>
    </row>
    <row r="45" spans="2:14" x14ac:dyDescent="0.3">
      <c r="B45" s="44">
        <v>45927</v>
      </c>
      <c r="C45" s="3" t="s">
        <v>416</v>
      </c>
      <c r="D45" s="3" t="s">
        <v>61</v>
      </c>
      <c r="E45" s="101"/>
      <c r="F45" s="4" t="s">
        <v>330</v>
      </c>
      <c r="G45" s="4">
        <v>3205309</v>
      </c>
      <c r="H45" s="73" t="s">
        <v>302</v>
      </c>
      <c r="I45" s="4">
        <v>3208400</v>
      </c>
      <c r="K45" s="73"/>
      <c r="L45" s="74"/>
      <c r="M45" s="73"/>
      <c r="N45" s="15"/>
    </row>
    <row r="46" spans="2:14" x14ac:dyDescent="0.3">
      <c r="B46" s="4"/>
      <c r="E46" s="101"/>
      <c r="F46" s="4"/>
      <c r="G46" s="3"/>
      <c r="I46" s="3"/>
      <c r="K46" s="4"/>
      <c r="L46" s="4"/>
      <c r="M46" s="4"/>
      <c r="N46" s="4"/>
    </row>
    <row r="47" spans="2:14" x14ac:dyDescent="0.3">
      <c r="B47" s="44">
        <v>45934</v>
      </c>
      <c r="C47" s="3" t="s">
        <v>416</v>
      </c>
      <c r="D47" s="3" t="s">
        <v>61</v>
      </c>
      <c r="E47" s="101"/>
      <c r="F47" s="4" t="s">
        <v>309</v>
      </c>
      <c r="G47" s="4">
        <v>3082104</v>
      </c>
      <c r="H47" s="4" t="s">
        <v>332</v>
      </c>
      <c r="I47" s="4">
        <v>3199206</v>
      </c>
      <c r="K47" s="73"/>
      <c r="L47" s="15"/>
      <c r="M47" s="73"/>
      <c r="N47" s="15"/>
    </row>
    <row r="48" spans="2:14" x14ac:dyDescent="0.3">
      <c r="B48" s="44">
        <v>45934</v>
      </c>
      <c r="C48" s="3" t="s">
        <v>416</v>
      </c>
      <c r="D48" s="3" t="s">
        <v>61</v>
      </c>
      <c r="E48" s="101"/>
      <c r="F48" s="4" t="s">
        <v>301</v>
      </c>
      <c r="G48" s="4">
        <v>3210300</v>
      </c>
      <c r="H48" s="3" t="s">
        <v>307</v>
      </c>
      <c r="I48" s="4">
        <v>3201907</v>
      </c>
      <c r="K48" s="73"/>
      <c r="L48" s="15"/>
      <c r="M48" s="32"/>
      <c r="N48" s="15"/>
    </row>
    <row r="49" spans="2:14" x14ac:dyDescent="0.3">
      <c r="B49" s="44">
        <v>45934</v>
      </c>
      <c r="C49" s="3" t="s">
        <v>416</v>
      </c>
      <c r="D49" s="3" t="s">
        <v>61</v>
      </c>
      <c r="E49" s="101"/>
      <c r="F49" s="73" t="s">
        <v>302</v>
      </c>
      <c r="G49" s="4">
        <v>3208400</v>
      </c>
      <c r="H49" s="3" t="s">
        <v>306</v>
      </c>
      <c r="I49" s="4">
        <v>3202604</v>
      </c>
      <c r="K49" s="73"/>
      <c r="L49" s="15"/>
      <c r="N49" s="74"/>
    </row>
    <row r="50" spans="2:14" x14ac:dyDescent="0.3">
      <c r="B50" s="44">
        <v>45934</v>
      </c>
      <c r="C50" s="3" t="s">
        <v>416</v>
      </c>
      <c r="D50" s="3" t="s">
        <v>61</v>
      </c>
      <c r="E50" s="101"/>
      <c r="F50" s="3" t="s">
        <v>596</v>
      </c>
      <c r="G50" s="4" t="s">
        <v>556</v>
      </c>
      <c r="H50" s="4" t="s">
        <v>308</v>
      </c>
      <c r="I50" s="4">
        <v>3199300</v>
      </c>
      <c r="K50" s="73"/>
      <c r="L50" s="15"/>
      <c r="M50" s="73"/>
      <c r="N50" s="74"/>
    </row>
    <row r="51" spans="2:14" x14ac:dyDescent="0.3">
      <c r="B51" s="44">
        <v>45934</v>
      </c>
      <c r="C51" s="3" t="s">
        <v>416</v>
      </c>
      <c r="D51" s="3" t="s">
        <v>61</v>
      </c>
      <c r="E51" s="101"/>
      <c r="F51" s="3" t="s">
        <v>304</v>
      </c>
      <c r="G51" s="4">
        <v>3204404</v>
      </c>
      <c r="H51" s="4" t="s">
        <v>330</v>
      </c>
      <c r="I51" s="4">
        <v>3205309</v>
      </c>
      <c r="K51" s="73"/>
      <c r="L51" s="15"/>
      <c r="M51" s="32"/>
      <c r="N51" s="15"/>
    </row>
    <row r="52" spans="2:14" x14ac:dyDescent="0.3">
      <c r="B52" s="44">
        <v>45934</v>
      </c>
      <c r="C52" s="3" t="s">
        <v>416</v>
      </c>
      <c r="D52" s="3" t="s">
        <v>61</v>
      </c>
      <c r="E52" s="101"/>
      <c r="F52" s="106" t="s">
        <v>367</v>
      </c>
      <c r="G52" s="106">
        <v>3208806</v>
      </c>
      <c r="H52" s="4" t="s">
        <v>335</v>
      </c>
      <c r="I52" s="4">
        <v>3194201</v>
      </c>
      <c r="K52" s="73"/>
      <c r="L52" s="15"/>
      <c r="M52" s="73"/>
      <c r="N52" s="15"/>
    </row>
    <row r="53" spans="2:14" x14ac:dyDescent="0.3">
      <c r="B53" s="4"/>
      <c r="E53" s="101"/>
      <c r="F53" s="4"/>
      <c r="G53" s="3"/>
      <c r="I53" s="3"/>
      <c r="K53" s="4"/>
      <c r="L53" s="4"/>
      <c r="M53" s="4"/>
      <c r="N53" s="4"/>
    </row>
    <row r="54" spans="2:14" x14ac:dyDescent="0.3">
      <c r="B54" s="44">
        <v>45941</v>
      </c>
      <c r="C54" s="3" t="s">
        <v>416</v>
      </c>
      <c r="D54" s="3" t="s">
        <v>61</v>
      </c>
      <c r="E54" s="101"/>
      <c r="F54" s="3" t="s">
        <v>307</v>
      </c>
      <c r="G54" s="4">
        <v>3201907</v>
      </c>
      <c r="H54" s="73" t="s">
        <v>302</v>
      </c>
      <c r="I54" s="4">
        <v>3208400</v>
      </c>
      <c r="K54" s="73"/>
      <c r="L54" s="15"/>
      <c r="M54" s="73"/>
      <c r="N54" s="74"/>
    </row>
    <row r="55" spans="2:14" x14ac:dyDescent="0.3">
      <c r="B55" s="44">
        <v>45941</v>
      </c>
      <c r="C55" s="3" t="s">
        <v>416</v>
      </c>
      <c r="D55" s="3" t="s">
        <v>61</v>
      </c>
      <c r="E55" s="101"/>
      <c r="F55" s="3" t="s">
        <v>306</v>
      </c>
      <c r="G55" s="4">
        <v>3202604</v>
      </c>
      <c r="H55" s="3" t="s">
        <v>304</v>
      </c>
      <c r="I55" s="4">
        <v>3204404</v>
      </c>
      <c r="K55" s="32"/>
      <c r="L55" s="15"/>
      <c r="M55" s="73"/>
      <c r="N55" s="15"/>
    </row>
    <row r="56" spans="2:14" x14ac:dyDescent="0.3">
      <c r="B56" s="44">
        <v>45941</v>
      </c>
      <c r="C56" s="3" t="s">
        <v>416</v>
      </c>
      <c r="D56" s="3" t="s">
        <v>61</v>
      </c>
      <c r="E56" s="101"/>
      <c r="F56" s="4" t="s">
        <v>332</v>
      </c>
      <c r="G56" s="4">
        <v>3199206</v>
      </c>
      <c r="H56" s="4" t="s">
        <v>301</v>
      </c>
      <c r="I56" s="4">
        <v>3210300</v>
      </c>
      <c r="K56" s="73"/>
      <c r="L56" s="15"/>
      <c r="M56" s="73"/>
      <c r="N56" s="15"/>
    </row>
    <row r="57" spans="2:14" x14ac:dyDescent="0.3">
      <c r="B57" s="44">
        <v>45941</v>
      </c>
      <c r="C57" s="3" t="s">
        <v>416</v>
      </c>
      <c r="D57" s="3" t="s">
        <v>61</v>
      </c>
      <c r="E57" s="101"/>
      <c r="F57" s="4" t="s">
        <v>308</v>
      </c>
      <c r="G57" s="4">
        <v>3199300</v>
      </c>
      <c r="H57" s="3" t="s">
        <v>309</v>
      </c>
      <c r="I57" s="4">
        <v>3082104</v>
      </c>
      <c r="K57" s="73"/>
      <c r="L57" s="15"/>
      <c r="M57" s="73"/>
      <c r="N57" s="15"/>
    </row>
    <row r="58" spans="2:14" x14ac:dyDescent="0.3">
      <c r="B58" s="44">
        <v>45941</v>
      </c>
      <c r="C58" s="3" t="s">
        <v>416</v>
      </c>
      <c r="D58" s="3" t="s">
        <v>61</v>
      </c>
      <c r="E58" s="101"/>
      <c r="F58" s="4" t="s">
        <v>335</v>
      </c>
      <c r="G58" s="4">
        <v>3194201</v>
      </c>
      <c r="H58" s="3" t="s">
        <v>596</v>
      </c>
      <c r="I58" s="4" t="s">
        <v>556</v>
      </c>
      <c r="K58" s="32"/>
      <c r="L58" s="15"/>
      <c r="M58" s="73"/>
      <c r="N58" s="15"/>
    </row>
    <row r="59" spans="2:14" x14ac:dyDescent="0.3">
      <c r="B59" s="44">
        <v>45941</v>
      </c>
      <c r="C59" s="3" t="s">
        <v>416</v>
      </c>
      <c r="D59" s="3" t="s">
        <v>61</v>
      </c>
      <c r="E59" s="101"/>
      <c r="F59" s="4" t="s">
        <v>330</v>
      </c>
      <c r="G59" s="4">
        <v>3205309</v>
      </c>
      <c r="H59" s="106" t="s">
        <v>367</v>
      </c>
      <c r="I59" s="106">
        <v>3208806</v>
      </c>
      <c r="K59" s="3"/>
      <c r="L59" s="74"/>
      <c r="M59" s="73"/>
      <c r="N59" s="15"/>
    </row>
    <row r="60" spans="2:14" x14ac:dyDescent="0.3">
      <c r="B60" s="4"/>
      <c r="E60" s="101"/>
      <c r="F60" s="4"/>
      <c r="G60" s="3"/>
      <c r="I60" s="3"/>
      <c r="K60" s="4"/>
      <c r="L60" s="4"/>
      <c r="M60" s="4"/>
      <c r="N60" s="4"/>
    </row>
    <row r="61" spans="2:14" x14ac:dyDescent="0.3">
      <c r="B61" s="44">
        <v>45948</v>
      </c>
      <c r="C61" s="3" t="s">
        <v>416</v>
      </c>
      <c r="D61" s="3" t="s">
        <v>61</v>
      </c>
      <c r="E61" s="101"/>
      <c r="F61" s="4" t="s">
        <v>309</v>
      </c>
      <c r="G61" s="4">
        <v>3082104</v>
      </c>
      <c r="H61" s="4" t="s">
        <v>335</v>
      </c>
      <c r="I61" s="4">
        <v>3194201</v>
      </c>
      <c r="K61" s="73"/>
      <c r="L61" s="15"/>
      <c r="M61" s="32"/>
      <c r="N61" s="15"/>
    </row>
    <row r="62" spans="2:14" x14ac:dyDescent="0.3">
      <c r="B62" s="44">
        <v>45948</v>
      </c>
      <c r="C62" s="3" t="s">
        <v>416</v>
      </c>
      <c r="D62" s="3" t="s">
        <v>61</v>
      </c>
      <c r="E62" s="101"/>
      <c r="F62" s="4" t="s">
        <v>301</v>
      </c>
      <c r="G62" s="4">
        <v>3210300</v>
      </c>
      <c r="H62" s="4" t="s">
        <v>308</v>
      </c>
      <c r="I62" s="4">
        <v>3199300</v>
      </c>
      <c r="K62" s="73"/>
      <c r="L62" s="15"/>
      <c r="M62" s="73"/>
      <c r="N62" s="15"/>
    </row>
    <row r="63" spans="2:14" x14ac:dyDescent="0.3">
      <c r="B63" s="44">
        <v>45948</v>
      </c>
      <c r="C63" s="3" t="s">
        <v>416</v>
      </c>
      <c r="D63" s="3" t="s">
        <v>61</v>
      </c>
      <c r="E63" s="101"/>
      <c r="F63" s="4" t="s">
        <v>332</v>
      </c>
      <c r="G63" s="4">
        <v>3199206</v>
      </c>
      <c r="H63" s="3" t="s">
        <v>307</v>
      </c>
      <c r="I63" s="4">
        <v>3201907</v>
      </c>
      <c r="K63" s="73"/>
      <c r="L63" s="15"/>
      <c r="M63" s="73"/>
      <c r="N63" s="15"/>
    </row>
    <row r="64" spans="2:14" x14ac:dyDescent="0.3">
      <c r="B64" s="44">
        <v>45948</v>
      </c>
      <c r="C64" s="3" t="s">
        <v>416</v>
      </c>
      <c r="D64" s="3" t="s">
        <v>61</v>
      </c>
      <c r="E64" s="101"/>
      <c r="F64" s="3" t="s">
        <v>596</v>
      </c>
      <c r="G64" s="4" t="s">
        <v>556</v>
      </c>
      <c r="H64" s="4" t="s">
        <v>330</v>
      </c>
      <c r="I64" s="4">
        <v>3205309</v>
      </c>
      <c r="K64" s="73"/>
      <c r="L64" s="15"/>
      <c r="M64" s="73"/>
      <c r="N64" s="15"/>
    </row>
    <row r="65" spans="2:14" x14ac:dyDescent="0.3">
      <c r="B65" s="44">
        <v>45948</v>
      </c>
      <c r="C65" s="3" t="s">
        <v>416</v>
      </c>
      <c r="D65" s="3" t="s">
        <v>61</v>
      </c>
      <c r="E65" s="101"/>
      <c r="F65" s="3" t="s">
        <v>304</v>
      </c>
      <c r="G65" s="4">
        <v>3204404</v>
      </c>
      <c r="H65" s="73" t="s">
        <v>302</v>
      </c>
      <c r="I65" s="4">
        <v>3208400</v>
      </c>
      <c r="K65" s="73"/>
      <c r="L65" s="15"/>
      <c r="N65" s="74"/>
    </row>
    <row r="66" spans="2:14" x14ac:dyDescent="0.3">
      <c r="B66" s="44">
        <v>45948</v>
      </c>
      <c r="C66" s="3" t="s">
        <v>416</v>
      </c>
      <c r="D66" s="3" t="s">
        <v>61</v>
      </c>
      <c r="E66" s="101"/>
      <c r="F66" s="106" t="s">
        <v>367</v>
      </c>
      <c r="G66" s="106">
        <v>3208806</v>
      </c>
      <c r="H66" s="3" t="s">
        <v>306</v>
      </c>
      <c r="I66" s="4">
        <v>3202604</v>
      </c>
      <c r="K66" s="73"/>
      <c r="L66" s="74"/>
      <c r="M66" s="32"/>
      <c r="N66" s="15"/>
    </row>
    <row r="67" spans="2:14" x14ac:dyDescent="0.3">
      <c r="B67" s="4"/>
      <c r="E67" s="101"/>
      <c r="F67" s="4"/>
      <c r="G67" s="3"/>
      <c r="I67" s="3"/>
      <c r="K67" s="4"/>
      <c r="L67" s="4"/>
      <c r="M67" s="4"/>
      <c r="N67" s="4"/>
    </row>
    <row r="68" spans="2:14" x14ac:dyDescent="0.3">
      <c r="B68" s="44">
        <v>45962</v>
      </c>
      <c r="C68" s="3" t="s">
        <v>416</v>
      </c>
      <c r="D68" s="3" t="s">
        <v>61</v>
      </c>
      <c r="E68" s="101"/>
      <c r="F68" s="3" t="s">
        <v>307</v>
      </c>
      <c r="G68" s="4">
        <v>3201907</v>
      </c>
      <c r="H68" s="3" t="s">
        <v>304</v>
      </c>
      <c r="I68" s="4">
        <v>3204404</v>
      </c>
      <c r="J68" s="4"/>
      <c r="K68" s="4"/>
      <c r="L68" s="15"/>
      <c r="M68" s="73"/>
      <c r="N68" s="15"/>
    </row>
    <row r="69" spans="2:14" x14ac:dyDescent="0.3">
      <c r="B69" s="44">
        <v>45962</v>
      </c>
      <c r="C69" s="3" t="s">
        <v>416</v>
      </c>
      <c r="D69" s="3" t="s">
        <v>61</v>
      </c>
      <c r="E69" s="101"/>
      <c r="F69" s="3" t="s">
        <v>306</v>
      </c>
      <c r="G69" s="4">
        <v>3202604</v>
      </c>
      <c r="H69" s="3" t="s">
        <v>596</v>
      </c>
      <c r="I69" s="4" t="s">
        <v>556</v>
      </c>
      <c r="K69" s="32"/>
      <c r="L69" s="15"/>
      <c r="M69" s="73"/>
      <c r="N69" s="15"/>
    </row>
    <row r="70" spans="2:14" x14ac:dyDescent="0.3">
      <c r="B70" s="44">
        <v>45962</v>
      </c>
      <c r="C70" s="3" t="s">
        <v>416</v>
      </c>
      <c r="D70" s="3" t="s">
        <v>61</v>
      </c>
      <c r="E70" s="101"/>
      <c r="F70" s="73" t="s">
        <v>302</v>
      </c>
      <c r="G70" s="4">
        <v>3208400</v>
      </c>
      <c r="H70" s="106" t="s">
        <v>367</v>
      </c>
      <c r="I70" s="106">
        <v>3208806</v>
      </c>
      <c r="K70" s="73"/>
      <c r="L70" s="15"/>
      <c r="M70" s="73"/>
      <c r="N70" s="15"/>
    </row>
    <row r="71" spans="2:14" x14ac:dyDescent="0.3">
      <c r="B71" s="44">
        <v>45962</v>
      </c>
      <c r="C71" s="3" t="s">
        <v>416</v>
      </c>
      <c r="D71" s="3" t="s">
        <v>61</v>
      </c>
      <c r="E71" s="101"/>
      <c r="F71" s="4" t="s">
        <v>308</v>
      </c>
      <c r="G71" s="4">
        <v>3199300</v>
      </c>
      <c r="H71" s="4" t="s">
        <v>332</v>
      </c>
      <c r="I71" s="4">
        <v>3199206</v>
      </c>
      <c r="K71" s="32"/>
      <c r="L71" s="15"/>
      <c r="M71" s="73"/>
      <c r="N71" s="15"/>
    </row>
    <row r="72" spans="2:14" x14ac:dyDescent="0.3">
      <c r="B72" s="44">
        <v>45962</v>
      </c>
      <c r="C72" s="3" t="s">
        <v>416</v>
      </c>
      <c r="D72" s="3" t="s">
        <v>61</v>
      </c>
      <c r="E72" s="101"/>
      <c r="F72" s="4" t="s">
        <v>335</v>
      </c>
      <c r="G72" s="4">
        <v>3194201</v>
      </c>
      <c r="H72" s="4" t="s">
        <v>301</v>
      </c>
      <c r="I72" s="4">
        <v>3210300</v>
      </c>
      <c r="K72" s="3"/>
      <c r="L72" s="74"/>
      <c r="M72" s="73"/>
      <c r="N72" s="15"/>
    </row>
    <row r="73" spans="2:14" x14ac:dyDescent="0.3">
      <c r="B73" s="44">
        <v>45962</v>
      </c>
      <c r="C73" s="3" t="s">
        <v>416</v>
      </c>
      <c r="D73" s="3" t="s">
        <v>61</v>
      </c>
      <c r="E73" s="101"/>
      <c r="F73" s="4" t="s">
        <v>330</v>
      </c>
      <c r="G73" s="4">
        <v>3205309</v>
      </c>
      <c r="H73" s="3" t="s">
        <v>309</v>
      </c>
      <c r="I73" s="4">
        <v>3082104</v>
      </c>
      <c r="K73" s="73"/>
      <c r="L73" s="74"/>
      <c r="M73" s="73"/>
      <c r="N73" s="15"/>
    </row>
    <row r="74" spans="2:14" x14ac:dyDescent="0.3">
      <c r="B74" s="4"/>
      <c r="E74" s="101"/>
      <c r="F74" s="4"/>
      <c r="G74" s="3"/>
      <c r="I74" s="3"/>
      <c r="K74" s="4"/>
      <c r="L74" s="4"/>
      <c r="M74" s="4"/>
      <c r="N74" s="4"/>
    </row>
    <row r="75" spans="2:14" x14ac:dyDescent="0.3">
      <c r="B75" s="44">
        <v>45969</v>
      </c>
      <c r="C75" s="3" t="s">
        <v>416</v>
      </c>
      <c r="D75" s="3" t="s">
        <v>61</v>
      </c>
      <c r="E75" s="101"/>
      <c r="F75" s="4" t="s">
        <v>309</v>
      </c>
      <c r="G75" s="4">
        <v>3082104</v>
      </c>
      <c r="H75" s="3" t="s">
        <v>306</v>
      </c>
      <c r="I75" s="4">
        <v>3202604</v>
      </c>
      <c r="K75" s="73"/>
      <c r="L75" s="15"/>
      <c r="M75" s="73"/>
      <c r="N75" s="15"/>
    </row>
    <row r="76" spans="2:14" x14ac:dyDescent="0.3">
      <c r="B76" s="44">
        <v>45969</v>
      </c>
      <c r="C76" s="3" t="s">
        <v>416</v>
      </c>
      <c r="D76" s="3" t="s">
        <v>61</v>
      </c>
      <c r="E76" s="101"/>
      <c r="F76" s="4" t="s">
        <v>301</v>
      </c>
      <c r="G76" s="4">
        <v>3210300</v>
      </c>
      <c r="H76" s="4" t="s">
        <v>330</v>
      </c>
      <c r="I76" s="4">
        <v>3205309</v>
      </c>
      <c r="K76" s="32"/>
      <c r="L76" s="15"/>
      <c r="M76" s="73"/>
      <c r="N76" s="15"/>
    </row>
    <row r="77" spans="2:14" x14ac:dyDescent="0.3">
      <c r="B77" s="44">
        <v>45969</v>
      </c>
      <c r="C77" s="3" t="s">
        <v>416</v>
      </c>
      <c r="D77" s="3" t="s">
        <v>61</v>
      </c>
      <c r="E77" s="101"/>
      <c r="F77" s="4" t="s">
        <v>332</v>
      </c>
      <c r="G77" s="4">
        <v>3199206</v>
      </c>
      <c r="H77" s="4" t="s">
        <v>335</v>
      </c>
      <c r="I77" s="4">
        <v>3194201</v>
      </c>
      <c r="K77" s="73"/>
      <c r="L77" s="15"/>
      <c r="M77" s="32"/>
      <c r="N77" s="15"/>
    </row>
    <row r="78" spans="2:14" x14ac:dyDescent="0.3">
      <c r="B78" s="44">
        <v>45969</v>
      </c>
      <c r="C78" s="3" t="s">
        <v>416</v>
      </c>
      <c r="D78" s="3" t="s">
        <v>61</v>
      </c>
      <c r="E78" s="101"/>
      <c r="F78" s="4" t="s">
        <v>308</v>
      </c>
      <c r="G78" s="4">
        <v>3199300</v>
      </c>
      <c r="H78" s="3" t="s">
        <v>307</v>
      </c>
      <c r="I78" s="4">
        <v>3201907</v>
      </c>
      <c r="K78" s="73"/>
      <c r="L78" s="15"/>
      <c r="N78" s="74"/>
    </row>
    <row r="79" spans="2:14" x14ac:dyDescent="0.3">
      <c r="B79" s="44">
        <v>45969</v>
      </c>
      <c r="C79" s="3" t="s">
        <v>416</v>
      </c>
      <c r="D79" s="3" t="s">
        <v>61</v>
      </c>
      <c r="E79" s="101"/>
      <c r="F79" s="3" t="s">
        <v>596</v>
      </c>
      <c r="G79" s="4" t="s">
        <v>556</v>
      </c>
      <c r="H79" s="73" t="s">
        <v>302</v>
      </c>
      <c r="I79" s="4">
        <v>3208400</v>
      </c>
      <c r="K79" s="73"/>
      <c r="L79" s="15"/>
      <c r="M79" s="73"/>
      <c r="N79" s="15"/>
    </row>
    <row r="80" spans="2:14" x14ac:dyDescent="0.3">
      <c r="B80" s="44">
        <v>45969</v>
      </c>
      <c r="C80" s="3" t="s">
        <v>416</v>
      </c>
      <c r="D80" s="3" t="s">
        <v>61</v>
      </c>
      <c r="E80" s="101"/>
      <c r="F80" s="106" t="s">
        <v>367</v>
      </c>
      <c r="G80" s="106">
        <v>3208806</v>
      </c>
      <c r="H80" s="3" t="s">
        <v>304</v>
      </c>
      <c r="I80" s="4">
        <v>3204404</v>
      </c>
      <c r="K80" s="73"/>
      <c r="L80" s="15"/>
      <c r="M80" s="73"/>
      <c r="N80" s="74"/>
    </row>
    <row r="81" spans="2:14" x14ac:dyDescent="0.3">
      <c r="B81" s="4"/>
      <c r="E81" s="101"/>
      <c r="F81" s="4"/>
      <c r="G81" s="3"/>
      <c r="I81" s="3"/>
      <c r="K81" s="4"/>
      <c r="L81" s="4"/>
      <c r="M81" s="4"/>
      <c r="N81" s="4"/>
    </row>
    <row r="82" spans="2:14" x14ac:dyDescent="0.3">
      <c r="B82" s="44">
        <v>45976</v>
      </c>
      <c r="C82" s="3" t="s">
        <v>416</v>
      </c>
      <c r="D82" s="3" t="s">
        <v>61</v>
      </c>
      <c r="E82" s="101"/>
      <c r="F82" s="3" t="s">
        <v>307</v>
      </c>
      <c r="G82" s="4">
        <v>3201907</v>
      </c>
      <c r="H82" s="106" t="s">
        <v>367</v>
      </c>
      <c r="I82" s="106">
        <v>3208806</v>
      </c>
      <c r="K82" s="32"/>
      <c r="L82" s="15"/>
      <c r="M82" s="73"/>
      <c r="N82" s="74"/>
    </row>
    <row r="83" spans="2:14" x14ac:dyDescent="0.3">
      <c r="B83" s="44">
        <v>45976</v>
      </c>
      <c r="C83" s="3" t="s">
        <v>416</v>
      </c>
      <c r="D83" s="3" t="s">
        <v>61</v>
      </c>
      <c r="E83" s="101"/>
      <c r="F83" s="3" t="s">
        <v>306</v>
      </c>
      <c r="G83" s="4">
        <v>3202604</v>
      </c>
      <c r="H83" s="4" t="s">
        <v>301</v>
      </c>
      <c r="I83" s="4">
        <v>3210300</v>
      </c>
      <c r="K83" s="73"/>
      <c r="L83" s="15"/>
      <c r="M83" s="73"/>
      <c r="N83" s="15"/>
    </row>
    <row r="84" spans="2:14" x14ac:dyDescent="0.3">
      <c r="B84" s="44">
        <v>45976</v>
      </c>
      <c r="C84" s="3" t="s">
        <v>416</v>
      </c>
      <c r="D84" s="3" t="s">
        <v>61</v>
      </c>
      <c r="E84" s="101"/>
      <c r="F84" s="73" t="s">
        <v>302</v>
      </c>
      <c r="G84" s="4">
        <v>3208400</v>
      </c>
      <c r="H84" s="3" t="s">
        <v>309</v>
      </c>
      <c r="I84" s="4">
        <v>3082104</v>
      </c>
      <c r="K84" s="73"/>
      <c r="L84" s="15"/>
      <c r="M84" s="73"/>
      <c r="N84" s="15"/>
    </row>
    <row r="85" spans="2:14" x14ac:dyDescent="0.3">
      <c r="B85" s="44">
        <v>45976</v>
      </c>
      <c r="C85" s="3" t="s">
        <v>416</v>
      </c>
      <c r="D85" s="3" t="s">
        <v>61</v>
      </c>
      <c r="E85" s="101"/>
      <c r="F85" s="4" t="s">
        <v>335</v>
      </c>
      <c r="G85" s="4">
        <v>3194201</v>
      </c>
      <c r="H85" s="4" t="s">
        <v>308</v>
      </c>
      <c r="I85" s="4">
        <v>3199300</v>
      </c>
      <c r="K85" s="73"/>
      <c r="L85" s="15"/>
      <c r="M85" s="32"/>
      <c r="N85" s="15"/>
    </row>
    <row r="86" spans="2:14" x14ac:dyDescent="0.3">
      <c r="B86" s="44">
        <v>45976</v>
      </c>
      <c r="C86" s="3" t="s">
        <v>416</v>
      </c>
      <c r="D86" s="3" t="s">
        <v>61</v>
      </c>
      <c r="E86" s="101"/>
      <c r="F86" s="4" t="s">
        <v>330</v>
      </c>
      <c r="G86" s="4">
        <v>3205309</v>
      </c>
      <c r="H86" s="4" t="s">
        <v>332</v>
      </c>
      <c r="I86" s="4">
        <v>3199206</v>
      </c>
      <c r="K86" s="3"/>
      <c r="L86" s="74"/>
      <c r="M86" s="73"/>
      <c r="N86" s="15"/>
    </row>
    <row r="87" spans="2:14" x14ac:dyDescent="0.3">
      <c r="B87" s="44">
        <v>45976</v>
      </c>
      <c r="C87" s="3" t="s">
        <v>416</v>
      </c>
      <c r="D87" s="3" t="s">
        <v>61</v>
      </c>
      <c r="E87" s="101"/>
      <c r="F87" s="3" t="s">
        <v>304</v>
      </c>
      <c r="G87" s="4">
        <v>3204404</v>
      </c>
      <c r="H87" s="3" t="s">
        <v>596</v>
      </c>
      <c r="I87" s="4" t="s">
        <v>556</v>
      </c>
      <c r="K87" s="73"/>
      <c r="L87" s="15"/>
      <c r="M87" s="73"/>
      <c r="N87" s="15"/>
    </row>
    <row r="88" spans="2:14" x14ac:dyDescent="0.3">
      <c r="B88" s="4"/>
      <c r="E88" s="101"/>
      <c r="F88" s="4"/>
      <c r="G88" s="3"/>
      <c r="I88" s="3"/>
      <c r="K88" s="4"/>
      <c r="L88" s="4"/>
      <c r="M88" s="4"/>
      <c r="N88" s="4"/>
    </row>
    <row r="89" spans="2:14" x14ac:dyDescent="0.3">
      <c r="B89" s="44">
        <v>45983</v>
      </c>
      <c r="C89" s="3" t="s">
        <v>416</v>
      </c>
      <c r="D89" s="3" t="s">
        <v>61</v>
      </c>
      <c r="E89" s="101"/>
      <c r="F89" s="4" t="s">
        <v>309</v>
      </c>
      <c r="G89" s="4">
        <v>3082104</v>
      </c>
      <c r="H89" s="3" t="s">
        <v>304</v>
      </c>
      <c r="I89" s="4">
        <v>3204404</v>
      </c>
      <c r="K89" s="73"/>
      <c r="L89" s="15"/>
      <c r="M89" s="73"/>
      <c r="N89" s="15"/>
    </row>
    <row r="90" spans="2:14" x14ac:dyDescent="0.3">
      <c r="B90" s="44">
        <v>45983</v>
      </c>
      <c r="C90" s="3" t="s">
        <v>416</v>
      </c>
      <c r="D90" s="3" t="s">
        <v>61</v>
      </c>
      <c r="E90" s="101"/>
      <c r="F90" s="4" t="s">
        <v>301</v>
      </c>
      <c r="G90" s="4">
        <v>3210300</v>
      </c>
      <c r="H90" s="73" t="s">
        <v>302</v>
      </c>
      <c r="I90" s="4">
        <v>3208400</v>
      </c>
      <c r="K90" s="73"/>
      <c r="L90" s="15"/>
      <c r="M90" s="32"/>
      <c r="N90" s="15"/>
    </row>
    <row r="91" spans="2:14" x14ac:dyDescent="0.3">
      <c r="B91" s="44">
        <v>45983</v>
      </c>
      <c r="C91" s="3" t="s">
        <v>416</v>
      </c>
      <c r="D91" s="3" t="s">
        <v>61</v>
      </c>
      <c r="E91" s="101"/>
      <c r="F91" s="4" t="s">
        <v>332</v>
      </c>
      <c r="G91" s="4">
        <v>3199206</v>
      </c>
      <c r="H91" s="3" t="s">
        <v>306</v>
      </c>
      <c r="I91" s="4">
        <v>3202604</v>
      </c>
      <c r="K91" s="73"/>
      <c r="L91" s="15"/>
      <c r="M91" s="73"/>
      <c r="N91" s="15"/>
    </row>
    <row r="92" spans="2:14" x14ac:dyDescent="0.3">
      <c r="B92" s="44">
        <v>45983</v>
      </c>
      <c r="C92" s="3" t="s">
        <v>416</v>
      </c>
      <c r="D92" s="3" t="s">
        <v>61</v>
      </c>
      <c r="E92" s="101"/>
      <c r="F92" s="4" t="s">
        <v>308</v>
      </c>
      <c r="G92" s="4">
        <v>3199300</v>
      </c>
      <c r="H92" s="4" t="s">
        <v>330</v>
      </c>
      <c r="I92" s="4">
        <v>3205309</v>
      </c>
      <c r="K92" s="73"/>
      <c r="L92" s="15"/>
      <c r="M92" s="32"/>
      <c r="N92" s="15"/>
    </row>
    <row r="93" spans="2:14" x14ac:dyDescent="0.3">
      <c r="B93" s="44">
        <v>45983</v>
      </c>
      <c r="C93" s="3" t="s">
        <v>416</v>
      </c>
      <c r="D93" s="3" t="s">
        <v>61</v>
      </c>
      <c r="E93" s="101"/>
      <c r="F93" s="4" t="s">
        <v>335</v>
      </c>
      <c r="G93" s="4">
        <v>3194201</v>
      </c>
      <c r="H93" s="3" t="s">
        <v>307</v>
      </c>
      <c r="I93" s="4">
        <v>3201907</v>
      </c>
      <c r="K93" s="73"/>
      <c r="L93" s="15"/>
      <c r="M93" s="73"/>
      <c r="N93" s="15"/>
    </row>
    <row r="94" spans="2:14" x14ac:dyDescent="0.3">
      <c r="B94" s="44">
        <v>45983</v>
      </c>
      <c r="C94" s="3" t="s">
        <v>416</v>
      </c>
      <c r="D94" s="3" t="s">
        <v>61</v>
      </c>
      <c r="E94" s="101"/>
      <c r="F94" s="3" t="s">
        <v>596</v>
      </c>
      <c r="G94" s="4" t="s">
        <v>556</v>
      </c>
      <c r="H94" s="106" t="s">
        <v>367</v>
      </c>
      <c r="I94" s="106">
        <v>3208806</v>
      </c>
      <c r="K94" s="73"/>
      <c r="L94" s="74"/>
      <c r="N94" s="74"/>
    </row>
    <row r="95" spans="2:14" x14ac:dyDescent="0.3">
      <c r="B95" s="4"/>
      <c r="E95" s="101"/>
      <c r="F95" s="4"/>
      <c r="G95" s="3"/>
      <c r="I95" s="3"/>
      <c r="K95" s="4"/>
      <c r="L95" s="4"/>
      <c r="M95" s="4"/>
      <c r="N95" s="4"/>
    </row>
    <row r="96" spans="2:14" x14ac:dyDescent="0.3">
      <c r="B96" s="44">
        <v>45990</v>
      </c>
      <c r="C96" s="3" t="s">
        <v>416</v>
      </c>
      <c r="D96" s="3" t="s">
        <v>61</v>
      </c>
      <c r="E96" s="101"/>
      <c r="F96" s="3" t="s">
        <v>307</v>
      </c>
      <c r="G96" s="4">
        <v>3201907</v>
      </c>
      <c r="H96" s="3" t="s">
        <v>596</v>
      </c>
      <c r="I96" s="4" t="s">
        <v>556</v>
      </c>
      <c r="K96" s="32"/>
      <c r="L96" s="15"/>
      <c r="M96" s="73"/>
      <c r="N96" s="15"/>
    </row>
    <row r="97" spans="2:14" x14ac:dyDescent="0.3">
      <c r="B97" s="44">
        <v>45990</v>
      </c>
      <c r="C97" s="3" t="s">
        <v>416</v>
      </c>
      <c r="D97" s="3" t="s">
        <v>61</v>
      </c>
      <c r="E97" s="101"/>
      <c r="F97" s="3" t="s">
        <v>306</v>
      </c>
      <c r="G97" s="4">
        <v>3202604</v>
      </c>
      <c r="H97" s="4" t="s">
        <v>308</v>
      </c>
      <c r="I97" s="4">
        <v>3199300</v>
      </c>
      <c r="K97" s="73"/>
      <c r="L97" s="15"/>
      <c r="M97" s="73"/>
      <c r="N97" s="74"/>
    </row>
    <row r="98" spans="2:14" x14ac:dyDescent="0.3">
      <c r="B98" s="44">
        <v>45990</v>
      </c>
      <c r="C98" s="3" t="s">
        <v>416</v>
      </c>
      <c r="D98" s="3" t="s">
        <v>61</v>
      </c>
      <c r="E98" s="101"/>
      <c r="F98" s="73" t="s">
        <v>302</v>
      </c>
      <c r="G98" s="4">
        <v>3208400</v>
      </c>
      <c r="H98" s="4" t="s">
        <v>332</v>
      </c>
      <c r="I98" s="4">
        <v>3199206</v>
      </c>
      <c r="K98" s="32"/>
      <c r="L98" s="15"/>
      <c r="M98" s="73"/>
      <c r="N98" s="15"/>
    </row>
    <row r="99" spans="2:14" x14ac:dyDescent="0.3">
      <c r="B99" s="44">
        <v>45990</v>
      </c>
      <c r="C99" s="3" t="s">
        <v>416</v>
      </c>
      <c r="D99" s="3" t="s">
        <v>61</v>
      </c>
      <c r="E99" s="101"/>
      <c r="F99" s="4" t="s">
        <v>330</v>
      </c>
      <c r="G99" s="4">
        <v>3205309</v>
      </c>
      <c r="H99" s="4" t="s">
        <v>335</v>
      </c>
      <c r="I99" s="4">
        <v>3194201</v>
      </c>
      <c r="K99" s="3"/>
      <c r="L99" s="74"/>
      <c r="M99" s="73"/>
      <c r="N99" s="15"/>
    </row>
    <row r="100" spans="2:14" x14ac:dyDescent="0.3">
      <c r="B100" s="44">
        <v>45990</v>
      </c>
      <c r="C100" s="3" t="s">
        <v>416</v>
      </c>
      <c r="D100" s="3" t="s">
        <v>61</v>
      </c>
      <c r="E100" s="101"/>
      <c r="F100" s="3" t="s">
        <v>304</v>
      </c>
      <c r="G100" s="4">
        <v>3204404</v>
      </c>
      <c r="H100" s="4" t="s">
        <v>301</v>
      </c>
      <c r="I100" s="4">
        <v>3210300</v>
      </c>
      <c r="K100" s="73"/>
      <c r="L100" s="15"/>
      <c r="M100" s="73"/>
      <c r="N100" s="15"/>
    </row>
    <row r="101" spans="2:14" x14ac:dyDescent="0.3">
      <c r="B101" s="44">
        <v>45990</v>
      </c>
      <c r="C101" s="3" t="s">
        <v>416</v>
      </c>
      <c r="D101" s="3" t="s">
        <v>61</v>
      </c>
      <c r="E101" s="101"/>
      <c r="F101" s="106" t="s">
        <v>367</v>
      </c>
      <c r="G101" s="106">
        <v>3208806</v>
      </c>
      <c r="H101" s="4" t="s">
        <v>309</v>
      </c>
      <c r="I101" s="4">
        <v>3082104</v>
      </c>
      <c r="K101" s="73"/>
      <c r="L101" s="15"/>
      <c r="M101" s="73"/>
      <c r="N101" s="15"/>
    </row>
    <row r="102" spans="2:14" x14ac:dyDescent="0.3">
      <c r="B102" s="4"/>
      <c r="E102" s="101"/>
      <c r="F102" s="4"/>
      <c r="G102" s="3"/>
      <c r="I102" s="3"/>
      <c r="K102" s="4"/>
      <c r="L102" s="4"/>
      <c r="M102" s="4"/>
      <c r="N102" s="4"/>
    </row>
    <row r="103" spans="2:14" x14ac:dyDescent="0.3">
      <c r="B103" s="44">
        <v>46032</v>
      </c>
      <c r="C103" s="3" t="s">
        <v>416</v>
      </c>
      <c r="D103" s="3" t="s">
        <v>61</v>
      </c>
      <c r="E103" s="101"/>
      <c r="F103" s="3" t="s">
        <v>307</v>
      </c>
      <c r="G103" s="4">
        <v>3201907</v>
      </c>
      <c r="H103" s="4" t="s">
        <v>330</v>
      </c>
      <c r="I103" s="4">
        <v>3205309</v>
      </c>
      <c r="K103" s="32"/>
      <c r="L103" s="15"/>
      <c r="M103" s="73"/>
      <c r="N103" s="15"/>
    </row>
    <row r="104" spans="2:14" x14ac:dyDescent="0.3">
      <c r="B104" s="44">
        <v>46032</v>
      </c>
      <c r="C104" s="3" t="s">
        <v>416</v>
      </c>
      <c r="D104" s="3" t="s">
        <v>61</v>
      </c>
      <c r="E104" s="101"/>
      <c r="F104" s="3" t="s">
        <v>306</v>
      </c>
      <c r="G104" s="4">
        <v>3202604</v>
      </c>
      <c r="H104" s="4" t="s">
        <v>335</v>
      </c>
      <c r="I104" s="4">
        <v>3194201</v>
      </c>
      <c r="K104" s="73"/>
      <c r="L104" s="15"/>
      <c r="M104" s="73"/>
      <c r="N104" s="15"/>
    </row>
    <row r="105" spans="2:14" x14ac:dyDescent="0.3">
      <c r="B105" s="44">
        <v>46032</v>
      </c>
      <c r="C105" s="3" t="s">
        <v>416</v>
      </c>
      <c r="D105" s="3" t="s">
        <v>61</v>
      </c>
      <c r="E105" s="101"/>
      <c r="F105" s="73" t="s">
        <v>302</v>
      </c>
      <c r="G105" s="4">
        <v>3208400</v>
      </c>
      <c r="H105" s="4" t="s">
        <v>308</v>
      </c>
      <c r="I105" s="4">
        <v>3199300</v>
      </c>
      <c r="K105" s="4"/>
      <c r="L105" s="15"/>
      <c r="M105" s="32"/>
      <c r="N105" s="15"/>
    </row>
    <row r="106" spans="2:14" x14ac:dyDescent="0.3">
      <c r="B106" s="44">
        <v>46032</v>
      </c>
      <c r="C106" s="3" t="s">
        <v>416</v>
      </c>
      <c r="D106" s="3" t="s">
        <v>61</v>
      </c>
      <c r="E106" s="101"/>
      <c r="F106" s="3" t="s">
        <v>596</v>
      </c>
      <c r="G106" s="4" t="s">
        <v>556</v>
      </c>
      <c r="H106" s="3" t="s">
        <v>309</v>
      </c>
      <c r="I106" s="4">
        <v>3082104</v>
      </c>
      <c r="K106" s="73"/>
      <c r="L106" s="15"/>
      <c r="N106" s="74"/>
    </row>
    <row r="107" spans="2:14" x14ac:dyDescent="0.3">
      <c r="B107" s="44">
        <v>46032</v>
      </c>
      <c r="C107" s="3" t="s">
        <v>416</v>
      </c>
      <c r="D107" s="3" t="s">
        <v>61</v>
      </c>
      <c r="E107" s="101"/>
      <c r="F107" s="3" t="s">
        <v>304</v>
      </c>
      <c r="G107" s="4">
        <v>3204404</v>
      </c>
      <c r="H107" s="4" t="s">
        <v>332</v>
      </c>
      <c r="I107" s="4">
        <v>3199206</v>
      </c>
      <c r="K107" s="73"/>
      <c r="L107" s="15"/>
      <c r="M107" s="73"/>
      <c r="N107" s="74"/>
    </row>
    <row r="108" spans="2:14" x14ac:dyDescent="0.3">
      <c r="B108" s="44">
        <v>46032</v>
      </c>
      <c r="C108" s="3" t="s">
        <v>416</v>
      </c>
      <c r="D108" s="3" t="s">
        <v>61</v>
      </c>
      <c r="E108" s="101"/>
      <c r="F108" s="106" t="s">
        <v>367</v>
      </c>
      <c r="G108" s="106">
        <v>3208806</v>
      </c>
      <c r="H108" s="4" t="s">
        <v>301</v>
      </c>
      <c r="I108" s="4">
        <v>3210300</v>
      </c>
      <c r="K108" s="4"/>
      <c r="L108" s="15"/>
      <c r="M108" s="73"/>
      <c r="N108" s="15"/>
    </row>
    <row r="109" spans="2:14" x14ac:dyDescent="0.3">
      <c r="B109" s="4"/>
      <c r="E109" s="101"/>
      <c r="F109" s="4"/>
      <c r="G109" s="3"/>
      <c r="I109" s="3"/>
      <c r="K109" s="4"/>
      <c r="L109" s="4"/>
      <c r="M109" s="4"/>
      <c r="N109" s="4"/>
    </row>
    <row r="110" spans="2:14" x14ac:dyDescent="0.3">
      <c r="B110" s="44">
        <v>46039</v>
      </c>
      <c r="C110" s="3" t="s">
        <v>416</v>
      </c>
      <c r="D110" s="3" t="s">
        <v>61</v>
      </c>
      <c r="E110" s="101"/>
      <c r="F110" s="4" t="s">
        <v>309</v>
      </c>
      <c r="G110" s="4">
        <v>3082104</v>
      </c>
      <c r="H110" s="3" t="s">
        <v>307</v>
      </c>
      <c r="I110" s="4">
        <v>3201907</v>
      </c>
      <c r="K110" s="73"/>
      <c r="L110" s="15"/>
      <c r="M110" s="73"/>
      <c r="N110" s="15"/>
    </row>
    <row r="111" spans="2:14" x14ac:dyDescent="0.3">
      <c r="B111" s="44">
        <v>46039</v>
      </c>
      <c r="C111" s="3" t="s">
        <v>416</v>
      </c>
      <c r="D111" s="3" t="s">
        <v>61</v>
      </c>
      <c r="E111" s="101"/>
      <c r="F111" s="4" t="s">
        <v>301</v>
      </c>
      <c r="G111" s="4">
        <v>3210300</v>
      </c>
      <c r="H111" s="3" t="s">
        <v>596</v>
      </c>
      <c r="I111" s="4" t="s">
        <v>556</v>
      </c>
      <c r="K111" s="32"/>
      <c r="L111" s="15"/>
      <c r="N111" s="74"/>
    </row>
    <row r="112" spans="2:14" x14ac:dyDescent="0.3">
      <c r="B112" s="44">
        <v>46039</v>
      </c>
      <c r="C112" s="3" t="s">
        <v>416</v>
      </c>
      <c r="D112" s="3" t="s">
        <v>61</v>
      </c>
      <c r="E112" s="101"/>
      <c r="F112" s="4" t="s">
        <v>332</v>
      </c>
      <c r="G112" s="4">
        <v>3199206</v>
      </c>
      <c r="H112" s="106" t="s">
        <v>367</v>
      </c>
      <c r="I112" s="106">
        <v>3208806</v>
      </c>
      <c r="K112" s="73"/>
      <c r="L112" s="15"/>
      <c r="M112" s="73"/>
      <c r="N112" s="15"/>
    </row>
    <row r="113" spans="2:14" x14ac:dyDescent="0.3">
      <c r="B113" s="44">
        <v>46039</v>
      </c>
      <c r="C113" s="3" t="s">
        <v>416</v>
      </c>
      <c r="D113" s="3" t="s">
        <v>61</v>
      </c>
      <c r="E113" s="101"/>
      <c r="F113" s="4" t="s">
        <v>308</v>
      </c>
      <c r="G113" s="4">
        <v>3199300</v>
      </c>
      <c r="H113" s="3" t="s">
        <v>304</v>
      </c>
      <c r="I113" s="4">
        <v>3204404</v>
      </c>
      <c r="J113" s="15"/>
      <c r="K113" s="74"/>
      <c r="L113" s="15"/>
      <c r="M113" s="73"/>
      <c r="N113" s="15"/>
    </row>
    <row r="114" spans="2:14" x14ac:dyDescent="0.3">
      <c r="B114" s="44">
        <v>46039</v>
      </c>
      <c r="C114" s="3" t="s">
        <v>416</v>
      </c>
      <c r="D114" s="3" t="s">
        <v>61</v>
      </c>
      <c r="E114" s="101"/>
      <c r="F114" s="4" t="s">
        <v>335</v>
      </c>
      <c r="G114" s="4">
        <v>3194201</v>
      </c>
      <c r="H114" s="73" t="s">
        <v>302</v>
      </c>
      <c r="I114" s="4">
        <v>3208400</v>
      </c>
      <c r="K114" s="32"/>
      <c r="L114" s="15"/>
      <c r="M114" s="73"/>
      <c r="N114" s="15"/>
    </row>
    <row r="115" spans="2:14" x14ac:dyDescent="0.3">
      <c r="B115" s="44">
        <v>46039</v>
      </c>
      <c r="C115" s="3" t="s">
        <v>416</v>
      </c>
      <c r="D115" s="3" t="s">
        <v>61</v>
      </c>
      <c r="E115" s="101"/>
      <c r="F115" s="4" t="s">
        <v>330</v>
      </c>
      <c r="G115" s="4">
        <v>3205309</v>
      </c>
      <c r="H115" s="3" t="s">
        <v>306</v>
      </c>
      <c r="I115" s="4">
        <v>3202604</v>
      </c>
      <c r="K115" s="73"/>
      <c r="L115" s="74"/>
      <c r="M115" s="73"/>
      <c r="N115" s="15"/>
    </row>
    <row r="116" spans="2:14" x14ac:dyDescent="0.3">
      <c r="B116" s="4"/>
      <c r="E116" s="101"/>
      <c r="F116" s="4"/>
      <c r="G116" s="3"/>
      <c r="I116" s="3"/>
      <c r="K116" s="4"/>
      <c r="L116" s="4"/>
      <c r="M116" s="4"/>
      <c r="N116" s="4"/>
    </row>
    <row r="117" spans="2:14" x14ac:dyDescent="0.3">
      <c r="B117" s="44">
        <v>46046</v>
      </c>
      <c r="C117" s="3" t="s">
        <v>416</v>
      </c>
      <c r="D117" s="3" t="s">
        <v>61</v>
      </c>
      <c r="E117" s="101"/>
      <c r="F117" s="4" t="s">
        <v>309</v>
      </c>
      <c r="G117" s="4">
        <v>3082104</v>
      </c>
      <c r="H117" s="4" t="s">
        <v>301</v>
      </c>
      <c r="I117" s="4">
        <v>3210300</v>
      </c>
      <c r="K117" s="73"/>
      <c r="L117" s="15"/>
      <c r="M117" s="73"/>
      <c r="N117" s="74"/>
    </row>
    <row r="118" spans="2:14" x14ac:dyDescent="0.3">
      <c r="B118" s="44">
        <v>46046</v>
      </c>
      <c r="C118" s="3" t="s">
        <v>416</v>
      </c>
      <c r="D118" s="3" t="s">
        <v>61</v>
      </c>
      <c r="E118" s="101"/>
      <c r="F118" s="3" t="s">
        <v>306</v>
      </c>
      <c r="G118" s="4">
        <v>3202604</v>
      </c>
      <c r="H118" s="3" t="s">
        <v>307</v>
      </c>
      <c r="I118" s="4">
        <v>3201907</v>
      </c>
      <c r="K118" s="73"/>
      <c r="L118" s="15"/>
      <c r="M118" s="32"/>
      <c r="N118" s="15"/>
    </row>
    <row r="119" spans="2:14" x14ac:dyDescent="0.3">
      <c r="B119" s="44">
        <v>46046</v>
      </c>
      <c r="C119" s="3" t="s">
        <v>416</v>
      </c>
      <c r="D119" s="3" t="s">
        <v>61</v>
      </c>
      <c r="E119" s="101"/>
      <c r="F119" s="73" t="s">
        <v>302</v>
      </c>
      <c r="G119" s="4">
        <v>3208400</v>
      </c>
      <c r="H119" s="4" t="s">
        <v>330</v>
      </c>
      <c r="I119" s="4">
        <v>3205309</v>
      </c>
      <c r="K119" s="73"/>
      <c r="L119" s="15"/>
      <c r="M119" s="73"/>
      <c r="N119" s="15"/>
    </row>
    <row r="120" spans="2:14" x14ac:dyDescent="0.3">
      <c r="B120" s="44">
        <v>46046</v>
      </c>
      <c r="C120" s="3" t="s">
        <v>416</v>
      </c>
      <c r="D120" s="3" t="s">
        <v>61</v>
      </c>
      <c r="E120" s="101"/>
      <c r="F120" s="3" t="s">
        <v>596</v>
      </c>
      <c r="G120" s="4" t="s">
        <v>556</v>
      </c>
      <c r="H120" s="4" t="s">
        <v>332</v>
      </c>
      <c r="I120" s="4">
        <v>3199206</v>
      </c>
      <c r="K120" s="3"/>
      <c r="L120" s="74"/>
      <c r="M120" s="32"/>
      <c r="N120" s="15"/>
    </row>
    <row r="121" spans="2:14" x14ac:dyDescent="0.3">
      <c r="B121" s="44">
        <v>46046</v>
      </c>
      <c r="C121" s="3" t="s">
        <v>416</v>
      </c>
      <c r="D121" s="3" t="s">
        <v>61</v>
      </c>
      <c r="E121" s="101"/>
      <c r="F121" s="3" t="s">
        <v>304</v>
      </c>
      <c r="G121" s="4">
        <v>3204404</v>
      </c>
      <c r="H121" s="4" t="s">
        <v>335</v>
      </c>
      <c r="I121" s="4">
        <v>3194201</v>
      </c>
      <c r="K121" s="73"/>
      <c r="L121" s="15"/>
      <c r="M121" s="73"/>
      <c r="N121" s="15"/>
    </row>
    <row r="122" spans="2:14" x14ac:dyDescent="0.3">
      <c r="B122" s="44">
        <v>46046</v>
      </c>
      <c r="C122" s="3" t="s">
        <v>416</v>
      </c>
      <c r="D122" s="3" t="s">
        <v>61</v>
      </c>
      <c r="E122" s="101"/>
      <c r="F122" s="106" t="s">
        <v>367</v>
      </c>
      <c r="G122" s="106">
        <v>3208806</v>
      </c>
      <c r="H122" s="4" t="s">
        <v>308</v>
      </c>
      <c r="I122" s="4">
        <v>3199300</v>
      </c>
      <c r="K122" s="73"/>
      <c r="L122" s="15"/>
      <c r="M122" s="73"/>
      <c r="N122" s="15"/>
    </row>
    <row r="123" spans="2:14" x14ac:dyDescent="0.3">
      <c r="B123" s="4"/>
      <c r="E123" s="101"/>
      <c r="F123" s="4"/>
      <c r="G123" s="3"/>
      <c r="I123" s="3"/>
      <c r="K123" s="4"/>
      <c r="L123" s="4"/>
      <c r="M123" s="4"/>
      <c r="N123" s="4"/>
    </row>
    <row r="124" spans="2:14" x14ac:dyDescent="0.3">
      <c r="B124" s="44">
        <v>46053</v>
      </c>
      <c r="C124" s="3" t="s">
        <v>416</v>
      </c>
      <c r="D124" s="3" t="s">
        <v>61</v>
      </c>
      <c r="E124" s="101"/>
      <c r="F124" s="3" t="s">
        <v>307</v>
      </c>
      <c r="G124" s="4">
        <v>3201907</v>
      </c>
      <c r="H124" s="4" t="s">
        <v>301</v>
      </c>
      <c r="I124" s="4">
        <v>3210300</v>
      </c>
      <c r="K124" s="73"/>
      <c r="L124" s="15"/>
      <c r="M124" s="73"/>
      <c r="N124" s="15"/>
    </row>
    <row r="125" spans="2:14" x14ac:dyDescent="0.3">
      <c r="B125" s="44">
        <v>46053</v>
      </c>
      <c r="C125" s="3" t="s">
        <v>416</v>
      </c>
      <c r="D125" s="3" t="s">
        <v>61</v>
      </c>
      <c r="E125" s="101"/>
      <c r="F125" s="3" t="s">
        <v>306</v>
      </c>
      <c r="G125" s="4">
        <v>3202604</v>
      </c>
      <c r="H125" s="73" t="s">
        <v>302</v>
      </c>
      <c r="I125" s="4">
        <v>3208400</v>
      </c>
      <c r="K125" s="32"/>
      <c r="L125" s="15"/>
      <c r="M125" s="73"/>
      <c r="N125" s="15"/>
    </row>
    <row r="126" spans="2:14" x14ac:dyDescent="0.3">
      <c r="B126" s="44">
        <v>46053</v>
      </c>
      <c r="C126" s="3" t="s">
        <v>416</v>
      </c>
      <c r="D126" s="3" t="s">
        <v>61</v>
      </c>
      <c r="E126" s="101"/>
      <c r="F126" s="4" t="s">
        <v>332</v>
      </c>
      <c r="G126" s="4">
        <v>3199206</v>
      </c>
      <c r="H126" s="3" t="s">
        <v>309</v>
      </c>
      <c r="I126" s="4">
        <v>3082104</v>
      </c>
      <c r="K126" s="73"/>
      <c r="L126" s="15"/>
      <c r="M126" s="73"/>
      <c r="N126" s="15"/>
    </row>
    <row r="127" spans="2:14" x14ac:dyDescent="0.3">
      <c r="B127" s="44">
        <v>46053</v>
      </c>
      <c r="C127" s="3" t="s">
        <v>416</v>
      </c>
      <c r="D127" s="3" t="s">
        <v>61</v>
      </c>
      <c r="E127" s="101"/>
      <c r="F127" s="4" t="s">
        <v>308</v>
      </c>
      <c r="G127" s="4">
        <v>3199300</v>
      </c>
      <c r="H127" s="3" t="s">
        <v>596</v>
      </c>
      <c r="I127" s="4" t="s">
        <v>556</v>
      </c>
      <c r="K127" s="32"/>
      <c r="L127" s="15"/>
      <c r="M127" s="73"/>
      <c r="N127" s="15"/>
    </row>
    <row r="128" spans="2:14" x14ac:dyDescent="0.3">
      <c r="B128" s="44">
        <v>46053</v>
      </c>
      <c r="C128" s="3" t="s">
        <v>416</v>
      </c>
      <c r="D128" s="3" t="s">
        <v>61</v>
      </c>
      <c r="E128" s="101"/>
      <c r="F128" s="4" t="s">
        <v>335</v>
      </c>
      <c r="G128" s="4">
        <v>3194201</v>
      </c>
      <c r="H128" s="106" t="s">
        <v>367</v>
      </c>
      <c r="I128" s="106">
        <v>3208806</v>
      </c>
      <c r="K128" s="3"/>
      <c r="L128" s="74"/>
      <c r="M128" s="73"/>
      <c r="N128" s="15"/>
    </row>
    <row r="129" spans="2:14" x14ac:dyDescent="0.3">
      <c r="B129" s="44">
        <v>46053</v>
      </c>
      <c r="C129" s="3" t="s">
        <v>416</v>
      </c>
      <c r="D129" s="3" t="s">
        <v>61</v>
      </c>
      <c r="E129" s="101"/>
      <c r="F129" s="4" t="s">
        <v>330</v>
      </c>
      <c r="G129" s="4">
        <v>3205309</v>
      </c>
      <c r="H129" s="3" t="s">
        <v>304</v>
      </c>
      <c r="I129" s="4">
        <v>3204404</v>
      </c>
      <c r="K129" s="73"/>
      <c r="L129" s="74"/>
      <c r="M129" s="73"/>
      <c r="N129" s="15"/>
    </row>
    <row r="130" spans="2:14" x14ac:dyDescent="0.3">
      <c r="B130" s="4"/>
      <c r="E130" s="101"/>
      <c r="F130" s="4"/>
      <c r="G130" s="3"/>
      <c r="I130" s="3"/>
      <c r="K130" s="4"/>
      <c r="L130" s="4"/>
      <c r="M130" s="4"/>
      <c r="N130" s="4"/>
    </row>
    <row r="131" spans="2:14" x14ac:dyDescent="0.3">
      <c r="B131" s="44">
        <v>46060</v>
      </c>
      <c r="C131" s="3" t="s">
        <v>416</v>
      </c>
      <c r="D131" s="3" t="s">
        <v>61</v>
      </c>
      <c r="E131" s="101"/>
      <c r="F131" s="4" t="s">
        <v>309</v>
      </c>
      <c r="G131" s="4">
        <v>3082104</v>
      </c>
      <c r="H131" s="4" t="s">
        <v>308</v>
      </c>
      <c r="I131" s="4">
        <v>3199300</v>
      </c>
      <c r="K131" s="73"/>
      <c r="L131" s="15"/>
      <c r="N131" s="74"/>
    </row>
    <row r="132" spans="2:14" x14ac:dyDescent="0.3">
      <c r="B132" s="44">
        <v>46060</v>
      </c>
      <c r="C132" s="3" t="s">
        <v>416</v>
      </c>
      <c r="D132" s="3" t="s">
        <v>61</v>
      </c>
      <c r="E132" s="101"/>
      <c r="F132" s="4" t="s">
        <v>301</v>
      </c>
      <c r="G132" s="4">
        <v>3210300</v>
      </c>
      <c r="H132" s="4" t="s">
        <v>332</v>
      </c>
      <c r="I132" s="4">
        <v>3199206</v>
      </c>
      <c r="K132" s="73"/>
      <c r="L132" s="15"/>
      <c r="M132" s="73"/>
      <c r="N132" s="15"/>
    </row>
    <row r="133" spans="2:14" x14ac:dyDescent="0.3">
      <c r="B133" s="44">
        <v>46060</v>
      </c>
      <c r="C133" s="3" t="s">
        <v>416</v>
      </c>
      <c r="D133" s="3" t="s">
        <v>61</v>
      </c>
      <c r="E133" s="101"/>
      <c r="F133" s="73" t="s">
        <v>302</v>
      </c>
      <c r="G133" s="4">
        <v>3208400</v>
      </c>
      <c r="H133" s="3" t="s">
        <v>307</v>
      </c>
      <c r="I133" s="4">
        <v>3201907</v>
      </c>
      <c r="K133" s="73"/>
      <c r="L133" s="15"/>
      <c r="M133" s="32"/>
      <c r="N133" s="15"/>
    </row>
    <row r="134" spans="2:14" x14ac:dyDescent="0.3">
      <c r="B134" s="44">
        <v>46060</v>
      </c>
      <c r="C134" s="3" t="s">
        <v>416</v>
      </c>
      <c r="D134" s="3" t="s">
        <v>61</v>
      </c>
      <c r="E134" s="101"/>
      <c r="F134" s="3" t="s">
        <v>596</v>
      </c>
      <c r="G134" s="4" t="s">
        <v>556</v>
      </c>
      <c r="H134" s="4" t="s">
        <v>335</v>
      </c>
      <c r="I134" s="4">
        <v>3194201</v>
      </c>
      <c r="K134" s="73"/>
      <c r="L134" s="15"/>
      <c r="M134" s="32"/>
      <c r="N134" s="15"/>
    </row>
    <row r="135" spans="2:14" x14ac:dyDescent="0.3">
      <c r="B135" s="44">
        <v>46060</v>
      </c>
      <c r="C135" s="3" t="s">
        <v>416</v>
      </c>
      <c r="D135" s="3" t="s">
        <v>61</v>
      </c>
      <c r="E135" s="101"/>
      <c r="F135" s="3" t="s">
        <v>304</v>
      </c>
      <c r="G135" s="4">
        <v>3204404</v>
      </c>
      <c r="H135" s="3" t="s">
        <v>306</v>
      </c>
      <c r="I135" s="4">
        <v>3202604</v>
      </c>
      <c r="K135" s="73"/>
      <c r="L135" s="15"/>
      <c r="M135" s="73"/>
      <c r="N135" s="15"/>
    </row>
    <row r="136" spans="2:14" x14ac:dyDescent="0.3">
      <c r="B136" s="44">
        <v>46060</v>
      </c>
      <c r="C136" s="3" t="s">
        <v>416</v>
      </c>
      <c r="D136" s="3" t="s">
        <v>61</v>
      </c>
      <c r="E136" s="101"/>
      <c r="F136" s="106" t="s">
        <v>367</v>
      </c>
      <c r="G136" s="106">
        <v>3208806</v>
      </c>
      <c r="H136" s="4" t="s">
        <v>330</v>
      </c>
      <c r="I136" s="4">
        <v>3205309</v>
      </c>
      <c r="K136" s="73"/>
      <c r="L136" s="74"/>
      <c r="M136" s="73"/>
      <c r="N136" s="15"/>
    </row>
    <row r="137" spans="2:14" x14ac:dyDescent="0.3">
      <c r="B137" s="4"/>
      <c r="E137" s="101"/>
      <c r="F137" s="4"/>
      <c r="G137" s="3"/>
      <c r="I137" s="3"/>
      <c r="K137" s="4"/>
      <c r="L137" s="4"/>
      <c r="M137" s="4"/>
      <c r="N137" s="4"/>
    </row>
    <row r="138" spans="2:14" x14ac:dyDescent="0.3">
      <c r="B138" s="44">
        <v>46074</v>
      </c>
      <c r="C138" s="3" t="s">
        <v>416</v>
      </c>
      <c r="D138" s="3" t="s">
        <v>61</v>
      </c>
      <c r="E138" s="101"/>
      <c r="F138" s="3" t="s">
        <v>307</v>
      </c>
      <c r="G138" s="4">
        <v>3201907</v>
      </c>
      <c r="H138" s="4" t="s">
        <v>332</v>
      </c>
      <c r="I138" s="4">
        <v>3199206</v>
      </c>
      <c r="K138" s="73"/>
      <c r="L138" s="15"/>
      <c r="M138" s="73"/>
      <c r="N138" s="15"/>
    </row>
    <row r="139" spans="2:14" x14ac:dyDescent="0.3">
      <c r="B139" s="44">
        <v>46074</v>
      </c>
      <c r="C139" s="3" t="s">
        <v>416</v>
      </c>
      <c r="D139" s="3" t="s">
        <v>61</v>
      </c>
      <c r="E139" s="101"/>
      <c r="F139" s="3" t="s">
        <v>306</v>
      </c>
      <c r="G139" s="4">
        <v>3202604</v>
      </c>
      <c r="H139" s="106" t="s">
        <v>367</v>
      </c>
      <c r="I139" s="106">
        <v>3208806</v>
      </c>
      <c r="K139" s="32"/>
      <c r="L139" s="15"/>
      <c r="M139" s="73"/>
      <c r="N139" s="15"/>
    </row>
    <row r="140" spans="2:14" x14ac:dyDescent="0.3">
      <c r="B140" s="44">
        <v>46074</v>
      </c>
      <c r="C140" s="3" t="s">
        <v>416</v>
      </c>
      <c r="D140" s="3" t="s">
        <v>61</v>
      </c>
      <c r="E140" s="101"/>
      <c r="F140" s="73" t="s">
        <v>302</v>
      </c>
      <c r="G140" s="4">
        <v>3208400</v>
      </c>
      <c r="H140" s="3" t="s">
        <v>304</v>
      </c>
      <c r="I140" s="4">
        <v>3204404</v>
      </c>
      <c r="K140" s="73"/>
      <c r="L140" s="15"/>
      <c r="M140" s="73"/>
      <c r="N140" s="15"/>
    </row>
    <row r="141" spans="2:14" x14ac:dyDescent="0.3">
      <c r="B141" s="44">
        <v>46074</v>
      </c>
      <c r="C141" s="3" t="s">
        <v>416</v>
      </c>
      <c r="D141" s="3" t="s">
        <v>61</v>
      </c>
      <c r="E141" s="101"/>
      <c r="F141" s="4" t="s">
        <v>308</v>
      </c>
      <c r="G141" s="4">
        <v>3199300</v>
      </c>
      <c r="H141" s="4" t="s">
        <v>301</v>
      </c>
      <c r="I141" s="4">
        <v>3210300</v>
      </c>
      <c r="K141" s="73"/>
      <c r="L141" s="15"/>
      <c r="M141" s="73"/>
      <c r="N141" s="15"/>
    </row>
    <row r="142" spans="2:14" x14ac:dyDescent="0.3">
      <c r="B142" s="44">
        <v>46074</v>
      </c>
      <c r="C142" s="3" t="s">
        <v>416</v>
      </c>
      <c r="D142" s="3" t="s">
        <v>61</v>
      </c>
      <c r="E142" s="101"/>
      <c r="F142" s="4" t="s">
        <v>335</v>
      </c>
      <c r="G142" s="4">
        <v>3194201</v>
      </c>
      <c r="H142" s="3" t="s">
        <v>309</v>
      </c>
      <c r="I142" s="4">
        <v>3082104</v>
      </c>
      <c r="K142" s="32"/>
      <c r="L142" s="15"/>
      <c r="M142" s="73"/>
      <c r="N142" s="74"/>
    </row>
    <row r="143" spans="2:14" x14ac:dyDescent="0.3">
      <c r="B143" s="44">
        <v>46074</v>
      </c>
      <c r="C143" s="3" t="s">
        <v>416</v>
      </c>
      <c r="D143" s="3" t="s">
        <v>61</v>
      </c>
      <c r="E143" s="101"/>
      <c r="F143" s="4" t="s">
        <v>330</v>
      </c>
      <c r="G143" s="4">
        <v>3205309</v>
      </c>
      <c r="H143" s="3" t="s">
        <v>596</v>
      </c>
      <c r="I143" s="4" t="s">
        <v>556</v>
      </c>
      <c r="K143" s="3"/>
      <c r="L143" s="74"/>
      <c r="M143" s="73"/>
      <c r="N143" s="15"/>
    </row>
    <row r="144" spans="2:14" x14ac:dyDescent="0.3">
      <c r="B144" s="4"/>
      <c r="E144" s="101"/>
      <c r="F144" s="4"/>
      <c r="G144" s="3"/>
      <c r="I144" s="3"/>
      <c r="K144" s="4"/>
      <c r="L144" s="4"/>
      <c r="M144" s="4"/>
      <c r="N144" s="4"/>
    </row>
    <row r="145" spans="2:14" x14ac:dyDescent="0.3">
      <c r="B145" s="44">
        <v>46081</v>
      </c>
      <c r="C145" s="3" t="s">
        <v>416</v>
      </c>
      <c r="D145" s="3" t="s">
        <v>61</v>
      </c>
      <c r="E145" s="101"/>
      <c r="F145" s="4" t="s">
        <v>309</v>
      </c>
      <c r="G145" s="4">
        <v>3082104</v>
      </c>
      <c r="H145" s="4" t="s">
        <v>330</v>
      </c>
      <c r="I145" s="4">
        <v>3205309</v>
      </c>
      <c r="K145" s="73"/>
      <c r="L145" s="15"/>
      <c r="M145" s="73"/>
      <c r="N145" s="15"/>
    </row>
    <row r="146" spans="2:14" x14ac:dyDescent="0.3">
      <c r="B146" s="44">
        <v>46081</v>
      </c>
      <c r="C146" s="3" t="s">
        <v>416</v>
      </c>
      <c r="D146" s="3" t="s">
        <v>61</v>
      </c>
      <c r="E146" s="101"/>
      <c r="F146" s="4" t="s">
        <v>301</v>
      </c>
      <c r="G146" s="4">
        <v>3210300</v>
      </c>
      <c r="H146" s="4" t="s">
        <v>335</v>
      </c>
      <c r="I146" s="4">
        <v>3194201</v>
      </c>
      <c r="K146" s="73"/>
      <c r="L146" s="15"/>
      <c r="M146" s="73"/>
      <c r="N146" s="74"/>
    </row>
    <row r="147" spans="2:14" x14ac:dyDescent="0.3">
      <c r="B147" s="44">
        <v>46081</v>
      </c>
      <c r="C147" s="3" t="s">
        <v>416</v>
      </c>
      <c r="D147" s="3" t="s">
        <v>61</v>
      </c>
      <c r="E147" s="101"/>
      <c r="F147" s="4" t="s">
        <v>332</v>
      </c>
      <c r="G147" s="4">
        <v>3199206</v>
      </c>
      <c r="H147" s="4" t="s">
        <v>308</v>
      </c>
      <c r="I147" s="4">
        <v>3199300</v>
      </c>
      <c r="J147" s="4"/>
      <c r="K147" s="74"/>
      <c r="L147" s="15"/>
      <c r="M147" s="32"/>
      <c r="N147" s="15"/>
    </row>
    <row r="148" spans="2:14" x14ac:dyDescent="0.3">
      <c r="B148" s="44">
        <v>46081</v>
      </c>
      <c r="C148" s="3" t="s">
        <v>416</v>
      </c>
      <c r="D148" s="3" t="s">
        <v>61</v>
      </c>
      <c r="E148" s="101"/>
      <c r="F148" s="3" t="s">
        <v>596</v>
      </c>
      <c r="G148" s="4" t="s">
        <v>556</v>
      </c>
      <c r="H148" s="3" t="s">
        <v>306</v>
      </c>
      <c r="I148" s="4">
        <v>3202604</v>
      </c>
      <c r="K148" s="73"/>
      <c r="L148" s="15"/>
      <c r="M148" s="73"/>
      <c r="N148" s="15"/>
    </row>
    <row r="149" spans="2:14" x14ac:dyDescent="0.3">
      <c r="B149" s="44">
        <v>46081</v>
      </c>
      <c r="C149" s="3" t="s">
        <v>416</v>
      </c>
      <c r="D149" s="3" t="s">
        <v>61</v>
      </c>
      <c r="E149" s="101"/>
      <c r="F149" s="3" t="s">
        <v>304</v>
      </c>
      <c r="G149" s="4">
        <v>3204404</v>
      </c>
      <c r="H149" s="3" t="s">
        <v>307</v>
      </c>
      <c r="I149" s="4">
        <v>3201907</v>
      </c>
      <c r="K149" s="73"/>
      <c r="L149" s="15"/>
      <c r="N149" s="74"/>
    </row>
    <row r="150" spans="2:14" x14ac:dyDescent="0.3">
      <c r="B150" s="44">
        <v>46081</v>
      </c>
      <c r="C150" s="3" t="s">
        <v>416</v>
      </c>
      <c r="D150" s="3" t="s">
        <v>61</v>
      </c>
      <c r="E150" s="101"/>
      <c r="F150" s="106" t="s">
        <v>367</v>
      </c>
      <c r="G150" s="106">
        <v>3208806</v>
      </c>
      <c r="H150" s="73" t="s">
        <v>302</v>
      </c>
      <c r="I150" s="4">
        <v>3208400</v>
      </c>
      <c r="K150" s="73"/>
      <c r="L150" s="15"/>
      <c r="M150" s="32"/>
      <c r="N150" s="15"/>
    </row>
    <row r="151" spans="2:14" x14ac:dyDescent="0.3">
      <c r="B151" s="4"/>
      <c r="E151" s="101"/>
      <c r="F151" s="4"/>
      <c r="G151" s="3"/>
      <c r="I151" s="3"/>
      <c r="K151" s="4"/>
      <c r="L151" s="4"/>
      <c r="M151" s="4"/>
      <c r="N151" s="4"/>
    </row>
    <row r="152" spans="2:14" x14ac:dyDescent="0.3">
      <c r="B152" s="44">
        <v>46088</v>
      </c>
      <c r="C152" s="3" t="s">
        <v>416</v>
      </c>
      <c r="D152" s="3" t="s">
        <v>61</v>
      </c>
      <c r="E152" s="101"/>
      <c r="F152" s="3" t="s">
        <v>307</v>
      </c>
      <c r="G152" s="4">
        <v>3201907</v>
      </c>
      <c r="H152" s="4" t="s">
        <v>308</v>
      </c>
      <c r="I152" s="4">
        <v>3199300</v>
      </c>
      <c r="K152" s="32"/>
      <c r="L152" s="15"/>
      <c r="M152" s="73"/>
      <c r="N152" s="15"/>
    </row>
    <row r="153" spans="2:14" x14ac:dyDescent="0.3">
      <c r="B153" s="44">
        <v>46088</v>
      </c>
      <c r="C153" s="3" t="s">
        <v>416</v>
      </c>
      <c r="D153" s="3" t="s">
        <v>61</v>
      </c>
      <c r="E153" s="101"/>
      <c r="F153" s="3" t="s">
        <v>306</v>
      </c>
      <c r="G153" s="4">
        <v>3202604</v>
      </c>
      <c r="H153" s="3" t="s">
        <v>309</v>
      </c>
      <c r="I153" s="4">
        <v>3082104</v>
      </c>
      <c r="K153" s="73"/>
      <c r="L153" s="15"/>
      <c r="M153" s="73"/>
      <c r="N153" s="15"/>
    </row>
    <row r="154" spans="2:14" x14ac:dyDescent="0.3">
      <c r="B154" s="44">
        <v>46088</v>
      </c>
      <c r="C154" s="3" t="s">
        <v>416</v>
      </c>
      <c r="D154" s="3" t="s">
        <v>61</v>
      </c>
      <c r="E154" s="101"/>
      <c r="F154" s="73" t="s">
        <v>302</v>
      </c>
      <c r="G154" s="4">
        <v>3208400</v>
      </c>
      <c r="H154" s="3" t="s">
        <v>596</v>
      </c>
      <c r="I154" s="4" t="s">
        <v>556</v>
      </c>
      <c r="K154" s="73"/>
      <c r="L154" s="74"/>
      <c r="M154" s="73"/>
      <c r="N154" s="15"/>
    </row>
    <row r="155" spans="2:14" x14ac:dyDescent="0.3">
      <c r="B155" s="44">
        <v>46088</v>
      </c>
      <c r="C155" s="3" t="s">
        <v>416</v>
      </c>
      <c r="D155" s="3" t="s">
        <v>61</v>
      </c>
      <c r="E155" s="101"/>
      <c r="F155" s="4" t="s">
        <v>335</v>
      </c>
      <c r="G155" s="4">
        <v>3194201</v>
      </c>
      <c r="H155" s="4" t="s">
        <v>332</v>
      </c>
      <c r="I155" s="4">
        <v>3199206</v>
      </c>
      <c r="K155" s="73"/>
      <c r="L155" s="15"/>
      <c r="M155" s="32"/>
      <c r="N155" s="15"/>
    </row>
    <row r="156" spans="2:14" x14ac:dyDescent="0.3">
      <c r="B156" s="44">
        <v>46088</v>
      </c>
      <c r="C156" s="3" t="s">
        <v>416</v>
      </c>
      <c r="D156" s="3" t="s">
        <v>61</v>
      </c>
      <c r="E156" s="101"/>
      <c r="F156" s="4" t="s">
        <v>330</v>
      </c>
      <c r="G156" s="4">
        <v>3205309</v>
      </c>
      <c r="H156" s="4" t="s">
        <v>301</v>
      </c>
      <c r="I156" s="4">
        <v>3210300</v>
      </c>
      <c r="K156" s="3"/>
      <c r="L156" s="74"/>
      <c r="M156" s="73"/>
      <c r="N156" s="15"/>
    </row>
    <row r="157" spans="2:14" x14ac:dyDescent="0.3">
      <c r="B157" s="44">
        <v>46088</v>
      </c>
      <c r="C157" s="3" t="s">
        <v>416</v>
      </c>
      <c r="D157" s="3" t="s">
        <v>61</v>
      </c>
      <c r="E157" s="101"/>
      <c r="F157" s="3" t="s">
        <v>304</v>
      </c>
      <c r="G157" s="4">
        <v>3204404</v>
      </c>
      <c r="H157" s="106" t="s">
        <v>367</v>
      </c>
      <c r="I157" s="106">
        <v>3208806</v>
      </c>
      <c r="K157" s="73"/>
      <c r="L157" s="15"/>
      <c r="M157" s="73"/>
      <c r="N157" s="15"/>
    </row>
    <row r="158" spans="2:14" x14ac:dyDescent="0.3">
      <c r="B158" s="4"/>
      <c r="E158" s="101"/>
      <c r="F158" s="4"/>
      <c r="G158" s="3"/>
      <c r="I158" s="3"/>
      <c r="K158" s="4"/>
      <c r="L158" s="4"/>
      <c r="M158" s="4"/>
      <c r="N158" s="4"/>
    </row>
    <row r="159" spans="2:14" x14ac:dyDescent="0.3">
      <c r="B159" s="44">
        <v>46095</v>
      </c>
      <c r="C159" s="3" t="s">
        <v>416</v>
      </c>
      <c r="D159" s="3" t="s">
        <v>61</v>
      </c>
      <c r="E159" s="101"/>
      <c r="F159" s="4" t="s">
        <v>309</v>
      </c>
      <c r="G159" s="4">
        <v>3082104</v>
      </c>
      <c r="H159" s="73" t="s">
        <v>302</v>
      </c>
      <c r="I159" s="4">
        <v>3208400</v>
      </c>
      <c r="K159" s="73"/>
      <c r="L159" s="15"/>
      <c r="M159" s="73"/>
      <c r="N159" s="15"/>
    </row>
    <row r="160" spans="2:14" x14ac:dyDescent="0.3">
      <c r="B160" s="44">
        <v>46095</v>
      </c>
      <c r="C160" s="3" t="s">
        <v>416</v>
      </c>
      <c r="D160" s="3" t="s">
        <v>61</v>
      </c>
      <c r="E160" s="101"/>
      <c r="F160" s="4" t="s">
        <v>301</v>
      </c>
      <c r="G160" s="4">
        <v>3210300</v>
      </c>
      <c r="H160" s="3" t="s">
        <v>306</v>
      </c>
      <c r="I160" s="4">
        <v>3202604</v>
      </c>
      <c r="K160" s="73"/>
      <c r="L160" s="15"/>
      <c r="M160" s="73"/>
      <c r="N160" s="15"/>
    </row>
    <row r="161" spans="2:14" x14ac:dyDescent="0.3">
      <c r="B161" s="44">
        <v>46095</v>
      </c>
      <c r="C161" s="3" t="s">
        <v>416</v>
      </c>
      <c r="D161" s="3" t="s">
        <v>61</v>
      </c>
      <c r="E161" s="101"/>
      <c r="F161" s="4" t="s">
        <v>332</v>
      </c>
      <c r="G161" s="4">
        <v>3199206</v>
      </c>
      <c r="H161" s="4" t="s">
        <v>330</v>
      </c>
      <c r="I161" s="4">
        <v>3205309</v>
      </c>
      <c r="K161" s="73"/>
      <c r="L161" s="15"/>
      <c r="N161" s="74"/>
    </row>
    <row r="162" spans="2:14" x14ac:dyDescent="0.3">
      <c r="B162" s="44">
        <v>46095</v>
      </c>
      <c r="C162" s="3" t="s">
        <v>416</v>
      </c>
      <c r="D162" s="3" t="s">
        <v>61</v>
      </c>
      <c r="E162" s="101"/>
      <c r="F162" s="4" t="s">
        <v>308</v>
      </c>
      <c r="G162" s="4">
        <v>3199300</v>
      </c>
      <c r="H162" s="4" t="s">
        <v>335</v>
      </c>
      <c r="I162" s="4">
        <v>3194201</v>
      </c>
      <c r="K162" s="73"/>
      <c r="L162" s="15"/>
      <c r="M162" s="73"/>
      <c r="N162" s="15"/>
    </row>
    <row r="163" spans="2:14" x14ac:dyDescent="0.3">
      <c r="B163" s="44">
        <v>46095</v>
      </c>
      <c r="C163" s="3" t="s">
        <v>416</v>
      </c>
      <c r="D163" s="3" t="s">
        <v>61</v>
      </c>
      <c r="E163" s="101"/>
      <c r="F163" s="3" t="s">
        <v>596</v>
      </c>
      <c r="G163" s="4" t="s">
        <v>556</v>
      </c>
      <c r="H163" s="3" t="s">
        <v>304</v>
      </c>
      <c r="I163" s="4">
        <v>3204404</v>
      </c>
      <c r="K163" s="32"/>
      <c r="L163" s="15"/>
      <c r="M163" s="73"/>
      <c r="N163" s="15"/>
    </row>
    <row r="164" spans="2:14" x14ac:dyDescent="0.3">
      <c r="B164" s="44">
        <v>46095</v>
      </c>
      <c r="C164" s="3" t="s">
        <v>416</v>
      </c>
      <c r="D164" s="3" t="s">
        <v>61</v>
      </c>
      <c r="E164" s="101"/>
      <c r="F164" s="106" t="s">
        <v>367</v>
      </c>
      <c r="G164" s="106">
        <v>3208806</v>
      </c>
      <c r="H164" s="3" t="s">
        <v>307</v>
      </c>
      <c r="I164" s="4">
        <v>3201907</v>
      </c>
      <c r="K164" s="73"/>
      <c r="L164" s="74"/>
      <c r="M164" s="32"/>
      <c r="N164" s="15"/>
    </row>
    <row r="165" spans="2:14" x14ac:dyDescent="0.3">
      <c r="B165" s="4"/>
      <c r="E165" s="101"/>
      <c r="F165" s="4"/>
      <c r="G165" s="3"/>
      <c r="I165" s="3"/>
      <c r="K165" s="4"/>
      <c r="L165" s="4"/>
      <c r="M165" s="4"/>
      <c r="N165" s="4"/>
    </row>
    <row r="166" spans="2:14" x14ac:dyDescent="0.3">
      <c r="B166" s="44">
        <v>46102</v>
      </c>
      <c r="C166" s="3" t="s">
        <v>416</v>
      </c>
      <c r="D166" s="3" t="s">
        <v>61</v>
      </c>
      <c r="E166" s="101"/>
      <c r="F166" s="3" t="s">
        <v>307</v>
      </c>
      <c r="G166" s="4">
        <v>3201907</v>
      </c>
      <c r="H166" s="4" t="s">
        <v>335</v>
      </c>
      <c r="I166" s="4">
        <v>3194201</v>
      </c>
      <c r="K166" s="32"/>
      <c r="L166" s="15"/>
      <c r="M166" s="73"/>
      <c r="N166" s="15"/>
    </row>
    <row r="167" spans="2:14" x14ac:dyDescent="0.3">
      <c r="B167" s="44">
        <v>46102</v>
      </c>
      <c r="C167" s="3" t="s">
        <v>416</v>
      </c>
      <c r="D167" s="3" t="s">
        <v>61</v>
      </c>
      <c r="E167" s="101"/>
      <c r="F167" s="3" t="s">
        <v>306</v>
      </c>
      <c r="G167" s="4">
        <v>3202604</v>
      </c>
      <c r="H167" s="4" t="s">
        <v>332</v>
      </c>
      <c r="I167" s="4">
        <v>3199206</v>
      </c>
      <c r="K167" s="73"/>
      <c r="L167" s="15"/>
      <c r="M167" s="73"/>
      <c r="N167" s="15"/>
    </row>
    <row r="168" spans="2:14" x14ac:dyDescent="0.3">
      <c r="B168" s="44">
        <v>46102</v>
      </c>
      <c r="C168" s="3" t="s">
        <v>416</v>
      </c>
      <c r="D168" s="3" t="s">
        <v>61</v>
      </c>
      <c r="E168" s="101"/>
      <c r="F168" s="73" t="s">
        <v>302</v>
      </c>
      <c r="G168" s="4">
        <v>3208400</v>
      </c>
      <c r="H168" s="4" t="s">
        <v>301</v>
      </c>
      <c r="I168" s="4">
        <v>3210300</v>
      </c>
      <c r="K168" s="32"/>
      <c r="L168" s="15"/>
      <c r="M168" s="73"/>
      <c r="N168" s="15"/>
    </row>
    <row r="169" spans="2:14" x14ac:dyDescent="0.3">
      <c r="B169" s="44">
        <v>46102</v>
      </c>
      <c r="C169" s="3" t="s">
        <v>416</v>
      </c>
      <c r="D169" s="3" t="s">
        <v>61</v>
      </c>
      <c r="E169" s="101"/>
      <c r="F169" s="4" t="s">
        <v>330</v>
      </c>
      <c r="G169" s="4">
        <v>3205309</v>
      </c>
      <c r="H169" s="4" t="s">
        <v>308</v>
      </c>
      <c r="I169" s="4">
        <v>3199300</v>
      </c>
      <c r="K169" s="3"/>
      <c r="L169" s="74"/>
      <c r="M169" s="73"/>
      <c r="N169" s="74"/>
    </row>
    <row r="170" spans="2:14" x14ac:dyDescent="0.3">
      <c r="B170" s="44">
        <v>46102</v>
      </c>
      <c r="C170" s="3" t="s">
        <v>416</v>
      </c>
      <c r="D170" s="3" t="s">
        <v>61</v>
      </c>
      <c r="E170" s="101"/>
      <c r="F170" s="3" t="s">
        <v>304</v>
      </c>
      <c r="G170" s="4">
        <v>3204404</v>
      </c>
      <c r="H170" s="3" t="s">
        <v>309</v>
      </c>
      <c r="I170" s="4">
        <v>3082104</v>
      </c>
      <c r="K170" s="73"/>
      <c r="L170" s="15"/>
      <c r="M170" s="73"/>
      <c r="N170" s="15"/>
    </row>
    <row r="171" spans="2:14" x14ac:dyDescent="0.3">
      <c r="B171" s="44">
        <v>46102</v>
      </c>
      <c r="C171" s="3" t="s">
        <v>416</v>
      </c>
      <c r="D171" s="3" t="s">
        <v>61</v>
      </c>
      <c r="E171" s="101"/>
      <c r="F171" s="106" t="s">
        <v>367</v>
      </c>
      <c r="G171" s="106">
        <v>3208806</v>
      </c>
      <c r="H171" s="3" t="s">
        <v>596</v>
      </c>
      <c r="I171" s="4" t="s">
        <v>556</v>
      </c>
      <c r="K171" s="73"/>
      <c r="L171" s="15"/>
      <c r="M171" s="73"/>
      <c r="N171" s="15"/>
    </row>
    <row r="172" spans="2:14" x14ac:dyDescent="0.3">
      <c r="B172" s="4"/>
      <c r="E172" s="101"/>
      <c r="F172" s="4"/>
      <c r="G172" s="3"/>
      <c r="I172" s="3"/>
      <c r="K172" s="4"/>
      <c r="L172" s="4"/>
      <c r="M172" s="4"/>
      <c r="N172" s="4"/>
    </row>
    <row r="173" spans="2:14" x14ac:dyDescent="0.3">
      <c r="B173" s="44">
        <v>46109</v>
      </c>
      <c r="C173" s="3" t="s">
        <v>416</v>
      </c>
      <c r="D173" s="3" t="s">
        <v>61</v>
      </c>
      <c r="E173" s="101"/>
      <c r="F173" s="4" t="s">
        <v>309</v>
      </c>
      <c r="G173" s="4">
        <v>3082104</v>
      </c>
      <c r="H173" s="106" t="s">
        <v>367</v>
      </c>
      <c r="I173" s="106">
        <v>3208806</v>
      </c>
      <c r="K173" s="73"/>
      <c r="L173" s="15"/>
      <c r="M173" s="32"/>
      <c r="N173" s="15"/>
    </row>
    <row r="174" spans="2:14" x14ac:dyDescent="0.3">
      <c r="B174" s="44">
        <v>46109</v>
      </c>
      <c r="C174" s="3" t="s">
        <v>416</v>
      </c>
      <c r="D174" s="3" t="s">
        <v>61</v>
      </c>
      <c r="E174" s="101"/>
      <c r="F174" s="4" t="s">
        <v>301</v>
      </c>
      <c r="G174" s="4">
        <v>3210300</v>
      </c>
      <c r="H174" s="3" t="s">
        <v>304</v>
      </c>
      <c r="I174" s="4">
        <v>3204404</v>
      </c>
      <c r="K174" s="73"/>
      <c r="L174" s="15"/>
      <c r="N174" s="74"/>
    </row>
    <row r="175" spans="2:14" x14ac:dyDescent="0.3">
      <c r="B175" s="44">
        <v>46109</v>
      </c>
      <c r="C175" s="3" t="s">
        <v>416</v>
      </c>
      <c r="D175" s="3" t="s">
        <v>61</v>
      </c>
      <c r="E175" s="101"/>
      <c r="F175" s="4" t="s">
        <v>332</v>
      </c>
      <c r="G175" s="4">
        <v>3199206</v>
      </c>
      <c r="H175" s="73" t="s">
        <v>302</v>
      </c>
      <c r="I175" s="4">
        <v>3208400</v>
      </c>
      <c r="K175" s="73"/>
      <c r="L175" s="15"/>
      <c r="M175" s="73"/>
      <c r="N175" s="15"/>
    </row>
    <row r="176" spans="2:14" x14ac:dyDescent="0.3">
      <c r="B176" s="44">
        <v>46109</v>
      </c>
      <c r="C176" s="3" t="s">
        <v>416</v>
      </c>
      <c r="D176" s="3" t="s">
        <v>61</v>
      </c>
      <c r="E176" s="101"/>
      <c r="F176" s="4" t="s">
        <v>308</v>
      </c>
      <c r="G176" s="4">
        <v>3199300</v>
      </c>
      <c r="H176" s="3" t="s">
        <v>306</v>
      </c>
      <c r="I176" s="4">
        <v>3202604</v>
      </c>
      <c r="K176" s="73"/>
      <c r="L176" s="15"/>
      <c r="M176" s="32"/>
      <c r="N176" s="15"/>
    </row>
    <row r="177" spans="2:14" x14ac:dyDescent="0.3">
      <c r="B177" s="44">
        <v>46109</v>
      </c>
      <c r="C177" s="3" t="s">
        <v>416</v>
      </c>
      <c r="D177" s="3" t="s">
        <v>61</v>
      </c>
      <c r="E177" s="101"/>
      <c r="F177" s="4" t="s">
        <v>335</v>
      </c>
      <c r="G177" s="4">
        <v>3194201</v>
      </c>
      <c r="H177" s="4" t="s">
        <v>330</v>
      </c>
      <c r="I177" s="4">
        <v>3205309</v>
      </c>
      <c r="K177" s="73"/>
      <c r="L177" s="15"/>
      <c r="M177" s="73"/>
      <c r="N177" s="15"/>
    </row>
    <row r="178" spans="2:14" x14ac:dyDescent="0.3">
      <c r="B178" s="44">
        <v>46109</v>
      </c>
      <c r="C178" s="3" t="s">
        <v>416</v>
      </c>
      <c r="D178" s="3" t="s">
        <v>61</v>
      </c>
      <c r="E178" s="101"/>
      <c r="F178" s="3" t="s">
        <v>596</v>
      </c>
      <c r="G178" s="4" t="s">
        <v>556</v>
      </c>
      <c r="H178" s="3" t="s">
        <v>307</v>
      </c>
      <c r="I178" s="4">
        <v>3201907</v>
      </c>
      <c r="K178" s="73"/>
      <c r="L178" s="74"/>
      <c r="M178" s="73"/>
      <c r="N178" s="15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4683" priority="607"/>
  </conditionalFormatting>
  <conditionalFormatting sqref="B10:B11 B13 B16:B19">
    <cfRule type="duplicateValues" dxfId="4682" priority="2141"/>
  </conditionalFormatting>
  <conditionalFormatting sqref="F26:I26 F27:G27 F28:I28 F29:G29 F30:I34 H35:I35 F36:I37 H38:I38 F39:I42 F43:G43 F44:I44 F45:G45 F46:I48 H49:I49 F50:I51 H52:I52 F53:I53 F54:G54 F55:I58 F59:G59 F60:I64 F65:G65 H66:I66 F67:I69 F71:I78 F79:G79 H80:I80 F81:I81 F82:G82 F83:I83 H84:I84 F85:I89 F90:G90 F91:I93 F94:G94 F95:I97 H98:I98 F99:I100 H101:I101 F102:I104 H105:I105 F106:I107 H108:I108 F109:I111 F112:G112 F113:I113 F114:G114 F115:I118 H119:I119 F120:I121 H122:I122 F123:I124 F125:G125 F126:I127 F128:G128 F129:I132 H133:I133 F134:I135 H136:I136 F137:I138 F139:G139 H140:I140 F141:I149 F151:I153 H154:I154 F155:I156 F157:G157 F158:I158 F159:G159 F160:I163 H164:I164 F165:I167 H168:I168 F169:I170 H171:I171 F172:I172 F173:G173 F174:I174 F175:G175 F176:I178">
    <cfRule type="containsText" dxfId="4681" priority="2" operator="containsText" text="Code">
      <formula>NOT(ISERROR(SEARCH("Code",F26)))</formula>
    </cfRule>
    <cfRule type="containsText" dxfId="4680" priority="3" operator="containsText" text="c'[Fixtures All.xlsx]Women Filtered'!$F$2">
      <formula>NOT(ISERROR(SEARCH("c'[Fixtures All.xlsx]Women Filtered'!$F$2",F26)))</formula>
    </cfRule>
  </conditionalFormatting>
  <conditionalFormatting sqref="I10:L21">
    <cfRule type="cellIs" dxfId="4679" priority="11" operator="lessThan">
      <formula>5</formula>
    </cfRule>
    <cfRule type="cellIs" dxfId="4678" priority="12" operator="greaterThan">
      <formula>6</formula>
    </cfRule>
  </conditionalFormatting>
  <conditionalFormatting sqref="J10:J21">
    <cfRule type="containsText" dxfId="4677" priority="18" operator="containsText" text="c'[Fixtures All.xlsx]Women Filtered'!$F$2">
      <formula>NOT(ISERROR(SEARCH("c'[Fixtures All.xlsx]Women Filtered'!$F$2",J10)))</formula>
    </cfRule>
  </conditionalFormatting>
  <conditionalFormatting sqref="J28:K29">
    <cfRule type="containsText" dxfId="4676" priority="22" operator="containsText" text="Bye">
      <formula>NOT(ISERROR(SEARCH("Bye",J28)))</formula>
    </cfRule>
  </conditionalFormatting>
  <conditionalFormatting sqref="J38:K38">
    <cfRule type="containsText" dxfId="4675" priority="25" operator="containsText" text="Bye">
      <formula>NOT(ISERROR(SEARCH("Bye",J38)))</formula>
    </cfRule>
  </conditionalFormatting>
  <conditionalFormatting sqref="J68:K68">
    <cfRule type="containsText" dxfId="4674" priority="20" operator="containsText" text="Bye">
      <formula>NOT(ISERROR(SEARCH("Bye",J68)))</formula>
    </cfRule>
  </conditionalFormatting>
  <conditionalFormatting sqref="J105:K105">
    <cfRule type="containsText" dxfId="4673" priority="24" operator="containsText" text="Bye">
      <formula>NOT(ISERROR(SEARCH("Bye",J105)))</formula>
    </cfRule>
  </conditionalFormatting>
  <conditionalFormatting sqref="J108:K108">
    <cfRule type="containsText" dxfId="4672" priority="21" operator="containsText" text="Bye">
      <formula>NOT(ISERROR(SEARCH("Bye",J108)))</formula>
    </cfRule>
  </conditionalFormatting>
  <conditionalFormatting sqref="J113:K113">
    <cfRule type="containsText" dxfId="4671" priority="23" operator="containsText" text="Bye">
      <formula>NOT(ISERROR(SEARCH("Bye",J113)))</formula>
    </cfRule>
  </conditionalFormatting>
  <conditionalFormatting sqref="J147:K147">
    <cfRule type="containsText" dxfId="4670" priority="19" operator="containsText" text="Bye">
      <formula>NOT(ISERROR(SEARCH("Bye",J147)))</formula>
    </cfRule>
  </conditionalFormatting>
  <conditionalFormatting sqref="K3:K4">
    <cfRule type="duplicateValues" dxfId="4669" priority="28"/>
  </conditionalFormatting>
  <conditionalFormatting sqref="K5">
    <cfRule type="duplicateValues" dxfId="4668" priority="27"/>
  </conditionalFormatting>
  <conditionalFormatting sqref="K7:K8">
    <cfRule type="duplicateValues" dxfId="4667" priority="608"/>
  </conditionalFormatting>
  <conditionalFormatting sqref="K9:K21">
    <cfRule type="containsText" dxfId="4666" priority="16" operator="containsText" text="c'[Fixtures All.xlsx]Women Filtered'!$F$2">
      <formula>NOT(ISERROR(SEARCH("c'[Fixtures All.xlsx]Women Filtered'!$F$2",K9)))</formula>
    </cfRule>
  </conditionalFormatting>
  <conditionalFormatting sqref="K26">
    <cfRule type="duplicateValues" dxfId="4665" priority="278"/>
  </conditionalFormatting>
  <conditionalFormatting sqref="K30">
    <cfRule type="duplicateValues" dxfId="4664" priority="103"/>
  </conditionalFormatting>
  <conditionalFormatting sqref="K31">
    <cfRule type="duplicateValues" dxfId="4663" priority="147"/>
  </conditionalFormatting>
  <conditionalFormatting sqref="K33">
    <cfRule type="duplicateValues" dxfId="4662" priority="256"/>
  </conditionalFormatting>
  <conditionalFormatting sqref="K34">
    <cfRule type="duplicateValues" dxfId="4661" priority="168"/>
  </conditionalFormatting>
  <conditionalFormatting sqref="K35">
    <cfRule type="duplicateValues" dxfId="4660" priority="102"/>
  </conditionalFormatting>
  <conditionalFormatting sqref="K37">
    <cfRule type="duplicateValues" dxfId="4659" priority="190"/>
  </conditionalFormatting>
  <conditionalFormatting sqref="K40">
    <cfRule type="duplicateValues" dxfId="4658" priority="276"/>
  </conditionalFormatting>
  <conditionalFormatting sqref="K42">
    <cfRule type="duplicateValues" dxfId="4657" priority="211"/>
  </conditionalFormatting>
  <conditionalFormatting sqref="K43">
    <cfRule type="duplicateValues" dxfId="4656" priority="167"/>
  </conditionalFormatting>
  <conditionalFormatting sqref="K45">
    <cfRule type="duplicateValues" dxfId="4655" priority="145"/>
  </conditionalFormatting>
  <conditionalFormatting sqref="K47">
    <cfRule type="duplicateValues" dxfId="4654" priority="253"/>
  </conditionalFormatting>
  <conditionalFormatting sqref="K48">
    <cfRule type="duplicateValues" dxfId="4653" priority="210"/>
  </conditionalFormatting>
  <conditionalFormatting sqref="K49">
    <cfRule type="duplicateValues" dxfId="4652" priority="232"/>
  </conditionalFormatting>
  <conditionalFormatting sqref="K50">
    <cfRule type="duplicateValues" dxfId="4651" priority="100"/>
  </conditionalFormatting>
  <conditionalFormatting sqref="K51">
    <cfRule type="duplicateValues" dxfId="4650" priority="188"/>
  </conditionalFormatting>
  <conditionalFormatting sqref="K52">
    <cfRule type="duplicateValues" dxfId="4649" priority="122"/>
  </conditionalFormatting>
  <conditionalFormatting sqref="K54">
    <cfRule type="duplicateValues" dxfId="4648" priority="274"/>
  </conditionalFormatting>
  <conditionalFormatting sqref="K56">
    <cfRule type="duplicateValues" dxfId="4647" priority="231"/>
  </conditionalFormatting>
  <conditionalFormatting sqref="K57">
    <cfRule type="duplicateValues" dxfId="4646" priority="165"/>
  </conditionalFormatting>
  <conditionalFormatting sqref="K61">
    <cfRule type="duplicateValues" dxfId="4645" priority="251"/>
  </conditionalFormatting>
  <conditionalFormatting sqref="K62">
    <cfRule type="duplicateValues" dxfId="4644" priority="208"/>
  </conditionalFormatting>
  <conditionalFormatting sqref="K63">
    <cfRule type="duplicateValues" dxfId="4643" priority="98"/>
  </conditionalFormatting>
  <conditionalFormatting sqref="K64">
    <cfRule type="duplicateValues" dxfId="4642" priority="186"/>
  </conditionalFormatting>
  <conditionalFormatting sqref="K65">
    <cfRule type="duplicateValues" dxfId="4641" priority="120"/>
  </conditionalFormatting>
  <conditionalFormatting sqref="K66">
    <cfRule type="duplicateValues" dxfId="4640" priority="142"/>
  </conditionalFormatting>
  <conditionalFormatting sqref="K70">
    <cfRule type="duplicateValues" dxfId="4639" priority="250"/>
  </conditionalFormatting>
  <conditionalFormatting sqref="K73">
    <cfRule type="duplicateValues" dxfId="4638" priority="141"/>
  </conditionalFormatting>
  <conditionalFormatting sqref="K75">
    <cfRule type="duplicateValues" dxfId="4637" priority="228"/>
  </conditionalFormatting>
  <conditionalFormatting sqref="K77">
    <cfRule type="duplicateValues" dxfId="4636" priority="206"/>
  </conditionalFormatting>
  <conditionalFormatting sqref="K78">
    <cfRule type="duplicateValues" dxfId="4635" priority="96"/>
  </conditionalFormatting>
  <conditionalFormatting sqref="K79">
    <cfRule type="duplicateValues" dxfId="4634" priority="118"/>
  </conditionalFormatting>
  <conditionalFormatting sqref="K80">
    <cfRule type="duplicateValues" dxfId="4633" priority="162"/>
  </conditionalFormatting>
  <conditionalFormatting sqref="K83">
    <cfRule type="duplicateValues" dxfId="4632" priority="227"/>
  </conditionalFormatting>
  <conditionalFormatting sqref="K84">
    <cfRule type="duplicateValues" dxfId="4631" priority="270"/>
  </conditionalFormatting>
  <conditionalFormatting sqref="K85">
    <cfRule type="duplicateValues" dxfId="4630" priority="117"/>
  </conditionalFormatting>
  <conditionalFormatting sqref="K87">
    <cfRule type="duplicateValues" dxfId="4629" priority="183"/>
  </conditionalFormatting>
  <conditionalFormatting sqref="K89">
    <cfRule type="duplicateValues" dxfId="4628" priority="247"/>
  </conditionalFormatting>
  <conditionalFormatting sqref="K90">
    <cfRule type="duplicateValues" dxfId="4627" priority="269"/>
  </conditionalFormatting>
  <conditionalFormatting sqref="K91">
    <cfRule type="duplicateValues" dxfId="4626" priority="204"/>
  </conditionalFormatting>
  <conditionalFormatting sqref="K92">
    <cfRule type="duplicateValues" dxfId="4625" priority="160"/>
  </conditionalFormatting>
  <conditionalFormatting sqref="K93">
    <cfRule type="duplicateValues" dxfId="4624" priority="94"/>
  </conditionalFormatting>
  <conditionalFormatting sqref="K94">
    <cfRule type="duplicateValues" dxfId="4623" priority="138"/>
  </conditionalFormatting>
  <conditionalFormatting sqref="K97">
    <cfRule type="duplicateValues" dxfId="4622" priority="225"/>
  </conditionalFormatting>
  <conditionalFormatting sqref="K100">
    <cfRule type="duplicateValues" dxfId="4621" priority="181"/>
  </conditionalFormatting>
  <conditionalFormatting sqref="K101">
    <cfRule type="duplicateValues" dxfId="4620" priority="115"/>
  </conditionalFormatting>
  <conditionalFormatting sqref="K104">
    <cfRule type="duplicateValues" dxfId="4619" priority="114"/>
  </conditionalFormatting>
  <conditionalFormatting sqref="K106">
    <cfRule type="duplicateValues" dxfId="4618" priority="158"/>
  </conditionalFormatting>
  <conditionalFormatting sqref="K107">
    <cfRule type="duplicateValues" dxfId="4617" priority="180"/>
  </conditionalFormatting>
  <conditionalFormatting sqref="K110">
    <cfRule type="duplicateValues" dxfId="4616" priority="266"/>
  </conditionalFormatting>
  <conditionalFormatting sqref="K112">
    <cfRule type="duplicateValues" dxfId="4615" priority="201"/>
  </conditionalFormatting>
  <conditionalFormatting sqref="K115">
    <cfRule type="duplicateValues" dxfId="4614" priority="135"/>
  </conditionalFormatting>
  <conditionalFormatting sqref="K117">
    <cfRule type="duplicateValues" dxfId="4613" priority="243"/>
  </conditionalFormatting>
  <conditionalFormatting sqref="K118">
    <cfRule type="duplicateValues" dxfId="4612" priority="222"/>
  </conditionalFormatting>
  <conditionalFormatting sqref="K119">
    <cfRule type="duplicateValues" dxfId="4611" priority="90"/>
  </conditionalFormatting>
  <conditionalFormatting sqref="K121">
    <cfRule type="duplicateValues" dxfId="4610" priority="178"/>
  </conditionalFormatting>
  <conditionalFormatting sqref="K122">
    <cfRule type="duplicateValues" dxfId="4609" priority="112"/>
  </conditionalFormatting>
  <conditionalFormatting sqref="K124">
    <cfRule type="duplicateValues" dxfId="4608" priority="264"/>
  </conditionalFormatting>
  <conditionalFormatting sqref="K126">
    <cfRule type="duplicateValues" dxfId="4607" priority="155"/>
  </conditionalFormatting>
  <conditionalFormatting sqref="K129">
    <cfRule type="duplicateValues" dxfId="4606" priority="133"/>
  </conditionalFormatting>
  <conditionalFormatting sqref="K131">
    <cfRule type="duplicateValues" dxfId="4605" priority="241"/>
  </conditionalFormatting>
  <conditionalFormatting sqref="K132">
    <cfRule type="duplicateValues" dxfId="4604" priority="199"/>
  </conditionalFormatting>
  <conditionalFormatting sqref="K133">
    <cfRule type="duplicateValues" dxfId="4603" priority="88"/>
  </conditionalFormatting>
  <conditionalFormatting sqref="K134">
    <cfRule type="duplicateValues" dxfId="4602" priority="176"/>
  </conditionalFormatting>
  <conditionalFormatting sqref="K135">
    <cfRule type="duplicateValues" dxfId="4601" priority="110"/>
  </conditionalFormatting>
  <conditionalFormatting sqref="K136">
    <cfRule type="duplicateValues" dxfId="4600" priority="132"/>
  </conditionalFormatting>
  <conditionalFormatting sqref="K138">
    <cfRule type="duplicateValues" dxfId="4599" priority="262"/>
  </conditionalFormatting>
  <conditionalFormatting sqref="K140">
    <cfRule type="duplicateValues" dxfId="4598" priority="219"/>
  </conditionalFormatting>
  <conditionalFormatting sqref="K141">
    <cfRule type="duplicateValues" dxfId="4597" priority="153"/>
  </conditionalFormatting>
  <conditionalFormatting sqref="K145">
    <cfRule type="duplicateValues" dxfId="4596" priority="152"/>
  </conditionalFormatting>
  <conditionalFormatting sqref="K146">
    <cfRule type="duplicateValues" dxfId="4595" priority="197"/>
  </conditionalFormatting>
  <conditionalFormatting sqref="K148">
    <cfRule type="duplicateValues" dxfId="4594" priority="86"/>
  </conditionalFormatting>
  <conditionalFormatting sqref="K149">
    <cfRule type="duplicateValues" dxfId="4593" priority="174"/>
  </conditionalFormatting>
  <conditionalFormatting sqref="K150">
    <cfRule type="duplicateValues" dxfId="4592" priority="108"/>
  </conditionalFormatting>
  <conditionalFormatting sqref="K153">
    <cfRule type="duplicateValues" dxfId="4591" priority="239"/>
  </conditionalFormatting>
  <conditionalFormatting sqref="K154">
    <cfRule type="duplicateValues" dxfId="4590" priority="129"/>
  </conditionalFormatting>
  <conditionalFormatting sqref="K155">
    <cfRule type="duplicateValues" dxfId="4589" priority="260"/>
  </conditionalFormatting>
  <conditionalFormatting sqref="K157">
    <cfRule type="duplicateValues" dxfId="4588" priority="173"/>
  </conditionalFormatting>
  <conditionalFormatting sqref="K159">
    <cfRule type="duplicateValues" dxfId="4587" priority="238"/>
  </conditionalFormatting>
  <conditionalFormatting sqref="K160">
    <cfRule type="duplicateValues" dxfId="4586" priority="150"/>
  </conditionalFormatting>
  <conditionalFormatting sqref="K161">
    <cfRule type="duplicateValues" dxfId="4585" priority="195"/>
  </conditionalFormatting>
  <conditionalFormatting sqref="K162">
    <cfRule type="duplicateValues" dxfId="4584" priority="84"/>
  </conditionalFormatting>
  <conditionalFormatting sqref="K164">
    <cfRule type="duplicateValues" dxfId="4583" priority="128"/>
  </conditionalFormatting>
  <conditionalFormatting sqref="K167">
    <cfRule type="duplicateValues" dxfId="4582" priority="215"/>
  </conditionalFormatting>
  <conditionalFormatting sqref="K170">
    <cfRule type="duplicateValues" dxfId="4581" priority="171"/>
  </conditionalFormatting>
  <conditionalFormatting sqref="K171">
    <cfRule type="duplicateValues" dxfId="4580" priority="105"/>
  </conditionalFormatting>
  <conditionalFormatting sqref="K173">
    <cfRule type="duplicateValues" dxfId="4579" priority="236"/>
  </conditionalFormatting>
  <conditionalFormatting sqref="K174">
    <cfRule type="duplicateValues" dxfId="4578" priority="257"/>
  </conditionalFormatting>
  <conditionalFormatting sqref="K175">
    <cfRule type="duplicateValues" dxfId="4577" priority="193"/>
  </conditionalFormatting>
  <conditionalFormatting sqref="K176">
    <cfRule type="duplicateValues" dxfId="4576" priority="148"/>
  </conditionalFormatting>
  <conditionalFormatting sqref="K177">
    <cfRule type="duplicateValues" dxfId="4575" priority="82"/>
  </conditionalFormatting>
  <conditionalFormatting sqref="K178">
    <cfRule type="duplicateValues" dxfId="4574" priority="126"/>
  </conditionalFormatting>
  <conditionalFormatting sqref="K1:N2 L3:N6 K7:N8 M9:N21 K22:N27 L28:N29 K30:N37 L38:N38 K39:N67 L68:N68 K69:N104 L105:N105 K106:N107 L108:N108 K109:N112 L113:N113 K114:N146 L147:N147 K148:N1048576">
    <cfRule type="containsText" dxfId="4573" priority="80" operator="containsText" text="lancaster">
      <formula>NOT(ISERROR(SEARCH("lancaster",K1)))</formula>
    </cfRule>
  </conditionalFormatting>
  <conditionalFormatting sqref="L10:L21">
    <cfRule type="containsText" dxfId="4572" priority="15" operator="containsText" text="c'[Fixtures All.xlsx]Women Filtered'!$F$2">
      <formula>NOT(ISERROR(SEARCH("c'[Fixtures All.xlsx]Women Filtered'!$F$2",L10)))</formula>
    </cfRule>
  </conditionalFormatting>
  <conditionalFormatting sqref="M26">
    <cfRule type="duplicateValues" dxfId="4571" priority="125"/>
  </conditionalFormatting>
  <conditionalFormatting sqref="M27">
    <cfRule type="duplicateValues" dxfId="4570" priority="255"/>
  </conditionalFormatting>
  <conditionalFormatting sqref="M28">
    <cfRule type="duplicateValues" dxfId="4569" priority="213"/>
  </conditionalFormatting>
  <conditionalFormatting sqref="M29">
    <cfRule type="duplicateValues" dxfId="4568" priority="169"/>
  </conditionalFormatting>
  <conditionalFormatting sqref="M31">
    <cfRule type="duplicateValues" dxfId="4567" priority="191"/>
  </conditionalFormatting>
  <conditionalFormatting sqref="M33">
    <cfRule type="duplicateValues" dxfId="4566" priority="212"/>
  </conditionalFormatting>
  <conditionalFormatting sqref="M34">
    <cfRule type="duplicateValues" dxfId="4565" priority="234"/>
  </conditionalFormatting>
  <conditionalFormatting sqref="M37">
    <cfRule type="duplicateValues" dxfId="4564" priority="277"/>
  </conditionalFormatting>
  <conditionalFormatting sqref="M38">
    <cfRule type="duplicateValues" dxfId="4563" priority="146"/>
  </conditionalFormatting>
  <conditionalFormatting sqref="M40">
    <cfRule type="duplicateValues" dxfId="4562" priority="123"/>
  </conditionalFormatting>
  <conditionalFormatting sqref="M41">
    <cfRule type="duplicateValues" dxfId="4561" priority="233"/>
  </conditionalFormatting>
  <conditionalFormatting sqref="M42">
    <cfRule type="duplicateValues" dxfId="4560" priority="101"/>
  </conditionalFormatting>
  <conditionalFormatting sqref="M43">
    <cfRule type="duplicateValues" dxfId="4559" priority="189"/>
  </conditionalFormatting>
  <conditionalFormatting sqref="M45">
    <cfRule type="duplicateValues" dxfId="4558" priority="254"/>
  </conditionalFormatting>
  <conditionalFormatting sqref="M47">
    <cfRule type="duplicateValues" dxfId="4557" priority="275"/>
  </conditionalFormatting>
  <conditionalFormatting sqref="M50">
    <cfRule type="duplicateValues" dxfId="4556" priority="144"/>
  </conditionalFormatting>
  <conditionalFormatting sqref="M52">
    <cfRule type="duplicateValues" dxfId="4555" priority="166"/>
  </conditionalFormatting>
  <conditionalFormatting sqref="M54">
    <cfRule type="duplicateValues" dxfId="4554" priority="143"/>
  </conditionalFormatting>
  <conditionalFormatting sqref="M55">
    <cfRule type="duplicateValues" dxfId="4553" priority="99"/>
  </conditionalFormatting>
  <conditionalFormatting sqref="M56">
    <cfRule type="duplicateValues" dxfId="4552" priority="121"/>
  </conditionalFormatting>
  <conditionalFormatting sqref="M57">
    <cfRule type="duplicateValues" dxfId="4551" priority="209"/>
  </conditionalFormatting>
  <conditionalFormatting sqref="M58">
    <cfRule type="duplicateValues" dxfId="4550" priority="187"/>
  </conditionalFormatting>
  <conditionalFormatting sqref="M59">
    <cfRule type="duplicateValues" dxfId="4549" priority="252"/>
  </conditionalFormatting>
  <conditionalFormatting sqref="M62">
    <cfRule type="duplicateValues" dxfId="4548" priority="273"/>
  </conditionalFormatting>
  <conditionalFormatting sqref="M63">
    <cfRule type="duplicateValues" dxfId="4547" priority="164"/>
  </conditionalFormatting>
  <conditionalFormatting sqref="M64">
    <cfRule type="duplicateValues" dxfId="4546" priority="230"/>
  </conditionalFormatting>
  <conditionalFormatting sqref="M68">
    <cfRule type="duplicateValues" dxfId="4545" priority="97"/>
  </conditionalFormatting>
  <conditionalFormatting sqref="M69">
    <cfRule type="duplicateValues" dxfId="4544" priority="119"/>
  </conditionalFormatting>
  <conditionalFormatting sqref="M70">
    <cfRule type="duplicateValues" dxfId="4543" priority="163"/>
  </conditionalFormatting>
  <conditionalFormatting sqref="M71">
    <cfRule type="duplicateValues" dxfId="4542" priority="229"/>
  </conditionalFormatting>
  <conditionalFormatting sqref="M72">
    <cfRule type="duplicateValues" dxfId="4541" priority="185"/>
  </conditionalFormatting>
  <conditionalFormatting sqref="M73">
    <cfRule type="duplicateValues" dxfId="4540" priority="207"/>
  </conditionalFormatting>
  <conditionalFormatting sqref="M75">
    <cfRule type="duplicateValues" dxfId="4539" priority="249"/>
  </conditionalFormatting>
  <conditionalFormatting sqref="M76">
    <cfRule type="duplicateValues" dxfId="4538" priority="271"/>
  </conditionalFormatting>
  <conditionalFormatting sqref="M79">
    <cfRule type="duplicateValues" dxfId="4537" priority="184"/>
  </conditionalFormatting>
  <conditionalFormatting sqref="M80">
    <cfRule type="duplicateValues" dxfId="4536" priority="140"/>
  </conditionalFormatting>
  <conditionalFormatting sqref="M82">
    <cfRule type="duplicateValues" dxfId="4535" priority="139"/>
  </conditionalFormatting>
  <conditionalFormatting sqref="M83">
    <cfRule type="duplicateValues" dxfId="4534" priority="95"/>
  </conditionalFormatting>
  <conditionalFormatting sqref="M84">
    <cfRule type="duplicateValues" dxfId="4533" priority="161"/>
  </conditionalFormatting>
  <conditionalFormatting sqref="M86">
    <cfRule type="duplicateValues" dxfId="4532" priority="205"/>
  </conditionalFormatting>
  <conditionalFormatting sqref="M87">
    <cfRule type="duplicateValues" dxfId="4531" priority="248"/>
  </conditionalFormatting>
  <conditionalFormatting sqref="M89">
    <cfRule type="duplicateValues" dxfId="4530" priority="116"/>
  </conditionalFormatting>
  <conditionalFormatting sqref="M91">
    <cfRule type="duplicateValues" dxfId="4529" priority="226"/>
  </conditionalFormatting>
  <conditionalFormatting sqref="M93">
    <cfRule type="duplicateValues" dxfId="4528" priority="182"/>
  </conditionalFormatting>
  <conditionalFormatting sqref="M96">
    <cfRule type="duplicateValues" dxfId="4527" priority="159"/>
  </conditionalFormatting>
  <conditionalFormatting sqref="M97">
    <cfRule type="duplicateValues" dxfId="4526" priority="137"/>
  </conditionalFormatting>
  <conditionalFormatting sqref="M98">
    <cfRule type="duplicateValues" dxfId="4525" priority="246"/>
  </conditionalFormatting>
  <conditionalFormatting sqref="M99">
    <cfRule type="duplicateValues" dxfId="4524" priority="268"/>
  </conditionalFormatting>
  <conditionalFormatting sqref="M100">
    <cfRule type="duplicateValues" dxfId="4523" priority="203"/>
  </conditionalFormatting>
  <conditionalFormatting sqref="M101">
    <cfRule type="duplicateValues" dxfId="4522" priority="93"/>
  </conditionalFormatting>
  <conditionalFormatting sqref="M103">
    <cfRule type="duplicateValues" dxfId="4521" priority="92"/>
  </conditionalFormatting>
  <conditionalFormatting sqref="M104">
    <cfRule type="duplicateValues" dxfId="4520" priority="267"/>
  </conditionalFormatting>
  <conditionalFormatting sqref="M107">
    <cfRule type="duplicateValues" dxfId="4519" priority="136"/>
  </conditionalFormatting>
  <conditionalFormatting sqref="M108">
    <cfRule type="duplicateValues" dxfId="4518" priority="224"/>
  </conditionalFormatting>
  <conditionalFormatting sqref="M110">
    <cfRule type="duplicateValues" dxfId="4517" priority="179"/>
  </conditionalFormatting>
  <conditionalFormatting sqref="M112">
    <cfRule type="duplicateValues" dxfId="4516" priority="244"/>
  </conditionalFormatting>
  <conditionalFormatting sqref="M113">
    <cfRule type="duplicateValues" dxfId="4515" priority="157"/>
  </conditionalFormatting>
  <conditionalFormatting sqref="M114">
    <cfRule type="duplicateValues" dxfId="4514" priority="91"/>
  </conditionalFormatting>
  <conditionalFormatting sqref="M115">
    <cfRule type="duplicateValues" dxfId="4513" priority="113"/>
  </conditionalFormatting>
  <conditionalFormatting sqref="M117">
    <cfRule type="duplicateValues" dxfId="4512" priority="134"/>
  </conditionalFormatting>
  <conditionalFormatting sqref="M119">
    <cfRule type="duplicateValues" dxfId="4511" priority="200"/>
  </conditionalFormatting>
  <conditionalFormatting sqref="M121">
    <cfRule type="duplicateValues" dxfId="4510" priority="156"/>
  </conditionalFormatting>
  <conditionalFormatting sqref="M122">
    <cfRule type="duplicateValues" dxfId="4509" priority="265"/>
  </conditionalFormatting>
  <conditionalFormatting sqref="M124">
    <cfRule type="duplicateValues" dxfId="4508" priority="242"/>
  </conditionalFormatting>
  <conditionalFormatting sqref="M125">
    <cfRule type="duplicateValues" dxfId="4507" priority="177"/>
  </conditionalFormatting>
  <conditionalFormatting sqref="M126">
    <cfRule type="duplicateValues" dxfId="4506" priority="111"/>
  </conditionalFormatting>
  <conditionalFormatting sqref="M127">
    <cfRule type="duplicateValues" dxfId="4505" priority="81"/>
  </conditionalFormatting>
  <conditionalFormatting sqref="M128">
    <cfRule type="duplicateValues" dxfId="4504" priority="221"/>
  </conditionalFormatting>
  <conditionalFormatting sqref="M129">
    <cfRule type="duplicateValues" dxfId="4503" priority="89"/>
  </conditionalFormatting>
  <conditionalFormatting sqref="M132">
    <cfRule type="duplicateValues" dxfId="4502" priority="154"/>
  </conditionalFormatting>
  <conditionalFormatting sqref="M135">
    <cfRule type="duplicateValues" dxfId="4501" priority="220"/>
  </conditionalFormatting>
  <conditionalFormatting sqref="M136">
    <cfRule type="duplicateValues" dxfId="4500" priority="263"/>
  </conditionalFormatting>
  <conditionalFormatting sqref="M138">
    <cfRule type="duplicateValues" dxfId="4499" priority="198"/>
  </conditionalFormatting>
  <conditionalFormatting sqref="M139">
    <cfRule type="duplicateValues" dxfId="4498" priority="240"/>
  </conditionalFormatting>
  <conditionalFormatting sqref="M140">
    <cfRule type="duplicateValues" dxfId="4497" priority="175"/>
  </conditionalFormatting>
  <conditionalFormatting sqref="M141">
    <cfRule type="duplicateValues" dxfId="4496" priority="87"/>
  </conditionalFormatting>
  <conditionalFormatting sqref="M142">
    <cfRule type="duplicateValues" dxfId="4495" priority="131"/>
  </conditionalFormatting>
  <conditionalFormatting sqref="M143">
    <cfRule type="duplicateValues" dxfId="4494" priority="109"/>
  </conditionalFormatting>
  <conditionalFormatting sqref="M145">
    <cfRule type="duplicateValues" dxfId="4493" priority="192"/>
  </conditionalFormatting>
  <conditionalFormatting sqref="M146">
    <cfRule type="duplicateValues" dxfId="4492" priority="130"/>
  </conditionalFormatting>
  <conditionalFormatting sqref="M148">
    <cfRule type="duplicateValues" dxfId="4491" priority="261"/>
  </conditionalFormatting>
  <conditionalFormatting sqref="M152">
    <cfRule type="duplicateValues" dxfId="4490" priority="196"/>
  </conditionalFormatting>
  <conditionalFormatting sqref="M153">
    <cfRule type="duplicateValues" dxfId="4489" priority="217"/>
  </conditionalFormatting>
  <conditionalFormatting sqref="M154">
    <cfRule type="duplicateValues" dxfId="4488" priority="151"/>
  </conditionalFormatting>
  <conditionalFormatting sqref="M156">
    <cfRule type="duplicateValues" dxfId="4487" priority="85"/>
  </conditionalFormatting>
  <conditionalFormatting sqref="M157">
    <cfRule type="duplicateValues" dxfId="4486" priority="107"/>
  </conditionalFormatting>
  <conditionalFormatting sqref="M159">
    <cfRule type="duplicateValues" dxfId="4485" priority="172"/>
  </conditionalFormatting>
  <conditionalFormatting sqref="M160">
    <cfRule type="duplicateValues" dxfId="4484" priority="259"/>
  </conditionalFormatting>
  <conditionalFormatting sqref="M162">
    <cfRule type="duplicateValues" dxfId="4483" priority="216"/>
  </conditionalFormatting>
  <conditionalFormatting sqref="M163">
    <cfRule type="duplicateValues" dxfId="4482" priority="106"/>
  </conditionalFormatting>
  <conditionalFormatting sqref="M166">
    <cfRule type="duplicateValues" dxfId="4481" priority="258"/>
  </conditionalFormatting>
  <conditionalFormatting sqref="M167">
    <cfRule type="duplicateValues" dxfId="4480" priority="194"/>
  </conditionalFormatting>
  <conditionalFormatting sqref="M168">
    <cfRule type="duplicateValues" dxfId="4479" priority="149"/>
  </conditionalFormatting>
  <conditionalFormatting sqref="M169">
    <cfRule type="duplicateValues" dxfId="4478" priority="127"/>
  </conditionalFormatting>
  <conditionalFormatting sqref="M170">
    <cfRule type="duplicateValues" dxfId="4477" priority="83"/>
  </conditionalFormatting>
  <conditionalFormatting sqref="M171">
    <cfRule type="duplicateValues" dxfId="4476" priority="237"/>
  </conditionalFormatting>
  <conditionalFormatting sqref="M175">
    <cfRule type="duplicateValues" dxfId="4475" priority="170"/>
  </conditionalFormatting>
  <conditionalFormatting sqref="M177">
    <cfRule type="duplicateValues" dxfId="4474" priority="104"/>
  </conditionalFormatting>
  <conditionalFormatting sqref="M178">
    <cfRule type="duplicateValues" dxfId="4473" priority="214"/>
  </conditionalFormatting>
  <conditionalFormatting sqref="N32 N39 N46 N53 N60 N67 N74 N81 N88 N95 N102 N109 N116 N123 N130 N137 N144 N151 N158 N165 N172">
    <cfRule type="containsText" dxfId="4472" priority="279" operator="containsText" text="neston">
      <formula>NOT(ISERROR(SEARCH("neston",N32)))</formula>
    </cfRule>
    <cfRule type="containsText" dxfId="4471" priority="280" operator="containsText" text="Wilmslow">
      <formula>NOT(ISERROR(SEARCH("Wilmslow",N32)))</formula>
    </cfRule>
  </conditionalFormatting>
  <conditionalFormatting sqref="J10:J21">
    <cfRule type="containsText" dxfId="4470" priority="1" operator="containsText" text="c'[Fixtures All.xlsx]Women Filtered'!$F$2">
      <formula>NOT(ISERROR(SEARCH("c'[Fixtures All.xlsx]Women Filtered'!$F$2",J10)))</formula>
    </cfRule>
  </conditionalFormatting>
  <hyperlinks>
    <hyperlink ref="K3" location="Contents!A1" display="Back to Contents" xr:uid="{7D133412-93E8-44ED-9454-0F8F722BE5D7}"/>
    <hyperlink ref="K5:K6" location="'All Fixtures'!A1" display="See all NW Fixtures" xr:uid="{C867CC1E-BBB0-4C8A-92A0-1E6D558FEB97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FDD6-AE9C-45C2-B61D-535A324C42D3}">
  <dimension ref="A2:AQ178"/>
  <sheetViews>
    <sheetView workbookViewId="0"/>
  </sheetViews>
  <sheetFormatPr defaultRowHeight="14.4" x14ac:dyDescent="0.3"/>
  <cols>
    <col min="1" max="1" width="3.5546875" style="47" customWidth="1"/>
    <col min="2" max="2" width="24.6640625" style="3" customWidth="1"/>
    <col min="3" max="3" width="28.77734375" style="3" customWidth="1"/>
    <col min="4" max="4" width="36.6640625" style="3" customWidth="1"/>
    <col min="5" max="5" width="21" style="3" customWidth="1"/>
    <col min="6" max="6" width="26.33203125" style="3" customWidth="1"/>
    <col min="7" max="7" width="12.33203125" style="4" customWidth="1"/>
    <col min="8" max="8" width="25.77734375" style="3" customWidth="1"/>
    <col min="9" max="9" width="15.6640625" style="4" customWidth="1"/>
    <col min="10" max="10" width="8.88671875" style="3"/>
    <col min="11" max="11" width="19.109375" style="51" customWidth="1"/>
    <col min="12" max="43" width="8.88671875" style="3"/>
  </cols>
  <sheetData>
    <row r="2" spans="1:43" ht="15" thickBot="1" x14ac:dyDescent="0.35"/>
    <row r="3" spans="1:43" ht="37.200000000000003" thickBot="1" x14ac:dyDescent="0.75">
      <c r="E3" s="16" t="s">
        <v>62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43" s="76" customFormat="1" ht="15" customHeight="1" x14ac:dyDescent="0.3">
      <c r="A10" s="47">
        <f>COUNTIF(F$26:H$178,"Bowdon 5 (W)")</f>
        <v>22</v>
      </c>
      <c r="B10" s="105" t="s">
        <v>319</v>
      </c>
      <c r="C10" s="74">
        <v>3210508</v>
      </c>
      <c r="D10" s="57">
        <f>COUNTIF(F$26:I$178,"3210508")</f>
        <v>22</v>
      </c>
      <c r="E10" s="59"/>
      <c r="F10" s="57">
        <f>COUNTIF(F$26:F$178,"Bowdon 5 (W)")</f>
        <v>11</v>
      </c>
      <c r="G10" s="57"/>
      <c r="H10" s="57">
        <f>COUNTIF(H26:H178,"Bowdon 5 (W)")</f>
        <v>11</v>
      </c>
      <c r="I10" s="57">
        <f>COUNTIF(F$26:F$101,"Bowdon 5 (W)")</f>
        <v>5</v>
      </c>
      <c r="J10" s="57">
        <f>COUNTIF(F$102:F$178,"Bowdon 5 (W)")</f>
        <v>6</v>
      </c>
      <c r="K10" s="57">
        <f>COUNTIF(H$26:H$101,"Bowdon 5 (W)")</f>
        <v>6</v>
      </c>
      <c r="L10" s="57">
        <f>COUNTIF(H$102:H$178,"Bowdon 5 (W)")</f>
        <v>5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s="76" customFormat="1" ht="15" customHeight="1" x14ac:dyDescent="0.3">
      <c r="A11" s="47">
        <f>COUNTIF(F$26:H$178,"Bury 1 (W)")</f>
        <v>22</v>
      </c>
      <c r="B11" s="105" t="s">
        <v>443</v>
      </c>
      <c r="C11" s="74">
        <v>3210008</v>
      </c>
      <c r="D11" s="57">
        <f>COUNTIF(F$26:I$178,"3210008")</f>
        <v>22</v>
      </c>
      <c r="E11" s="59"/>
      <c r="F11" s="57">
        <f>COUNTIF(F$26:F$178,"Bury 1 (W)")</f>
        <v>11</v>
      </c>
      <c r="G11" s="57"/>
      <c r="H11" s="57">
        <f>COUNTIF(H26:H178,"Bury 1 (W)")</f>
        <v>11</v>
      </c>
      <c r="I11" s="57">
        <f>COUNTIF(F$26:F$101,"Bury 1 (W)")</f>
        <v>5</v>
      </c>
      <c r="J11" s="57">
        <f>COUNTIF(F$102:F$178,"Bury 1 (W)")</f>
        <v>6</v>
      </c>
      <c r="K11" s="57">
        <f>COUNTIF(H$26:H$101,"Bury 1 (W)")</f>
        <v>6</v>
      </c>
      <c r="L11" s="57">
        <f>COUNTIF(H$102:H$178,"Bury 1 (W)")</f>
        <v>5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s="76" customFormat="1" ht="15" customHeight="1" x14ac:dyDescent="0.3">
      <c r="A12" s="47">
        <f>COUNTIF(F$26:H$178,"City of Manchester 2 (W)")</f>
        <v>22</v>
      </c>
      <c r="B12" s="105" t="s">
        <v>286</v>
      </c>
      <c r="C12" s="74">
        <v>3019605</v>
      </c>
      <c r="D12" s="57">
        <f>COUNTIF(F$26:I$178,"3019605")</f>
        <v>22</v>
      </c>
      <c r="E12" s="59"/>
      <c r="F12" s="57">
        <f>COUNTIF(F$26:F$178,"City of Manchester 2 (W)")</f>
        <v>11</v>
      </c>
      <c r="G12" s="57"/>
      <c r="H12" s="57">
        <f>COUNTIF(H26:H178,"City of Manchester 2 (W)")</f>
        <v>11</v>
      </c>
      <c r="I12" s="57">
        <f>COUNTIF(F$26:F$101,"City of Manchester 2 (W)")</f>
        <v>6</v>
      </c>
      <c r="J12" s="57">
        <f>COUNTIF(F$102:F$178,"City of Manchester 2 (W)")</f>
        <v>5</v>
      </c>
      <c r="K12" s="57">
        <f>COUNTIF(H$26:H$101,"City of Manchester 2 (W)")</f>
        <v>5</v>
      </c>
      <c r="L12" s="57">
        <f>COUNTIF(H$102:H$178,"City of Manchester 2 (W)")</f>
        <v>6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s="76" customFormat="1" ht="15" customHeight="1" x14ac:dyDescent="0.3">
      <c r="A13" s="47">
        <f>COUNTIF(F$26:H$178,"Didsbury Northern 4 (W)")</f>
        <v>22</v>
      </c>
      <c r="B13" s="105" t="s">
        <v>287</v>
      </c>
      <c r="C13" s="74">
        <v>3206600</v>
      </c>
      <c r="D13" s="57">
        <f>COUNTIF(F$26:I$178,"3206600")</f>
        <v>22</v>
      </c>
      <c r="E13" s="59"/>
      <c r="F13" s="57">
        <f>COUNTIF(F$26:F$178,"Didsbury Northern 4 (W)")</f>
        <v>11</v>
      </c>
      <c r="G13" s="57"/>
      <c r="H13" s="57">
        <f>COUNTIF(H26:H178,"Didsbury Northern 4 (W)")</f>
        <v>11</v>
      </c>
      <c r="I13" s="57">
        <f>COUNTIF(F$26:F$101,"Didsbury Northern 4 (W)")</f>
        <v>6</v>
      </c>
      <c r="J13" s="57">
        <f>COUNTIF(F$102:F$178,"Didsbury Northern 4 (W)")</f>
        <v>5</v>
      </c>
      <c r="K13" s="57">
        <f>COUNTIF(H$26:H$101,"Didsbury Northern 4 (W)")</f>
        <v>5</v>
      </c>
      <c r="L13" s="57">
        <f>COUNTIF(H$102:H$178,"Didsbury Northern 4 (W)")</f>
        <v>6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s="76" customFormat="1" ht="15" customHeight="1" x14ac:dyDescent="0.3">
      <c r="A14" s="47">
        <f>COUNTIF(F$26:H$178,"Didsbury Northern 5 (W)")</f>
        <v>22</v>
      </c>
      <c r="B14" s="105" t="s">
        <v>323</v>
      </c>
      <c r="C14" s="74">
        <v>3206506</v>
      </c>
      <c r="D14" s="57">
        <f>COUNTIF(F$26:I$178,"3206506")</f>
        <v>22</v>
      </c>
      <c r="E14" s="59"/>
      <c r="F14" s="57">
        <f>COUNTIF(F$26:F$178,"Didsbury Northern 5 (W)")</f>
        <v>11</v>
      </c>
      <c r="G14" s="57"/>
      <c r="H14" s="57">
        <f>COUNTIF(H26:H178,"Didsbury Northern 5 (W)")</f>
        <v>11</v>
      </c>
      <c r="I14" s="57">
        <f>COUNTIF(F$26:F$101,"Didsbury Northern 5 (W)")</f>
        <v>5</v>
      </c>
      <c r="J14" s="57">
        <f>COUNTIF(F$102:F$178,"Didsbury Northern 5 (W)")</f>
        <v>6</v>
      </c>
      <c r="K14" s="57">
        <f>COUNTIF(H$26:H$101,"Didsbury Northern 5 (W)")</f>
        <v>6</v>
      </c>
      <c r="L14" s="57">
        <f>COUNTIF(H$102:H$178,"Didsbury Northern 5 (W)")</f>
        <v>5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s="76" customFormat="1" ht="15" customHeight="1" x14ac:dyDescent="0.3">
      <c r="A15" s="47">
        <f>COUNTIF(F$26:H$178,"Heaton 1 (W)")</f>
        <v>22</v>
      </c>
      <c r="B15" s="105" t="s">
        <v>442</v>
      </c>
      <c r="C15" s="74">
        <v>3205007</v>
      </c>
      <c r="D15" s="57">
        <f>COUNTIF(F$26:I$178,"3205007")</f>
        <v>22</v>
      </c>
      <c r="E15" s="59"/>
      <c r="F15" s="57">
        <f>COUNTIF(F$26:F$178,"Heaton 1 (W)")</f>
        <v>11</v>
      </c>
      <c r="G15" s="57"/>
      <c r="H15" s="57">
        <f>COUNTIF(H26:H178,"Heaton 1 (W)")</f>
        <v>11</v>
      </c>
      <c r="I15" s="57">
        <f>COUNTIF(F$26:F$101,"Heaton 1 (W)")</f>
        <v>6</v>
      </c>
      <c r="J15" s="57">
        <f>COUNTIF(F$102:F$178,"Heaton 1 (W)")</f>
        <v>5</v>
      </c>
      <c r="K15" s="57">
        <f>COUNTIF(H$26:H$101,"Heaton 1 (W)")</f>
        <v>5</v>
      </c>
      <c r="L15" s="57">
        <f>COUNTIF(H$102:H$178,"Heaton 1 (W)")</f>
        <v>6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s="76" customFormat="1" x14ac:dyDescent="0.3">
      <c r="A16" s="47">
        <f>COUNTIF(F$26:H$178,"Horwich 1 (W)")</f>
        <v>22</v>
      </c>
      <c r="B16" s="105" t="s">
        <v>360</v>
      </c>
      <c r="C16" s="74">
        <v>3203801</v>
      </c>
      <c r="D16" s="57">
        <f>COUNTIF(F$26:I$178,"3203801")</f>
        <v>22</v>
      </c>
      <c r="E16" s="59"/>
      <c r="F16" s="57">
        <f>COUNTIF(F$26:F$178,"Horwich 1 (W)")</f>
        <v>11</v>
      </c>
      <c r="G16" s="57"/>
      <c r="H16" s="57">
        <f>COUNTIF(H26:H178,"Horwich 1 (W)")</f>
        <v>11</v>
      </c>
      <c r="I16" s="57">
        <f>COUNTIF(F$26:F$101,"Horwich 1 (W)")</f>
        <v>6</v>
      </c>
      <c r="J16" s="57">
        <f>COUNTIF(F$102:F$178,"Horwich 1 (W)")</f>
        <v>5</v>
      </c>
      <c r="K16" s="57">
        <f>COUNTIF(H$26:H$101,"Horwich 1 (W)")</f>
        <v>5</v>
      </c>
      <c r="L16" s="57">
        <f>COUNTIF(H$102:H$178,"Horwich 1 (W)")</f>
        <v>6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s="76" customFormat="1" x14ac:dyDescent="0.3">
      <c r="A17" s="47">
        <f>COUNTIF(F$26:H$178,"Macclesfield 2 (W)")</f>
        <v>22</v>
      </c>
      <c r="B17" s="105" t="s">
        <v>340</v>
      </c>
      <c r="C17" s="74">
        <v>3201803</v>
      </c>
      <c r="D17" s="57">
        <f>COUNTIF(F$26:I$178,"3201803")</f>
        <v>22</v>
      </c>
      <c r="E17" s="59"/>
      <c r="F17" s="57">
        <f>COUNTIF(F$26:F$178,"Macclesfield 2 (W)")</f>
        <v>11</v>
      </c>
      <c r="G17" s="57"/>
      <c r="H17" s="57">
        <f>COUNTIF(H26:H178,"Macclesfield 2 (W)")</f>
        <v>11</v>
      </c>
      <c r="I17" s="57">
        <f>COUNTIF(F$26:F$101,"Macclesfield 2 (W)")</f>
        <v>5</v>
      </c>
      <c r="J17" s="57">
        <f>COUNTIF(F$102:F$178,"Macclesfield 2 (W)")</f>
        <v>6</v>
      </c>
      <c r="K17" s="57">
        <f>COUNTIF(H$26:H$101,"Macclesfield 2 (W)")</f>
        <v>6</v>
      </c>
      <c r="L17" s="57">
        <f>COUNTIF(H$102:H$178,"Macclesfield 2 (W)")</f>
        <v>5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s="76" customFormat="1" x14ac:dyDescent="0.3">
      <c r="A18" s="47">
        <f>COUNTIF(F$26:H$178,"Manchester Manto 1 (W)")</f>
        <v>22</v>
      </c>
      <c r="B18" s="105" t="s">
        <v>324</v>
      </c>
      <c r="C18" s="74">
        <v>3201605</v>
      </c>
      <c r="D18" s="57">
        <f>COUNTIF(F$26:I$178,"3201605")</f>
        <v>22</v>
      </c>
      <c r="E18" s="59"/>
      <c r="F18" s="57">
        <f>COUNTIF(F$26:F$178,"Manchester Manto 1 (W)")</f>
        <v>11</v>
      </c>
      <c r="G18" s="57"/>
      <c r="H18" s="57">
        <f>COUNTIF(H26:H178,"Manchester Manto 1 (W)")</f>
        <v>11</v>
      </c>
      <c r="I18" s="57">
        <f>COUNTIF(F$26:F$101,"Manchester Manto 1 (W)")</f>
        <v>5</v>
      </c>
      <c r="J18" s="57">
        <f>COUNTIF(F$102:F$178,"Manchester Manto 1 (W)")</f>
        <v>6</v>
      </c>
      <c r="K18" s="57">
        <f>COUNTIF(H$26:H$101,"Manchester Manto 1 (W)")</f>
        <v>6</v>
      </c>
      <c r="L18" s="57">
        <f>COUNTIF(H$102:H$178,"Manchester Manto 1 (W)")</f>
        <v>5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s="76" customFormat="1" x14ac:dyDescent="0.3">
      <c r="A19" s="47">
        <f>COUNTIF(F$26:H$178,"Stockport Bramhall 1 (W)")</f>
        <v>22</v>
      </c>
      <c r="B19" s="105" t="s">
        <v>280</v>
      </c>
      <c r="C19" s="74">
        <v>3198103</v>
      </c>
      <c r="D19" s="57">
        <f>COUNTIF(F$26:I$178,"3198103")</f>
        <v>22</v>
      </c>
      <c r="E19" s="59"/>
      <c r="F19" s="57">
        <f>COUNTIF(F$26:F$178,"Timperley 4 (W)")</f>
        <v>11</v>
      </c>
      <c r="G19" s="57"/>
      <c r="H19" s="57">
        <f>COUNTIF(H26:H178,"Timperley 4 (W)")</f>
        <v>11</v>
      </c>
      <c r="I19" s="57">
        <f>COUNTIF(F$26:F$101,"Stockport Bramhall 1 (W)")</f>
        <v>6</v>
      </c>
      <c r="J19" s="57">
        <f>COUNTIF(F$102:F$178,"Stockport Bramhall 1 (W)")</f>
        <v>5</v>
      </c>
      <c r="K19" s="57">
        <f>COUNTIF(H$26:H$101,"Stockport Bramhall 1 (W)")</f>
        <v>5</v>
      </c>
      <c r="L19" s="57">
        <f>COUNTIF(H$102:H$178,"Stockport Bramhall 1 (W)")</f>
        <v>6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s="76" customFormat="1" x14ac:dyDescent="0.3">
      <c r="A20" s="47">
        <f>COUNTIF(F$26:H$178,"Timperley 4 (W)")</f>
        <v>22</v>
      </c>
      <c r="B20" s="105" t="s">
        <v>328</v>
      </c>
      <c r="C20" s="74">
        <v>3196803</v>
      </c>
      <c r="D20" s="57">
        <f>COUNTIF(F$26:I$178,"3196803")</f>
        <v>22</v>
      </c>
      <c r="E20" s="59"/>
      <c r="F20" s="57">
        <f>COUNTIF(F$26:F$178,"Timperley 4 (W)")</f>
        <v>11</v>
      </c>
      <c r="G20" s="57"/>
      <c r="H20" s="57">
        <f>COUNTIF(H26:H178,"Timperley 4 (W)")</f>
        <v>11</v>
      </c>
      <c r="I20" s="57">
        <f>COUNTIF(F$26:F$101,"Timperley 4 (W)")</f>
        <v>5</v>
      </c>
      <c r="J20" s="57">
        <f>COUNTIF(F$102:F$178,"Timperley 4 (W)")</f>
        <v>6</v>
      </c>
      <c r="K20" s="57">
        <f>COUNTIF(H$26:H$101,"Timperley 4 (W)")</f>
        <v>6</v>
      </c>
      <c r="L20" s="57">
        <f>COUNTIF(H$102:H$178,"Timperley 4 (W)")</f>
        <v>5</v>
      </c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s="76" customFormat="1" x14ac:dyDescent="0.3">
      <c r="A21" s="47">
        <f>COUNTIF(F$26:H$178,"Wigan 1 (W)")</f>
        <v>22</v>
      </c>
      <c r="B21" s="105" t="s">
        <v>292</v>
      </c>
      <c r="C21" s="74">
        <v>3195304</v>
      </c>
      <c r="D21" s="57">
        <f>COUNTIF(F$26:I$178,"3195304")</f>
        <v>22</v>
      </c>
      <c r="E21" s="59"/>
      <c r="F21" s="57">
        <f>COUNTIF(F$26:F$178,"Wigan 1 (W)")</f>
        <v>11</v>
      </c>
      <c r="G21" s="57"/>
      <c r="H21" s="57">
        <f>COUNTIF(H26:H178,"Wigan 1 (W)")</f>
        <v>11</v>
      </c>
      <c r="I21" s="57">
        <f>COUNTIF(F$26:F$101,"Wigan 1 (W)")</f>
        <v>6</v>
      </c>
      <c r="J21" s="57">
        <f>COUNTIF(F$102:F$178,"Wigan 1 (W)")</f>
        <v>5</v>
      </c>
      <c r="K21" s="57">
        <f>COUNTIF(H$26:H$101,"Wigan 1 (W)")</f>
        <v>5</v>
      </c>
      <c r="L21" s="57">
        <f>COUNTIF(H$102:H$178,"Wigan 1 (W)")</f>
        <v>6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3" spans="1:43" ht="21" x14ac:dyDescent="0.4">
      <c r="B23" s="22" t="s">
        <v>93</v>
      </c>
    </row>
    <row r="24" spans="1:43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43" x14ac:dyDescent="0.3">
      <c r="B25" s="40"/>
      <c r="C25" s="14"/>
      <c r="D25" s="14"/>
      <c r="E25" s="14"/>
      <c r="F25" s="14"/>
      <c r="G25" s="14"/>
      <c r="H25" s="13"/>
      <c r="I25" s="14"/>
    </row>
    <row r="26" spans="1:43" x14ac:dyDescent="0.3">
      <c r="B26" s="44">
        <v>45913</v>
      </c>
      <c r="C26" s="3" t="s">
        <v>416</v>
      </c>
      <c r="D26" s="3" t="s">
        <v>62</v>
      </c>
      <c r="E26" s="101"/>
      <c r="F26" s="4" t="s">
        <v>442</v>
      </c>
      <c r="G26" s="4">
        <v>3205007</v>
      </c>
      <c r="H26" s="3" t="s">
        <v>360</v>
      </c>
      <c r="I26" s="4">
        <v>3203801</v>
      </c>
    </row>
    <row r="27" spans="1:43" x14ac:dyDescent="0.3">
      <c r="B27" s="44">
        <v>45913</v>
      </c>
      <c r="C27" s="3" t="s">
        <v>416</v>
      </c>
      <c r="D27" s="3" t="s">
        <v>62</v>
      </c>
      <c r="E27" s="101"/>
      <c r="F27" s="4" t="s">
        <v>287</v>
      </c>
      <c r="G27" s="4">
        <v>3206600</v>
      </c>
      <c r="H27" s="3" t="s">
        <v>340</v>
      </c>
      <c r="I27" s="4">
        <v>3201803</v>
      </c>
    </row>
    <row r="28" spans="1:43" x14ac:dyDescent="0.3">
      <c r="B28" s="44">
        <v>45913</v>
      </c>
      <c r="C28" s="3" t="s">
        <v>416</v>
      </c>
      <c r="D28" s="3" t="s">
        <v>62</v>
      </c>
      <c r="E28" s="101"/>
      <c r="F28" s="4" t="s">
        <v>323</v>
      </c>
      <c r="G28" s="4">
        <v>3206506</v>
      </c>
      <c r="H28" s="3" t="s">
        <v>443</v>
      </c>
      <c r="I28" s="4">
        <v>3210008</v>
      </c>
    </row>
    <row r="29" spans="1:43" x14ac:dyDescent="0.3">
      <c r="B29" s="44">
        <v>45913</v>
      </c>
      <c r="C29" s="3" t="s">
        <v>416</v>
      </c>
      <c r="D29" s="3" t="s">
        <v>62</v>
      </c>
      <c r="E29" s="101"/>
      <c r="F29" s="4" t="s">
        <v>280</v>
      </c>
      <c r="G29" s="4">
        <v>3198103</v>
      </c>
      <c r="H29" s="3" t="s">
        <v>319</v>
      </c>
      <c r="I29" s="4">
        <v>3210508</v>
      </c>
    </row>
    <row r="30" spans="1:43" x14ac:dyDescent="0.3">
      <c r="B30" s="44">
        <v>45913</v>
      </c>
      <c r="C30" s="3" t="s">
        <v>416</v>
      </c>
      <c r="D30" s="3" t="s">
        <v>62</v>
      </c>
      <c r="E30" s="101"/>
      <c r="F30" s="3" t="s">
        <v>286</v>
      </c>
      <c r="G30" s="4">
        <v>3019605</v>
      </c>
      <c r="H30" s="4" t="s">
        <v>324</v>
      </c>
      <c r="I30" s="4">
        <v>3201605</v>
      </c>
    </row>
    <row r="31" spans="1:43" x14ac:dyDescent="0.3">
      <c r="B31" s="44">
        <v>45913</v>
      </c>
      <c r="C31" s="3" t="s">
        <v>416</v>
      </c>
      <c r="D31" s="3" t="s">
        <v>62</v>
      </c>
      <c r="E31" s="101"/>
      <c r="F31" s="4" t="s">
        <v>292</v>
      </c>
      <c r="G31" s="4">
        <v>3195304</v>
      </c>
      <c r="H31" s="3" t="s">
        <v>328</v>
      </c>
      <c r="I31" s="4">
        <v>3196803</v>
      </c>
      <c r="J31" s="4"/>
      <c r="K31" s="4"/>
    </row>
    <row r="32" spans="1:43" x14ac:dyDescent="0.3">
      <c r="B32" s="4"/>
      <c r="E32" s="101"/>
      <c r="F32" s="4" t="s">
        <v>418</v>
      </c>
      <c r="G32" s="4" t="s">
        <v>418</v>
      </c>
      <c r="H32" s="3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62</v>
      </c>
      <c r="E33" s="101"/>
      <c r="F33" s="3" t="s">
        <v>360</v>
      </c>
      <c r="G33" s="4">
        <v>3203801</v>
      </c>
      <c r="H33" s="3" t="s">
        <v>323</v>
      </c>
      <c r="I33" s="4">
        <v>3206506</v>
      </c>
    </row>
    <row r="34" spans="2:9" x14ac:dyDescent="0.3">
      <c r="B34" s="44">
        <v>45920</v>
      </c>
      <c r="C34" s="3" t="s">
        <v>416</v>
      </c>
      <c r="D34" s="3" t="s">
        <v>62</v>
      </c>
      <c r="E34" s="101"/>
      <c r="F34" s="3" t="s">
        <v>340</v>
      </c>
      <c r="G34" s="4">
        <v>3201803</v>
      </c>
      <c r="H34" s="4" t="s">
        <v>324</v>
      </c>
      <c r="I34" s="4">
        <v>3201605</v>
      </c>
    </row>
    <row r="35" spans="2:9" x14ac:dyDescent="0.3">
      <c r="B35" s="44">
        <v>45920</v>
      </c>
      <c r="C35" s="3" t="s">
        <v>416</v>
      </c>
      <c r="D35" s="3" t="s">
        <v>62</v>
      </c>
      <c r="E35" s="101"/>
      <c r="F35" s="3" t="s">
        <v>286</v>
      </c>
      <c r="G35" s="4">
        <v>3019605</v>
      </c>
      <c r="H35" s="4" t="s">
        <v>292</v>
      </c>
      <c r="I35" s="4">
        <v>3195304</v>
      </c>
    </row>
    <row r="36" spans="2:9" x14ac:dyDescent="0.3">
      <c r="B36" s="44">
        <v>45920</v>
      </c>
      <c r="C36" s="3" t="s">
        <v>416</v>
      </c>
      <c r="D36" s="3" t="s">
        <v>62</v>
      </c>
      <c r="E36" s="101"/>
      <c r="F36" s="3" t="s">
        <v>319</v>
      </c>
      <c r="G36" s="4">
        <v>3210508</v>
      </c>
      <c r="H36" s="4" t="s">
        <v>442</v>
      </c>
      <c r="I36" s="4">
        <v>3205007</v>
      </c>
    </row>
    <row r="37" spans="2:9" x14ac:dyDescent="0.3">
      <c r="B37" s="44">
        <v>45920</v>
      </c>
      <c r="C37" s="3" t="s">
        <v>416</v>
      </c>
      <c r="D37" s="3" t="s">
        <v>62</v>
      </c>
      <c r="E37" s="101"/>
      <c r="F37" s="3" t="s">
        <v>328</v>
      </c>
      <c r="G37" s="4">
        <v>3196803</v>
      </c>
      <c r="H37" s="4" t="s">
        <v>280</v>
      </c>
      <c r="I37" s="4">
        <v>3198103</v>
      </c>
    </row>
    <row r="38" spans="2:9" x14ac:dyDescent="0.3">
      <c r="B38" s="44">
        <v>45920</v>
      </c>
      <c r="C38" s="3" t="s">
        <v>416</v>
      </c>
      <c r="D38" s="3" t="s">
        <v>62</v>
      </c>
      <c r="E38" s="101"/>
      <c r="F38" s="3" t="s">
        <v>443</v>
      </c>
      <c r="G38" s="4">
        <v>3210008</v>
      </c>
      <c r="H38" s="4" t="s">
        <v>287</v>
      </c>
      <c r="I38" s="4">
        <v>3206600</v>
      </c>
    </row>
    <row r="39" spans="2:9" x14ac:dyDescent="0.3">
      <c r="B39" s="4"/>
      <c r="E39" s="101"/>
      <c r="F39" s="4" t="s">
        <v>418</v>
      </c>
      <c r="G39" s="4" t="s">
        <v>418</v>
      </c>
      <c r="H39" s="3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62</v>
      </c>
      <c r="E40" s="101"/>
      <c r="F40" s="3" t="s">
        <v>442</v>
      </c>
      <c r="G40" s="4">
        <v>3205007</v>
      </c>
      <c r="H40" s="3" t="s">
        <v>328</v>
      </c>
      <c r="I40" s="4">
        <v>3196803</v>
      </c>
    </row>
    <row r="41" spans="2:9" x14ac:dyDescent="0.3">
      <c r="B41" s="44">
        <v>45927</v>
      </c>
      <c r="C41" s="3" t="s">
        <v>416</v>
      </c>
      <c r="D41" s="3" t="s">
        <v>62</v>
      </c>
      <c r="E41" s="101"/>
      <c r="F41" s="4" t="s">
        <v>360</v>
      </c>
      <c r="G41" s="4">
        <v>3203801</v>
      </c>
      <c r="H41" s="3" t="s">
        <v>319</v>
      </c>
      <c r="I41" s="4">
        <v>3210508</v>
      </c>
    </row>
    <row r="42" spans="2:9" x14ac:dyDescent="0.3">
      <c r="B42" s="44">
        <v>45927</v>
      </c>
      <c r="C42" s="3" t="s">
        <v>416</v>
      </c>
      <c r="D42" s="3" t="s">
        <v>62</v>
      </c>
      <c r="E42" s="101"/>
      <c r="F42" s="4" t="s">
        <v>287</v>
      </c>
      <c r="G42" s="4">
        <v>3206600</v>
      </c>
      <c r="H42" s="3" t="s">
        <v>323</v>
      </c>
      <c r="I42" s="4">
        <v>3206506</v>
      </c>
    </row>
    <row r="43" spans="2:9" x14ac:dyDescent="0.3">
      <c r="B43" s="44">
        <v>45927</v>
      </c>
      <c r="C43" s="3" t="s">
        <v>416</v>
      </c>
      <c r="D43" s="3" t="s">
        <v>62</v>
      </c>
      <c r="E43" s="101"/>
      <c r="F43" s="4" t="s">
        <v>280</v>
      </c>
      <c r="G43" s="4">
        <v>3198103</v>
      </c>
      <c r="H43" s="3" t="s">
        <v>286</v>
      </c>
      <c r="I43" s="4">
        <v>3019605</v>
      </c>
    </row>
    <row r="44" spans="2:9" x14ac:dyDescent="0.3">
      <c r="B44" s="44">
        <v>45927</v>
      </c>
      <c r="C44" s="3" t="s">
        <v>416</v>
      </c>
      <c r="D44" s="3" t="s">
        <v>62</v>
      </c>
      <c r="E44" s="101"/>
      <c r="F44" s="4" t="s">
        <v>324</v>
      </c>
      <c r="G44" s="4">
        <v>3201605</v>
      </c>
      <c r="H44" s="3" t="s">
        <v>443</v>
      </c>
      <c r="I44" s="4">
        <v>3210008</v>
      </c>
    </row>
    <row r="45" spans="2:9" x14ac:dyDescent="0.3">
      <c r="B45" s="44">
        <v>45927</v>
      </c>
      <c r="C45" s="3" t="s">
        <v>416</v>
      </c>
      <c r="D45" s="3" t="s">
        <v>62</v>
      </c>
      <c r="E45" s="101"/>
      <c r="F45" s="4" t="s">
        <v>292</v>
      </c>
      <c r="G45" s="4">
        <v>3195304</v>
      </c>
      <c r="H45" s="3" t="s">
        <v>340</v>
      </c>
      <c r="I45" s="4">
        <v>3201803</v>
      </c>
    </row>
    <row r="46" spans="2:9" x14ac:dyDescent="0.3">
      <c r="B46" s="4"/>
      <c r="E46" s="101"/>
      <c r="F46" s="4" t="s">
        <v>418</v>
      </c>
      <c r="G46" s="4" t="s">
        <v>418</v>
      </c>
      <c r="H46" s="3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62</v>
      </c>
      <c r="E47" s="101"/>
      <c r="F47" s="4" t="s">
        <v>287</v>
      </c>
      <c r="G47" s="4">
        <v>3206600</v>
      </c>
      <c r="H47" s="4" t="s">
        <v>360</v>
      </c>
      <c r="I47" s="4">
        <v>3203801</v>
      </c>
    </row>
    <row r="48" spans="2:9" x14ac:dyDescent="0.3">
      <c r="B48" s="44">
        <v>45934</v>
      </c>
      <c r="C48" s="3" t="s">
        <v>416</v>
      </c>
      <c r="D48" s="3" t="s">
        <v>62</v>
      </c>
      <c r="E48" s="101"/>
      <c r="F48" s="4" t="s">
        <v>340</v>
      </c>
      <c r="G48" s="4">
        <v>3201803</v>
      </c>
      <c r="H48" s="3" t="s">
        <v>280</v>
      </c>
      <c r="I48" s="4">
        <v>3198103</v>
      </c>
    </row>
    <row r="49" spans="2:9" x14ac:dyDescent="0.3">
      <c r="B49" s="44">
        <v>45934</v>
      </c>
      <c r="C49" s="3" t="s">
        <v>416</v>
      </c>
      <c r="D49" s="3" t="s">
        <v>62</v>
      </c>
      <c r="E49" s="101"/>
      <c r="F49" s="3" t="s">
        <v>286</v>
      </c>
      <c r="G49" s="4">
        <v>3019605</v>
      </c>
      <c r="H49" s="3" t="s">
        <v>442</v>
      </c>
      <c r="I49" s="4">
        <v>3205007</v>
      </c>
    </row>
    <row r="50" spans="2:9" x14ac:dyDescent="0.3">
      <c r="B50" s="44">
        <v>45934</v>
      </c>
      <c r="C50" s="3" t="s">
        <v>416</v>
      </c>
      <c r="D50" s="3" t="s">
        <v>62</v>
      </c>
      <c r="E50" s="101"/>
      <c r="F50" s="3" t="s">
        <v>323</v>
      </c>
      <c r="G50" s="4">
        <v>3206506</v>
      </c>
      <c r="H50" s="4" t="s">
        <v>324</v>
      </c>
      <c r="I50" s="4">
        <v>3201605</v>
      </c>
    </row>
    <row r="51" spans="2:9" x14ac:dyDescent="0.3">
      <c r="B51" s="44">
        <v>45934</v>
      </c>
      <c r="C51" s="3" t="s">
        <v>416</v>
      </c>
      <c r="D51" s="3" t="s">
        <v>62</v>
      </c>
      <c r="E51" s="101"/>
      <c r="F51" s="3" t="s">
        <v>328</v>
      </c>
      <c r="G51" s="4">
        <v>3196803</v>
      </c>
      <c r="H51" s="4" t="s">
        <v>319</v>
      </c>
      <c r="I51" s="4">
        <v>3210508</v>
      </c>
    </row>
    <row r="52" spans="2:9" x14ac:dyDescent="0.3">
      <c r="B52" s="44">
        <v>45934</v>
      </c>
      <c r="C52" s="3" t="s">
        <v>416</v>
      </c>
      <c r="D52" s="3" t="s">
        <v>62</v>
      </c>
      <c r="E52" s="101"/>
      <c r="F52" s="3" t="s">
        <v>443</v>
      </c>
      <c r="G52" s="4">
        <v>3210008</v>
      </c>
      <c r="H52" s="4" t="s">
        <v>292</v>
      </c>
      <c r="I52" s="4">
        <v>3195304</v>
      </c>
    </row>
    <row r="53" spans="2:9" x14ac:dyDescent="0.3">
      <c r="B53" s="4"/>
      <c r="E53" s="101"/>
      <c r="F53" s="4" t="s">
        <v>418</v>
      </c>
      <c r="G53" s="4" t="s">
        <v>418</v>
      </c>
      <c r="H53" s="3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62</v>
      </c>
      <c r="E54" s="101"/>
      <c r="F54" s="3" t="s">
        <v>442</v>
      </c>
      <c r="G54" s="4">
        <v>3205007</v>
      </c>
      <c r="H54" s="3" t="s">
        <v>340</v>
      </c>
      <c r="I54" s="4">
        <v>3201803</v>
      </c>
    </row>
    <row r="55" spans="2:9" x14ac:dyDescent="0.3">
      <c r="B55" s="44">
        <v>45941</v>
      </c>
      <c r="C55" s="3" t="s">
        <v>416</v>
      </c>
      <c r="D55" s="3" t="s">
        <v>62</v>
      </c>
      <c r="E55" s="101"/>
      <c r="F55" s="3" t="s">
        <v>360</v>
      </c>
      <c r="G55" s="4">
        <v>3203801</v>
      </c>
      <c r="H55" s="3" t="s">
        <v>328</v>
      </c>
      <c r="I55" s="4">
        <v>3196803</v>
      </c>
    </row>
    <row r="56" spans="2:9" x14ac:dyDescent="0.3">
      <c r="B56" s="44">
        <v>45941</v>
      </c>
      <c r="C56" s="3" t="s">
        <v>416</v>
      </c>
      <c r="D56" s="3" t="s">
        <v>62</v>
      </c>
      <c r="E56" s="101"/>
      <c r="F56" s="4" t="s">
        <v>319</v>
      </c>
      <c r="G56" s="4">
        <v>3210508</v>
      </c>
      <c r="H56" s="4" t="s">
        <v>286</v>
      </c>
      <c r="I56" s="4">
        <v>3019605</v>
      </c>
    </row>
    <row r="57" spans="2:9" x14ac:dyDescent="0.3">
      <c r="B57" s="44">
        <v>45941</v>
      </c>
      <c r="C57" s="3" t="s">
        <v>416</v>
      </c>
      <c r="D57" s="3" t="s">
        <v>62</v>
      </c>
      <c r="E57" s="101"/>
      <c r="F57" s="4" t="s">
        <v>280</v>
      </c>
      <c r="G57" s="4">
        <v>3198103</v>
      </c>
      <c r="H57" s="3" t="s">
        <v>443</v>
      </c>
      <c r="I57" s="4">
        <v>3210008</v>
      </c>
    </row>
    <row r="58" spans="2:9" x14ac:dyDescent="0.3">
      <c r="B58" s="44">
        <v>45941</v>
      </c>
      <c r="C58" s="3" t="s">
        <v>416</v>
      </c>
      <c r="D58" s="3" t="s">
        <v>62</v>
      </c>
      <c r="E58" s="101"/>
      <c r="F58" s="4" t="s">
        <v>324</v>
      </c>
      <c r="G58" s="4">
        <v>3201605</v>
      </c>
      <c r="H58" s="3" t="s">
        <v>287</v>
      </c>
      <c r="I58" s="4">
        <v>3206600</v>
      </c>
    </row>
    <row r="59" spans="2:9" x14ac:dyDescent="0.3">
      <c r="B59" s="44">
        <v>45941</v>
      </c>
      <c r="C59" s="3" t="s">
        <v>416</v>
      </c>
      <c r="D59" s="3" t="s">
        <v>62</v>
      </c>
      <c r="E59" s="101"/>
      <c r="F59" s="4" t="s">
        <v>292</v>
      </c>
      <c r="G59" s="4">
        <v>3195304</v>
      </c>
      <c r="H59" s="3" t="s">
        <v>323</v>
      </c>
      <c r="I59" s="4">
        <v>3206506</v>
      </c>
    </row>
    <row r="60" spans="2:9" x14ac:dyDescent="0.3">
      <c r="B60" s="4"/>
      <c r="E60" s="101"/>
      <c r="F60" s="4" t="s">
        <v>418</v>
      </c>
      <c r="G60" s="4" t="s">
        <v>418</v>
      </c>
      <c r="H60" s="3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62</v>
      </c>
      <c r="E61" s="101"/>
      <c r="F61" s="4" t="s">
        <v>287</v>
      </c>
      <c r="G61" s="4">
        <v>3206600</v>
      </c>
      <c r="H61" s="4" t="s">
        <v>292</v>
      </c>
      <c r="I61" s="4">
        <v>3195304</v>
      </c>
    </row>
    <row r="62" spans="2:9" x14ac:dyDescent="0.3">
      <c r="B62" s="44">
        <v>45948</v>
      </c>
      <c r="C62" s="3" t="s">
        <v>416</v>
      </c>
      <c r="D62" s="3" t="s">
        <v>62</v>
      </c>
      <c r="E62" s="101"/>
      <c r="F62" s="4" t="s">
        <v>340</v>
      </c>
      <c r="G62" s="4">
        <v>3201803</v>
      </c>
      <c r="H62" s="4" t="s">
        <v>319</v>
      </c>
      <c r="I62" s="4">
        <v>3210508</v>
      </c>
    </row>
    <row r="63" spans="2:9" x14ac:dyDescent="0.3">
      <c r="B63" s="44">
        <v>45948</v>
      </c>
      <c r="C63" s="3" t="s">
        <v>416</v>
      </c>
      <c r="D63" s="3" t="s">
        <v>62</v>
      </c>
      <c r="E63" s="101"/>
      <c r="F63" s="4" t="s">
        <v>286</v>
      </c>
      <c r="G63" s="4">
        <v>3019605</v>
      </c>
      <c r="H63" s="3" t="s">
        <v>328</v>
      </c>
      <c r="I63" s="4">
        <v>3196803</v>
      </c>
    </row>
    <row r="64" spans="2:9" x14ac:dyDescent="0.3">
      <c r="B64" s="44">
        <v>45948</v>
      </c>
      <c r="C64" s="3" t="s">
        <v>416</v>
      </c>
      <c r="D64" s="3" t="s">
        <v>62</v>
      </c>
      <c r="E64" s="101"/>
      <c r="F64" s="3" t="s">
        <v>323</v>
      </c>
      <c r="G64" s="4">
        <v>3206506</v>
      </c>
      <c r="H64" s="4" t="s">
        <v>280</v>
      </c>
      <c r="I64" s="4">
        <v>3198103</v>
      </c>
    </row>
    <row r="65" spans="2:9" x14ac:dyDescent="0.3">
      <c r="B65" s="44">
        <v>45948</v>
      </c>
      <c r="C65" s="3" t="s">
        <v>416</v>
      </c>
      <c r="D65" s="3" t="s">
        <v>62</v>
      </c>
      <c r="E65" s="101"/>
      <c r="F65" s="3" t="s">
        <v>324</v>
      </c>
      <c r="G65" s="4">
        <v>3201605</v>
      </c>
      <c r="H65" s="3" t="s">
        <v>360</v>
      </c>
      <c r="I65" s="4">
        <v>3203801</v>
      </c>
    </row>
    <row r="66" spans="2:9" x14ac:dyDescent="0.3">
      <c r="B66" s="44">
        <v>45948</v>
      </c>
      <c r="C66" s="3" t="s">
        <v>416</v>
      </c>
      <c r="D66" s="3" t="s">
        <v>62</v>
      </c>
      <c r="E66" s="101"/>
      <c r="F66" s="3" t="s">
        <v>443</v>
      </c>
      <c r="G66" s="4">
        <v>3210008</v>
      </c>
      <c r="H66" s="3" t="s">
        <v>442</v>
      </c>
      <c r="I66" s="4">
        <v>3205007</v>
      </c>
    </row>
    <row r="67" spans="2:9" x14ac:dyDescent="0.3">
      <c r="B67" s="4"/>
      <c r="E67" s="101"/>
      <c r="F67" s="4" t="s">
        <v>418</v>
      </c>
      <c r="G67" s="4" t="s">
        <v>418</v>
      </c>
      <c r="H67" s="3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62</v>
      </c>
      <c r="E68" s="101"/>
      <c r="F68" s="3" t="s">
        <v>442</v>
      </c>
      <c r="G68" s="4">
        <v>3205007</v>
      </c>
      <c r="H68" s="3" t="s">
        <v>323</v>
      </c>
      <c r="I68" s="4">
        <v>3206506</v>
      </c>
    </row>
    <row r="69" spans="2:9" x14ac:dyDescent="0.3">
      <c r="B69" s="44">
        <v>45962</v>
      </c>
      <c r="C69" s="3" t="s">
        <v>416</v>
      </c>
      <c r="D69" s="3" t="s">
        <v>62</v>
      </c>
      <c r="E69" s="101"/>
      <c r="F69" s="3" t="s">
        <v>360</v>
      </c>
      <c r="G69" s="4">
        <v>3203801</v>
      </c>
      <c r="H69" s="3" t="s">
        <v>286</v>
      </c>
      <c r="I69" s="4">
        <v>3019605</v>
      </c>
    </row>
    <row r="70" spans="2:9" x14ac:dyDescent="0.3">
      <c r="B70" s="44">
        <v>45962</v>
      </c>
      <c r="C70" s="3" t="s">
        <v>416</v>
      </c>
      <c r="D70" s="3" t="s">
        <v>62</v>
      </c>
      <c r="E70" s="101"/>
      <c r="F70" s="3" t="s">
        <v>319</v>
      </c>
      <c r="G70" s="4">
        <v>3210508</v>
      </c>
      <c r="H70" s="3" t="s">
        <v>443</v>
      </c>
      <c r="I70" s="4">
        <v>3210008</v>
      </c>
    </row>
    <row r="71" spans="2:9" x14ac:dyDescent="0.3">
      <c r="B71" s="44">
        <v>45962</v>
      </c>
      <c r="C71" s="3" t="s">
        <v>416</v>
      </c>
      <c r="D71" s="3" t="s">
        <v>62</v>
      </c>
      <c r="E71" s="101"/>
      <c r="F71" s="4" t="s">
        <v>328</v>
      </c>
      <c r="G71" s="4">
        <v>3196803</v>
      </c>
      <c r="H71" s="4" t="s">
        <v>340</v>
      </c>
      <c r="I71" s="4">
        <v>3201803</v>
      </c>
    </row>
    <row r="72" spans="2:9" x14ac:dyDescent="0.3">
      <c r="B72" s="44">
        <v>45962</v>
      </c>
      <c r="C72" s="3" t="s">
        <v>416</v>
      </c>
      <c r="D72" s="3" t="s">
        <v>62</v>
      </c>
      <c r="E72" s="101"/>
      <c r="F72" s="4" t="s">
        <v>280</v>
      </c>
      <c r="G72" s="4">
        <v>3198103</v>
      </c>
      <c r="H72" s="4" t="s">
        <v>287</v>
      </c>
      <c r="I72" s="4">
        <v>3206600</v>
      </c>
    </row>
    <row r="73" spans="2:9" x14ac:dyDescent="0.3">
      <c r="B73" s="44">
        <v>45962</v>
      </c>
      <c r="C73" s="3" t="s">
        <v>416</v>
      </c>
      <c r="D73" s="3" t="s">
        <v>62</v>
      </c>
      <c r="E73" s="101"/>
      <c r="F73" s="4" t="s">
        <v>292</v>
      </c>
      <c r="G73" s="4">
        <v>3195304</v>
      </c>
      <c r="H73" s="3" t="s">
        <v>324</v>
      </c>
      <c r="I73" s="4">
        <v>3201605</v>
      </c>
    </row>
    <row r="74" spans="2:9" x14ac:dyDescent="0.3">
      <c r="B74" s="4"/>
      <c r="E74" s="101"/>
      <c r="F74" s="4" t="s">
        <v>418</v>
      </c>
      <c r="G74" s="4" t="s">
        <v>418</v>
      </c>
      <c r="H74" s="3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62</v>
      </c>
      <c r="E75" s="101"/>
      <c r="F75" s="4" t="s">
        <v>287</v>
      </c>
      <c r="G75" s="4">
        <v>3206600</v>
      </c>
      <c r="H75" s="3" t="s">
        <v>442</v>
      </c>
      <c r="I75" s="4">
        <v>3205007</v>
      </c>
    </row>
    <row r="76" spans="2:9" x14ac:dyDescent="0.3">
      <c r="B76" s="44">
        <v>45969</v>
      </c>
      <c r="C76" s="3" t="s">
        <v>416</v>
      </c>
      <c r="D76" s="3" t="s">
        <v>62</v>
      </c>
      <c r="E76" s="101"/>
      <c r="F76" s="4" t="s">
        <v>340</v>
      </c>
      <c r="G76" s="4">
        <v>3201803</v>
      </c>
      <c r="H76" s="4" t="s">
        <v>286</v>
      </c>
      <c r="I76" s="4">
        <v>3019605</v>
      </c>
    </row>
    <row r="77" spans="2:9" x14ac:dyDescent="0.3">
      <c r="B77" s="44">
        <v>45969</v>
      </c>
      <c r="C77" s="3" t="s">
        <v>416</v>
      </c>
      <c r="D77" s="3" t="s">
        <v>62</v>
      </c>
      <c r="E77" s="101"/>
      <c r="F77" s="4" t="s">
        <v>323</v>
      </c>
      <c r="G77" s="4">
        <v>3206506</v>
      </c>
      <c r="H77" s="4" t="s">
        <v>319</v>
      </c>
      <c r="I77" s="4">
        <v>3210508</v>
      </c>
    </row>
    <row r="78" spans="2:9" x14ac:dyDescent="0.3">
      <c r="B78" s="44">
        <v>45969</v>
      </c>
      <c r="C78" s="3" t="s">
        <v>416</v>
      </c>
      <c r="D78" s="3" t="s">
        <v>62</v>
      </c>
      <c r="E78" s="101"/>
      <c r="F78" s="4" t="s">
        <v>324</v>
      </c>
      <c r="G78" s="4">
        <v>3201605</v>
      </c>
      <c r="H78" s="3" t="s">
        <v>280</v>
      </c>
      <c r="I78" s="4">
        <v>3198103</v>
      </c>
    </row>
    <row r="79" spans="2:9" x14ac:dyDescent="0.3">
      <c r="B79" s="44">
        <v>45969</v>
      </c>
      <c r="C79" s="3" t="s">
        <v>416</v>
      </c>
      <c r="D79" s="3" t="s">
        <v>62</v>
      </c>
      <c r="E79" s="101"/>
      <c r="F79" s="3" t="s">
        <v>443</v>
      </c>
      <c r="G79" s="4">
        <v>3210008</v>
      </c>
      <c r="H79" s="3" t="s">
        <v>328</v>
      </c>
      <c r="I79" s="4">
        <v>3196803</v>
      </c>
    </row>
    <row r="80" spans="2:9" x14ac:dyDescent="0.3">
      <c r="B80" s="44">
        <v>45969</v>
      </c>
      <c r="C80" s="3" t="s">
        <v>416</v>
      </c>
      <c r="D80" s="3" t="s">
        <v>62</v>
      </c>
      <c r="E80" s="101"/>
      <c r="F80" s="3" t="s">
        <v>292</v>
      </c>
      <c r="G80" s="4">
        <v>3195304</v>
      </c>
      <c r="H80" s="3" t="s">
        <v>360</v>
      </c>
      <c r="I80" s="4">
        <v>3203801</v>
      </c>
    </row>
    <row r="81" spans="2:9" x14ac:dyDescent="0.3">
      <c r="B81" s="4"/>
      <c r="E81" s="101"/>
      <c r="F81" s="4" t="s">
        <v>418</v>
      </c>
      <c r="G81" s="4" t="s">
        <v>418</v>
      </c>
      <c r="H81" s="3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62</v>
      </c>
      <c r="E82" s="101"/>
      <c r="F82" s="3" t="s">
        <v>442</v>
      </c>
      <c r="G82" s="4">
        <v>3205007</v>
      </c>
      <c r="H82" s="3" t="s">
        <v>324</v>
      </c>
      <c r="I82" s="4">
        <v>3201605</v>
      </c>
    </row>
    <row r="83" spans="2:9" x14ac:dyDescent="0.3">
      <c r="B83" s="44">
        <v>45976</v>
      </c>
      <c r="C83" s="3" t="s">
        <v>416</v>
      </c>
      <c r="D83" s="3" t="s">
        <v>62</v>
      </c>
      <c r="E83" s="101"/>
      <c r="F83" s="3" t="s">
        <v>360</v>
      </c>
      <c r="G83" s="4">
        <v>3203801</v>
      </c>
      <c r="H83" s="4" t="s">
        <v>340</v>
      </c>
      <c r="I83" s="4">
        <v>3201803</v>
      </c>
    </row>
    <row r="84" spans="2:9" x14ac:dyDescent="0.3">
      <c r="B84" s="44">
        <v>45976</v>
      </c>
      <c r="C84" s="3" t="s">
        <v>416</v>
      </c>
      <c r="D84" s="3" t="s">
        <v>62</v>
      </c>
      <c r="E84" s="101"/>
      <c r="F84" s="3" t="s">
        <v>286</v>
      </c>
      <c r="G84" s="4">
        <v>3019605</v>
      </c>
      <c r="H84" s="3" t="s">
        <v>443</v>
      </c>
      <c r="I84" s="4">
        <v>3210008</v>
      </c>
    </row>
    <row r="85" spans="2:9" x14ac:dyDescent="0.3">
      <c r="B85" s="44">
        <v>45976</v>
      </c>
      <c r="C85" s="3" t="s">
        <v>416</v>
      </c>
      <c r="D85" s="3" t="s">
        <v>62</v>
      </c>
      <c r="E85" s="101"/>
      <c r="F85" s="4" t="s">
        <v>319</v>
      </c>
      <c r="G85" s="4">
        <v>3210508</v>
      </c>
      <c r="H85" s="4" t="s">
        <v>287</v>
      </c>
      <c r="I85" s="4">
        <v>3206600</v>
      </c>
    </row>
    <row r="86" spans="2:9" x14ac:dyDescent="0.3">
      <c r="B86" s="44">
        <v>45976</v>
      </c>
      <c r="C86" s="3" t="s">
        <v>416</v>
      </c>
      <c r="D86" s="3" t="s">
        <v>62</v>
      </c>
      <c r="E86" s="101"/>
      <c r="F86" s="4" t="s">
        <v>328</v>
      </c>
      <c r="G86" s="4">
        <v>3196803</v>
      </c>
      <c r="H86" s="4" t="s">
        <v>323</v>
      </c>
      <c r="I86" s="4">
        <v>3206506</v>
      </c>
    </row>
    <row r="87" spans="2:9" x14ac:dyDescent="0.3">
      <c r="B87" s="44">
        <v>45976</v>
      </c>
      <c r="C87" s="3" t="s">
        <v>416</v>
      </c>
      <c r="D87" s="3" t="s">
        <v>62</v>
      </c>
      <c r="E87" s="101"/>
      <c r="F87" s="3" t="s">
        <v>280</v>
      </c>
      <c r="G87" s="4">
        <v>3198103</v>
      </c>
      <c r="H87" s="3" t="s">
        <v>292</v>
      </c>
      <c r="I87" s="4">
        <v>3195304</v>
      </c>
    </row>
    <row r="88" spans="2:9" x14ac:dyDescent="0.3">
      <c r="B88" s="4"/>
      <c r="E88" s="101"/>
      <c r="F88" s="4" t="s">
        <v>418</v>
      </c>
      <c r="G88" s="4" t="s">
        <v>418</v>
      </c>
      <c r="H88" s="3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62</v>
      </c>
      <c r="E89" s="101"/>
      <c r="F89" s="4" t="s">
        <v>287</v>
      </c>
      <c r="G89" s="4">
        <v>3206600</v>
      </c>
      <c r="H89" s="3" t="s">
        <v>328</v>
      </c>
      <c r="I89" s="4">
        <v>3196803</v>
      </c>
    </row>
    <row r="90" spans="2:9" x14ac:dyDescent="0.3">
      <c r="B90" s="44">
        <v>45983</v>
      </c>
      <c r="C90" s="3" t="s">
        <v>416</v>
      </c>
      <c r="D90" s="3" t="s">
        <v>62</v>
      </c>
      <c r="E90" s="101"/>
      <c r="F90" s="4" t="s">
        <v>323</v>
      </c>
      <c r="G90" s="4">
        <v>3206506</v>
      </c>
      <c r="H90" s="3" t="s">
        <v>286</v>
      </c>
      <c r="I90" s="4">
        <v>3019605</v>
      </c>
    </row>
    <row r="91" spans="2:9" x14ac:dyDescent="0.3">
      <c r="B91" s="44">
        <v>45983</v>
      </c>
      <c r="C91" s="3" t="s">
        <v>416</v>
      </c>
      <c r="D91" s="3" t="s">
        <v>62</v>
      </c>
      <c r="E91" s="101"/>
      <c r="F91" s="4" t="s">
        <v>280</v>
      </c>
      <c r="G91" s="4">
        <v>3198103</v>
      </c>
      <c r="H91" s="3" t="s">
        <v>360</v>
      </c>
      <c r="I91" s="4">
        <v>3203801</v>
      </c>
    </row>
    <row r="92" spans="2:9" x14ac:dyDescent="0.3">
      <c r="B92" s="44">
        <v>45983</v>
      </c>
      <c r="C92" s="3" t="s">
        <v>416</v>
      </c>
      <c r="D92" s="3" t="s">
        <v>62</v>
      </c>
      <c r="E92" s="101"/>
      <c r="F92" s="4" t="s">
        <v>324</v>
      </c>
      <c r="G92" s="4">
        <v>3201605</v>
      </c>
      <c r="H92" s="4" t="s">
        <v>319</v>
      </c>
      <c r="I92" s="4">
        <v>3210508</v>
      </c>
    </row>
    <row r="93" spans="2:9" x14ac:dyDescent="0.3">
      <c r="B93" s="44">
        <v>45983</v>
      </c>
      <c r="C93" s="3" t="s">
        <v>416</v>
      </c>
      <c r="D93" s="3" t="s">
        <v>62</v>
      </c>
      <c r="E93" s="101"/>
      <c r="F93" s="4" t="s">
        <v>443</v>
      </c>
      <c r="G93" s="4">
        <v>3210008</v>
      </c>
      <c r="H93" s="3" t="s">
        <v>340</v>
      </c>
      <c r="I93" s="4">
        <v>3201803</v>
      </c>
    </row>
    <row r="94" spans="2:9" x14ac:dyDescent="0.3">
      <c r="B94" s="44">
        <v>45983</v>
      </c>
      <c r="C94" s="3" t="s">
        <v>416</v>
      </c>
      <c r="D94" s="3" t="s">
        <v>62</v>
      </c>
      <c r="E94" s="101"/>
      <c r="F94" s="3" t="s">
        <v>292</v>
      </c>
      <c r="G94" s="4">
        <v>3195304</v>
      </c>
      <c r="H94" s="3" t="s">
        <v>442</v>
      </c>
      <c r="I94" s="4">
        <v>3205007</v>
      </c>
    </row>
    <row r="95" spans="2:9" x14ac:dyDescent="0.3">
      <c r="B95" s="4"/>
      <c r="E95" s="101"/>
      <c r="F95" s="4" t="s">
        <v>418</v>
      </c>
      <c r="G95" s="4" t="s">
        <v>418</v>
      </c>
      <c r="H95" s="3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62</v>
      </c>
      <c r="E96" s="101"/>
      <c r="F96" s="3" t="s">
        <v>442</v>
      </c>
      <c r="G96" s="4">
        <v>3205007</v>
      </c>
      <c r="H96" s="3" t="s">
        <v>280</v>
      </c>
      <c r="I96" s="4">
        <v>3198103</v>
      </c>
    </row>
    <row r="97" spans="2:9" x14ac:dyDescent="0.3">
      <c r="B97" s="44">
        <v>45990</v>
      </c>
      <c r="C97" s="3" t="s">
        <v>416</v>
      </c>
      <c r="D97" s="3" t="s">
        <v>62</v>
      </c>
      <c r="E97" s="101"/>
      <c r="F97" s="3" t="s">
        <v>360</v>
      </c>
      <c r="G97" s="4">
        <v>3203801</v>
      </c>
      <c r="H97" s="4" t="s">
        <v>443</v>
      </c>
      <c r="I97" s="4">
        <v>3210008</v>
      </c>
    </row>
    <row r="98" spans="2:9" x14ac:dyDescent="0.3">
      <c r="B98" s="44">
        <v>45990</v>
      </c>
      <c r="C98" s="3" t="s">
        <v>416</v>
      </c>
      <c r="D98" s="3" t="s">
        <v>62</v>
      </c>
      <c r="E98" s="101"/>
      <c r="F98" s="3" t="s">
        <v>340</v>
      </c>
      <c r="G98" s="4">
        <v>3201803</v>
      </c>
      <c r="H98" s="4" t="s">
        <v>323</v>
      </c>
      <c r="I98" s="4">
        <v>3206506</v>
      </c>
    </row>
    <row r="99" spans="2:9" x14ac:dyDescent="0.3">
      <c r="B99" s="44">
        <v>45990</v>
      </c>
      <c r="C99" s="3" t="s">
        <v>416</v>
      </c>
      <c r="D99" s="3" t="s">
        <v>62</v>
      </c>
      <c r="E99" s="101"/>
      <c r="F99" s="4" t="s">
        <v>286</v>
      </c>
      <c r="G99" s="4">
        <v>3019605</v>
      </c>
      <c r="H99" s="4" t="s">
        <v>287</v>
      </c>
      <c r="I99" s="4">
        <v>3206600</v>
      </c>
    </row>
    <row r="100" spans="2:9" x14ac:dyDescent="0.3">
      <c r="B100" s="44">
        <v>45990</v>
      </c>
      <c r="C100" s="3" t="s">
        <v>416</v>
      </c>
      <c r="D100" s="3" t="s">
        <v>62</v>
      </c>
      <c r="E100" s="101"/>
      <c r="F100" s="3" t="s">
        <v>319</v>
      </c>
      <c r="G100" s="4">
        <v>3210508</v>
      </c>
      <c r="H100" s="4" t="s">
        <v>292</v>
      </c>
      <c r="I100" s="4">
        <v>3195304</v>
      </c>
    </row>
    <row r="101" spans="2:9" x14ac:dyDescent="0.3">
      <c r="B101" s="44">
        <v>45990</v>
      </c>
      <c r="C101" s="3" t="s">
        <v>416</v>
      </c>
      <c r="D101" s="3" t="s">
        <v>62</v>
      </c>
      <c r="E101" s="101"/>
      <c r="F101" s="3" t="s">
        <v>328</v>
      </c>
      <c r="G101" s="4">
        <v>3196803</v>
      </c>
      <c r="H101" s="4" t="s">
        <v>324</v>
      </c>
      <c r="I101" s="4">
        <v>3201605</v>
      </c>
    </row>
    <row r="102" spans="2:9" x14ac:dyDescent="0.3">
      <c r="B102" s="4"/>
      <c r="E102" s="101"/>
      <c r="F102" s="4" t="s">
        <v>418</v>
      </c>
      <c r="G102" s="4" t="s">
        <v>418</v>
      </c>
      <c r="H102" s="3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62</v>
      </c>
      <c r="E103" s="101"/>
      <c r="F103" s="3" t="s">
        <v>360</v>
      </c>
      <c r="G103" s="4">
        <v>3203801</v>
      </c>
      <c r="H103" s="4" t="s">
        <v>442</v>
      </c>
      <c r="I103" s="4">
        <v>3205007</v>
      </c>
    </row>
    <row r="104" spans="2:9" x14ac:dyDescent="0.3">
      <c r="B104" s="44">
        <v>46032</v>
      </c>
      <c r="C104" s="3" t="s">
        <v>416</v>
      </c>
      <c r="D104" s="3" t="s">
        <v>62</v>
      </c>
      <c r="E104" s="101"/>
      <c r="F104" s="3" t="s">
        <v>340</v>
      </c>
      <c r="G104" s="4">
        <v>3201803</v>
      </c>
      <c r="H104" s="4" t="s">
        <v>287</v>
      </c>
      <c r="I104" s="4">
        <v>3206600</v>
      </c>
    </row>
    <row r="105" spans="2:9" x14ac:dyDescent="0.3">
      <c r="B105" s="44">
        <v>46032</v>
      </c>
      <c r="C105" s="3" t="s">
        <v>416</v>
      </c>
      <c r="D105" s="3" t="s">
        <v>62</v>
      </c>
      <c r="E105" s="101"/>
      <c r="F105" s="4" t="s">
        <v>324</v>
      </c>
      <c r="G105" s="4">
        <v>3201605</v>
      </c>
      <c r="H105" s="3" t="s">
        <v>286</v>
      </c>
      <c r="I105" s="4">
        <v>3019605</v>
      </c>
    </row>
    <row r="106" spans="2:9" x14ac:dyDescent="0.3">
      <c r="B106" s="44">
        <v>46032</v>
      </c>
      <c r="C106" s="3" t="s">
        <v>416</v>
      </c>
      <c r="D106" s="3" t="s">
        <v>62</v>
      </c>
      <c r="E106" s="101"/>
      <c r="F106" s="3" t="s">
        <v>319</v>
      </c>
      <c r="G106" s="4">
        <v>3210508</v>
      </c>
      <c r="H106" s="3" t="s">
        <v>280</v>
      </c>
      <c r="I106" s="4">
        <v>3198103</v>
      </c>
    </row>
    <row r="107" spans="2:9" x14ac:dyDescent="0.3">
      <c r="B107" s="44">
        <v>46032</v>
      </c>
      <c r="C107" s="3" t="s">
        <v>416</v>
      </c>
      <c r="D107" s="3" t="s">
        <v>62</v>
      </c>
      <c r="E107" s="101"/>
      <c r="F107" s="3" t="s">
        <v>328</v>
      </c>
      <c r="G107" s="4">
        <v>3196803</v>
      </c>
      <c r="H107" s="4" t="s">
        <v>292</v>
      </c>
      <c r="I107" s="4">
        <v>3195304</v>
      </c>
    </row>
    <row r="108" spans="2:9" x14ac:dyDescent="0.3">
      <c r="B108" s="44">
        <v>46032</v>
      </c>
      <c r="C108" s="3" t="s">
        <v>416</v>
      </c>
      <c r="D108" s="3" t="s">
        <v>62</v>
      </c>
      <c r="E108" s="101"/>
      <c r="F108" s="3" t="s">
        <v>443</v>
      </c>
      <c r="G108" s="4">
        <v>3210008</v>
      </c>
      <c r="H108" s="4" t="s">
        <v>323</v>
      </c>
      <c r="I108" s="4">
        <v>3206506</v>
      </c>
    </row>
    <row r="109" spans="2:9" x14ac:dyDescent="0.3">
      <c r="B109" s="4"/>
      <c r="E109" s="101"/>
      <c r="F109" s="4" t="s">
        <v>418</v>
      </c>
      <c r="G109" s="4" t="s">
        <v>418</v>
      </c>
      <c r="H109" s="3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62</v>
      </c>
      <c r="E110" s="101"/>
      <c r="F110" s="4" t="s">
        <v>442</v>
      </c>
      <c r="G110" s="4">
        <v>3205007</v>
      </c>
      <c r="H110" s="3" t="s">
        <v>319</v>
      </c>
      <c r="I110" s="4">
        <v>3210508</v>
      </c>
    </row>
    <row r="111" spans="2:9" x14ac:dyDescent="0.3">
      <c r="B111" s="44">
        <v>46039</v>
      </c>
      <c r="C111" s="3" t="s">
        <v>416</v>
      </c>
      <c r="D111" s="3" t="s">
        <v>62</v>
      </c>
      <c r="E111" s="101"/>
      <c r="F111" s="4" t="s">
        <v>287</v>
      </c>
      <c r="G111" s="4">
        <v>3206600</v>
      </c>
      <c r="H111" s="3" t="s">
        <v>443</v>
      </c>
      <c r="I111" s="4">
        <v>3210008</v>
      </c>
    </row>
    <row r="112" spans="2:9" x14ac:dyDescent="0.3">
      <c r="B112" s="44">
        <v>46039</v>
      </c>
      <c r="C112" s="3" t="s">
        <v>416</v>
      </c>
      <c r="D112" s="3" t="s">
        <v>62</v>
      </c>
      <c r="E112" s="101"/>
      <c r="F112" s="4" t="s">
        <v>323</v>
      </c>
      <c r="G112" s="4">
        <v>3206506</v>
      </c>
      <c r="H112" s="3" t="s">
        <v>360</v>
      </c>
      <c r="I112" s="4">
        <v>3203801</v>
      </c>
    </row>
    <row r="113" spans="2:9" x14ac:dyDescent="0.3">
      <c r="B113" s="44">
        <v>46039</v>
      </c>
      <c r="C113" s="3" t="s">
        <v>416</v>
      </c>
      <c r="D113" s="3" t="s">
        <v>62</v>
      </c>
      <c r="E113" s="101"/>
      <c r="F113" s="4" t="s">
        <v>280</v>
      </c>
      <c r="G113" s="4">
        <v>3198103</v>
      </c>
      <c r="H113" s="3" t="s">
        <v>328</v>
      </c>
      <c r="I113" s="4">
        <v>3196803</v>
      </c>
    </row>
    <row r="114" spans="2:9" x14ac:dyDescent="0.3">
      <c r="B114" s="44">
        <v>46039</v>
      </c>
      <c r="C114" s="3" t="s">
        <v>416</v>
      </c>
      <c r="D114" s="3" t="s">
        <v>62</v>
      </c>
      <c r="E114" s="101"/>
      <c r="F114" s="4" t="s">
        <v>324</v>
      </c>
      <c r="G114" s="4">
        <v>3201605</v>
      </c>
      <c r="H114" s="3" t="s">
        <v>340</v>
      </c>
      <c r="I114" s="4">
        <v>3201803</v>
      </c>
    </row>
    <row r="115" spans="2:9" x14ac:dyDescent="0.3">
      <c r="B115" s="44">
        <v>46039</v>
      </c>
      <c r="C115" s="3" t="s">
        <v>416</v>
      </c>
      <c r="D115" s="3" t="s">
        <v>62</v>
      </c>
      <c r="E115" s="101"/>
      <c r="F115" s="4" t="s">
        <v>292</v>
      </c>
      <c r="G115" s="4">
        <v>3195304</v>
      </c>
      <c r="H115" s="3" t="s">
        <v>286</v>
      </c>
      <c r="I115" s="4">
        <v>3019605</v>
      </c>
    </row>
    <row r="116" spans="2:9" x14ac:dyDescent="0.3">
      <c r="B116" s="4"/>
      <c r="E116" s="101"/>
      <c r="F116" s="4" t="s">
        <v>418</v>
      </c>
      <c r="G116" s="4" t="s">
        <v>418</v>
      </c>
      <c r="H116" s="3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62</v>
      </c>
      <c r="E117" s="101"/>
      <c r="F117" s="4" t="s">
        <v>340</v>
      </c>
      <c r="G117" s="4">
        <v>3201803</v>
      </c>
      <c r="H117" s="4" t="s">
        <v>292</v>
      </c>
      <c r="I117" s="4">
        <v>3195304</v>
      </c>
    </row>
    <row r="118" spans="2:9" x14ac:dyDescent="0.3">
      <c r="B118" s="44">
        <v>46046</v>
      </c>
      <c r="C118" s="3" t="s">
        <v>416</v>
      </c>
      <c r="D118" s="3" t="s">
        <v>62</v>
      </c>
      <c r="E118" s="101"/>
      <c r="F118" s="3" t="s">
        <v>286</v>
      </c>
      <c r="G118" s="4">
        <v>3019605</v>
      </c>
      <c r="H118" s="3" t="s">
        <v>280</v>
      </c>
      <c r="I118" s="4">
        <v>3198103</v>
      </c>
    </row>
    <row r="119" spans="2:9" x14ac:dyDescent="0.3">
      <c r="B119" s="44">
        <v>46046</v>
      </c>
      <c r="C119" s="3" t="s">
        <v>416</v>
      </c>
      <c r="D119" s="3" t="s">
        <v>62</v>
      </c>
      <c r="E119" s="101"/>
      <c r="F119" s="3" t="s">
        <v>323</v>
      </c>
      <c r="G119" s="4">
        <v>3206506</v>
      </c>
      <c r="H119" s="4" t="s">
        <v>287</v>
      </c>
      <c r="I119" s="4">
        <v>3206600</v>
      </c>
    </row>
    <row r="120" spans="2:9" x14ac:dyDescent="0.3">
      <c r="B120" s="44">
        <v>46046</v>
      </c>
      <c r="C120" s="3" t="s">
        <v>416</v>
      </c>
      <c r="D120" s="3" t="s">
        <v>62</v>
      </c>
      <c r="E120" s="101"/>
      <c r="F120" s="3" t="s">
        <v>319</v>
      </c>
      <c r="G120" s="4">
        <v>3210508</v>
      </c>
      <c r="H120" s="4" t="s">
        <v>360</v>
      </c>
      <c r="I120" s="4">
        <v>3203801</v>
      </c>
    </row>
    <row r="121" spans="2:9" x14ac:dyDescent="0.3">
      <c r="B121" s="44">
        <v>46046</v>
      </c>
      <c r="C121" s="3" t="s">
        <v>416</v>
      </c>
      <c r="D121" s="3" t="s">
        <v>62</v>
      </c>
      <c r="E121" s="101"/>
      <c r="F121" s="3" t="s">
        <v>328</v>
      </c>
      <c r="G121" s="4">
        <v>3196803</v>
      </c>
      <c r="H121" s="4" t="s">
        <v>442</v>
      </c>
      <c r="I121" s="4">
        <v>3205007</v>
      </c>
    </row>
    <row r="122" spans="2:9" x14ac:dyDescent="0.3">
      <c r="B122" s="44">
        <v>46046</v>
      </c>
      <c r="C122" s="3" t="s">
        <v>416</v>
      </c>
      <c r="D122" s="3" t="s">
        <v>62</v>
      </c>
      <c r="E122" s="101"/>
      <c r="F122" s="3" t="s">
        <v>443</v>
      </c>
      <c r="G122" s="4">
        <v>3210008</v>
      </c>
      <c r="H122" s="4" t="s">
        <v>324</v>
      </c>
      <c r="I122" s="4">
        <v>3201605</v>
      </c>
    </row>
    <row r="123" spans="2:9" x14ac:dyDescent="0.3">
      <c r="B123" s="4"/>
      <c r="E123" s="101"/>
      <c r="F123" s="4" t="s">
        <v>418</v>
      </c>
      <c r="G123" s="4" t="s">
        <v>418</v>
      </c>
      <c r="H123" s="3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62</v>
      </c>
      <c r="E124" s="101"/>
      <c r="F124" s="3" t="s">
        <v>442</v>
      </c>
      <c r="G124" s="4">
        <v>3205007</v>
      </c>
      <c r="H124" s="4" t="s">
        <v>286</v>
      </c>
      <c r="I124" s="4">
        <v>3019605</v>
      </c>
    </row>
    <row r="125" spans="2:9" x14ac:dyDescent="0.3">
      <c r="B125" s="44">
        <v>46053</v>
      </c>
      <c r="C125" s="3" t="s">
        <v>416</v>
      </c>
      <c r="D125" s="3" t="s">
        <v>62</v>
      </c>
      <c r="E125" s="101"/>
      <c r="F125" s="3" t="s">
        <v>360</v>
      </c>
      <c r="G125" s="4">
        <v>3203801</v>
      </c>
      <c r="H125" s="3" t="s">
        <v>287</v>
      </c>
      <c r="I125" s="4">
        <v>3206600</v>
      </c>
    </row>
    <row r="126" spans="2:9" x14ac:dyDescent="0.3">
      <c r="B126" s="44">
        <v>46053</v>
      </c>
      <c r="C126" s="3" t="s">
        <v>416</v>
      </c>
      <c r="D126" s="3" t="s">
        <v>62</v>
      </c>
      <c r="E126" s="101"/>
      <c r="F126" s="4" t="s">
        <v>319</v>
      </c>
      <c r="G126" s="4">
        <v>3210508</v>
      </c>
      <c r="H126" s="3" t="s">
        <v>328</v>
      </c>
      <c r="I126" s="4">
        <v>3196803</v>
      </c>
    </row>
    <row r="127" spans="2:9" x14ac:dyDescent="0.3">
      <c r="B127" s="44">
        <v>46053</v>
      </c>
      <c r="C127" s="3" t="s">
        <v>416</v>
      </c>
      <c r="D127" s="3" t="s">
        <v>62</v>
      </c>
      <c r="E127" s="101"/>
      <c r="F127" s="4" t="s">
        <v>280</v>
      </c>
      <c r="G127" s="4">
        <v>3198103</v>
      </c>
      <c r="H127" s="3" t="s">
        <v>340</v>
      </c>
      <c r="I127" s="4">
        <v>3201803</v>
      </c>
    </row>
    <row r="128" spans="2:9" x14ac:dyDescent="0.3">
      <c r="B128" s="44">
        <v>46053</v>
      </c>
      <c r="C128" s="3" t="s">
        <v>416</v>
      </c>
      <c r="D128" s="3" t="s">
        <v>62</v>
      </c>
      <c r="E128" s="101"/>
      <c r="F128" s="4" t="s">
        <v>324</v>
      </c>
      <c r="G128" s="4">
        <v>3201605</v>
      </c>
      <c r="H128" s="3" t="s">
        <v>323</v>
      </c>
      <c r="I128" s="4">
        <v>3206506</v>
      </c>
    </row>
    <row r="129" spans="2:9" x14ac:dyDescent="0.3">
      <c r="B129" s="44">
        <v>46053</v>
      </c>
      <c r="C129" s="3" t="s">
        <v>416</v>
      </c>
      <c r="D129" s="3" t="s">
        <v>62</v>
      </c>
      <c r="E129" s="101"/>
      <c r="F129" s="4" t="s">
        <v>292</v>
      </c>
      <c r="G129" s="4">
        <v>3195304</v>
      </c>
      <c r="H129" s="3" t="s">
        <v>443</v>
      </c>
      <c r="I129" s="4">
        <v>3210008</v>
      </c>
    </row>
    <row r="130" spans="2:9" x14ac:dyDescent="0.3">
      <c r="B130" s="4"/>
      <c r="E130" s="101"/>
      <c r="F130" s="4" t="s">
        <v>418</v>
      </c>
      <c r="G130" s="4" t="s">
        <v>418</v>
      </c>
      <c r="H130" s="3" t="s">
        <v>418</v>
      </c>
      <c r="I130" s="4" t="s">
        <v>418</v>
      </c>
    </row>
    <row r="131" spans="2:9" x14ac:dyDescent="0.3">
      <c r="B131" s="44">
        <v>46060</v>
      </c>
      <c r="C131" s="3" t="s">
        <v>416</v>
      </c>
      <c r="D131" s="3" t="s">
        <v>62</v>
      </c>
      <c r="E131" s="101"/>
      <c r="F131" s="4" t="s">
        <v>287</v>
      </c>
      <c r="G131" s="4">
        <v>3206600</v>
      </c>
      <c r="H131" s="4" t="s">
        <v>324</v>
      </c>
      <c r="I131" s="4">
        <v>3201605</v>
      </c>
    </row>
    <row r="132" spans="2:9" x14ac:dyDescent="0.3">
      <c r="B132" s="44">
        <v>46060</v>
      </c>
      <c r="C132" s="3" t="s">
        <v>416</v>
      </c>
      <c r="D132" s="3" t="s">
        <v>62</v>
      </c>
      <c r="E132" s="101"/>
      <c r="F132" s="4" t="s">
        <v>340</v>
      </c>
      <c r="G132" s="4">
        <v>3201803</v>
      </c>
      <c r="H132" s="4" t="s">
        <v>442</v>
      </c>
      <c r="I132" s="4">
        <v>3205007</v>
      </c>
    </row>
    <row r="133" spans="2:9" x14ac:dyDescent="0.3">
      <c r="B133" s="44">
        <v>46060</v>
      </c>
      <c r="C133" s="3" t="s">
        <v>416</v>
      </c>
      <c r="D133" s="3" t="s">
        <v>62</v>
      </c>
      <c r="E133" s="101"/>
      <c r="F133" s="3" t="s">
        <v>286</v>
      </c>
      <c r="G133" s="4">
        <v>3019605</v>
      </c>
      <c r="H133" s="3" t="s">
        <v>319</v>
      </c>
      <c r="I133" s="4">
        <v>3210508</v>
      </c>
    </row>
    <row r="134" spans="2:9" x14ac:dyDescent="0.3">
      <c r="B134" s="44">
        <v>46060</v>
      </c>
      <c r="C134" s="3" t="s">
        <v>416</v>
      </c>
      <c r="D134" s="3" t="s">
        <v>62</v>
      </c>
      <c r="E134" s="101"/>
      <c r="F134" s="3" t="s">
        <v>323</v>
      </c>
      <c r="G134" s="4">
        <v>3206506</v>
      </c>
      <c r="H134" s="4" t="s">
        <v>292</v>
      </c>
      <c r="I134" s="4">
        <v>3195304</v>
      </c>
    </row>
    <row r="135" spans="2:9" x14ac:dyDescent="0.3">
      <c r="B135" s="44">
        <v>46060</v>
      </c>
      <c r="C135" s="3" t="s">
        <v>416</v>
      </c>
      <c r="D135" s="3" t="s">
        <v>62</v>
      </c>
      <c r="E135" s="101"/>
      <c r="F135" s="3" t="s">
        <v>328</v>
      </c>
      <c r="G135" s="4">
        <v>3196803</v>
      </c>
      <c r="H135" s="3" t="s">
        <v>360</v>
      </c>
      <c r="I135" s="4">
        <v>3203801</v>
      </c>
    </row>
    <row r="136" spans="2:9" x14ac:dyDescent="0.3">
      <c r="B136" s="44">
        <v>46060</v>
      </c>
      <c r="C136" s="3" t="s">
        <v>416</v>
      </c>
      <c r="D136" s="3" t="s">
        <v>62</v>
      </c>
      <c r="E136" s="101"/>
      <c r="F136" s="3" t="s">
        <v>443</v>
      </c>
      <c r="G136" s="4">
        <v>3210008</v>
      </c>
      <c r="H136" s="4" t="s">
        <v>280</v>
      </c>
      <c r="I136" s="4">
        <v>3198103</v>
      </c>
    </row>
    <row r="137" spans="2:9" x14ac:dyDescent="0.3">
      <c r="B137" s="4"/>
      <c r="E137" s="101"/>
      <c r="F137" s="4" t="s">
        <v>418</v>
      </c>
      <c r="G137" s="4" t="s">
        <v>418</v>
      </c>
      <c r="H137" s="3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62</v>
      </c>
      <c r="E138" s="101"/>
      <c r="F138" s="3" t="s">
        <v>442</v>
      </c>
      <c r="G138" s="4">
        <v>3205007</v>
      </c>
      <c r="H138" s="4" t="s">
        <v>443</v>
      </c>
      <c r="I138" s="4">
        <v>3210008</v>
      </c>
    </row>
    <row r="139" spans="2:9" x14ac:dyDescent="0.3">
      <c r="B139" s="44">
        <v>46074</v>
      </c>
      <c r="C139" s="3" t="s">
        <v>416</v>
      </c>
      <c r="D139" s="3" t="s">
        <v>62</v>
      </c>
      <c r="E139" s="101"/>
      <c r="F139" s="3" t="s">
        <v>360</v>
      </c>
      <c r="G139" s="4">
        <v>3203801</v>
      </c>
      <c r="H139" s="3" t="s">
        <v>324</v>
      </c>
      <c r="I139" s="4">
        <v>3201605</v>
      </c>
    </row>
    <row r="140" spans="2:9" x14ac:dyDescent="0.3">
      <c r="B140" s="44">
        <v>46074</v>
      </c>
      <c r="C140" s="3" t="s">
        <v>416</v>
      </c>
      <c r="D140" s="3" t="s">
        <v>62</v>
      </c>
      <c r="E140" s="101"/>
      <c r="F140" s="3" t="s">
        <v>319</v>
      </c>
      <c r="G140" s="4">
        <v>3210508</v>
      </c>
      <c r="H140" s="3" t="s">
        <v>340</v>
      </c>
      <c r="I140" s="4">
        <v>3201803</v>
      </c>
    </row>
    <row r="141" spans="2:9" x14ac:dyDescent="0.3">
      <c r="B141" s="44">
        <v>46074</v>
      </c>
      <c r="C141" s="3" t="s">
        <v>416</v>
      </c>
      <c r="D141" s="3" t="s">
        <v>62</v>
      </c>
      <c r="E141" s="101"/>
      <c r="F141" s="4" t="s">
        <v>328</v>
      </c>
      <c r="G141" s="4">
        <v>3196803</v>
      </c>
      <c r="H141" s="4" t="s">
        <v>286</v>
      </c>
      <c r="I141" s="4">
        <v>3019605</v>
      </c>
    </row>
    <row r="142" spans="2:9" x14ac:dyDescent="0.3">
      <c r="B142" s="44">
        <v>46074</v>
      </c>
      <c r="C142" s="3" t="s">
        <v>416</v>
      </c>
      <c r="D142" s="3" t="s">
        <v>62</v>
      </c>
      <c r="E142" s="101"/>
      <c r="F142" s="4" t="s">
        <v>280</v>
      </c>
      <c r="G142" s="4">
        <v>3198103</v>
      </c>
      <c r="H142" s="3" t="s">
        <v>323</v>
      </c>
      <c r="I142" s="4">
        <v>3206506</v>
      </c>
    </row>
    <row r="143" spans="2:9" x14ac:dyDescent="0.3">
      <c r="B143" s="44">
        <v>46074</v>
      </c>
      <c r="C143" s="3" t="s">
        <v>416</v>
      </c>
      <c r="D143" s="3" t="s">
        <v>62</v>
      </c>
      <c r="E143" s="101"/>
      <c r="F143" s="4" t="s">
        <v>292</v>
      </c>
      <c r="G143" s="4">
        <v>3195304</v>
      </c>
      <c r="H143" s="3" t="s">
        <v>287</v>
      </c>
      <c r="I143" s="4">
        <v>3206600</v>
      </c>
    </row>
    <row r="144" spans="2:9" x14ac:dyDescent="0.3">
      <c r="B144" s="4"/>
      <c r="E144" s="101"/>
      <c r="F144" s="4" t="s">
        <v>418</v>
      </c>
      <c r="G144" s="4" t="s">
        <v>418</v>
      </c>
      <c r="H144" s="3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62</v>
      </c>
      <c r="E145" s="101"/>
      <c r="F145" s="4" t="s">
        <v>287</v>
      </c>
      <c r="G145" s="4">
        <v>3206600</v>
      </c>
      <c r="H145" s="4" t="s">
        <v>280</v>
      </c>
      <c r="I145" s="4">
        <v>3198103</v>
      </c>
    </row>
    <row r="146" spans="2:9" x14ac:dyDescent="0.3">
      <c r="B146" s="44">
        <v>46081</v>
      </c>
      <c r="C146" s="3" t="s">
        <v>416</v>
      </c>
      <c r="D146" s="3" t="s">
        <v>62</v>
      </c>
      <c r="E146" s="101"/>
      <c r="F146" s="4" t="s">
        <v>340</v>
      </c>
      <c r="G146" s="4">
        <v>3201803</v>
      </c>
      <c r="H146" s="4" t="s">
        <v>328</v>
      </c>
      <c r="I146" s="4">
        <v>3196803</v>
      </c>
    </row>
    <row r="147" spans="2:9" x14ac:dyDescent="0.3">
      <c r="B147" s="44">
        <v>46081</v>
      </c>
      <c r="C147" s="3" t="s">
        <v>416</v>
      </c>
      <c r="D147" s="3" t="s">
        <v>62</v>
      </c>
      <c r="E147" s="101"/>
      <c r="F147" s="4" t="s">
        <v>286</v>
      </c>
      <c r="G147" s="4">
        <v>3019605</v>
      </c>
      <c r="H147" s="4" t="s">
        <v>360</v>
      </c>
      <c r="I147" s="4">
        <v>3203801</v>
      </c>
    </row>
    <row r="148" spans="2:9" x14ac:dyDescent="0.3">
      <c r="B148" s="44">
        <v>46081</v>
      </c>
      <c r="C148" s="3" t="s">
        <v>416</v>
      </c>
      <c r="D148" s="3" t="s">
        <v>62</v>
      </c>
      <c r="E148" s="101"/>
      <c r="F148" s="3" t="s">
        <v>323</v>
      </c>
      <c r="G148" s="4">
        <v>3206506</v>
      </c>
      <c r="H148" s="3" t="s">
        <v>442</v>
      </c>
      <c r="I148" s="4">
        <v>3205007</v>
      </c>
    </row>
    <row r="149" spans="2:9" x14ac:dyDescent="0.3">
      <c r="B149" s="44">
        <v>46081</v>
      </c>
      <c r="C149" s="3" t="s">
        <v>416</v>
      </c>
      <c r="D149" s="3" t="s">
        <v>62</v>
      </c>
      <c r="E149" s="101"/>
      <c r="F149" s="3" t="s">
        <v>324</v>
      </c>
      <c r="G149" s="4">
        <v>3201605</v>
      </c>
      <c r="H149" s="3" t="s">
        <v>292</v>
      </c>
      <c r="I149" s="4">
        <v>3195304</v>
      </c>
    </row>
    <row r="150" spans="2:9" x14ac:dyDescent="0.3">
      <c r="B150" s="44">
        <v>46081</v>
      </c>
      <c r="C150" s="3" t="s">
        <v>416</v>
      </c>
      <c r="D150" s="3" t="s">
        <v>62</v>
      </c>
      <c r="E150" s="101"/>
      <c r="F150" s="3" t="s">
        <v>443</v>
      </c>
      <c r="G150" s="4">
        <v>3210008</v>
      </c>
      <c r="H150" s="3" t="s">
        <v>319</v>
      </c>
      <c r="I150" s="4">
        <v>3210508</v>
      </c>
    </row>
    <row r="151" spans="2:9" x14ac:dyDescent="0.3">
      <c r="B151" s="4"/>
      <c r="E151" s="101"/>
      <c r="F151" s="4" t="s">
        <v>418</v>
      </c>
      <c r="G151" s="4" t="s">
        <v>418</v>
      </c>
      <c r="H151" s="3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62</v>
      </c>
      <c r="E152" s="101"/>
      <c r="F152" s="3" t="s">
        <v>442</v>
      </c>
      <c r="G152" s="4">
        <v>3205007</v>
      </c>
      <c r="H152" s="4" t="s">
        <v>287</v>
      </c>
      <c r="I152" s="4">
        <v>3206600</v>
      </c>
    </row>
    <row r="153" spans="2:9" x14ac:dyDescent="0.3">
      <c r="B153" s="44">
        <v>46088</v>
      </c>
      <c r="C153" s="3" t="s">
        <v>416</v>
      </c>
      <c r="D153" s="3" t="s">
        <v>62</v>
      </c>
      <c r="E153" s="101"/>
      <c r="F153" s="3" t="s">
        <v>360</v>
      </c>
      <c r="G153" s="4">
        <v>3203801</v>
      </c>
      <c r="H153" s="3" t="s">
        <v>292</v>
      </c>
      <c r="I153" s="4">
        <v>3195304</v>
      </c>
    </row>
    <row r="154" spans="2:9" x14ac:dyDescent="0.3">
      <c r="B154" s="44">
        <v>46088</v>
      </c>
      <c r="C154" s="3" t="s">
        <v>416</v>
      </c>
      <c r="D154" s="3" t="s">
        <v>62</v>
      </c>
      <c r="E154" s="101"/>
      <c r="F154" s="3" t="s">
        <v>286</v>
      </c>
      <c r="G154" s="4">
        <v>3019605</v>
      </c>
      <c r="H154" s="3" t="s">
        <v>340</v>
      </c>
      <c r="I154" s="4">
        <v>3201803</v>
      </c>
    </row>
    <row r="155" spans="2:9" x14ac:dyDescent="0.3">
      <c r="B155" s="44">
        <v>46088</v>
      </c>
      <c r="C155" s="3" t="s">
        <v>416</v>
      </c>
      <c r="D155" s="3" t="s">
        <v>62</v>
      </c>
      <c r="E155" s="101"/>
      <c r="F155" s="4" t="s">
        <v>319</v>
      </c>
      <c r="G155" s="4">
        <v>3210508</v>
      </c>
      <c r="H155" s="4" t="s">
        <v>323</v>
      </c>
      <c r="I155" s="4">
        <v>3206506</v>
      </c>
    </row>
    <row r="156" spans="2:9" x14ac:dyDescent="0.3">
      <c r="B156" s="44">
        <v>46088</v>
      </c>
      <c r="C156" s="3" t="s">
        <v>416</v>
      </c>
      <c r="D156" s="3" t="s">
        <v>62</v>
      </c>
      <c r="E156" s="101"/>
      <c r="F156" s="4" t="s">
        <v>328</v>
      </c>
      <c r="G156" s="4">
        <v>3196803</v>
      </c>
      <c r="H156" s="4" t="s">
        <v>443</v>
      </c>
      <c r="I156" s="4">
        <v>3210008</v>
      </c>
    </row>
    <row r="157" spans="2:9" x14ac:dyDescent="0.3">
      <c r="B157" s="44">
        <v>46088</v>
      </c>
      <c r="C157" s="3" t="s">
        <v>416</v>
      </c>
      <c r="D157" s="3" t="s">
        <v>62</v>
      </c>
      <c r="E157" s="101"/>
      <c r="F157" s="3" t="s">
        <v>280</v>
      </c>
      <c r="G157" s="4">
        <v>3198103</v>
      </c>
      <c r="H157" s="3" t="s">
        <v>324</v>
      </c>
      <c r="I157" s="4">
        <v>3201605</v>
      </c>
    </row>
    <row r="158" spans="2:9" x14ac:dyDescent="0.3">
      <c r="B158" s="4"/>
      <c r="E158" s="101"/>
      <c r="F158" s="4" t="s">
        <v>418</v>
      </c>
      <c r="G158" s="4" t="s">
        <v>418</v>
      </c>
      <c r="H158" s="3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62</v>
      </c>
      <c r="E159" s="101"/>
      <c r="F159" s="4" t="s">
        <v>287</v>
      </c>
      <c r="G159" s="4">
        <v>3206600</v>
      </c>
      <c r="H159" s="3" t="s">
        <v>319</v>
      </c>
      <c r="I159" s="4">
        <v>3210508</v>
      </c>
    </row>
    <row r="160" spans="2:9" x14ac:dyDescent="0.3">
      <c r="B160" s="44">
        <v>46095</v>
      </c>
      <c r="C160" s="3" t="s">
        <v>416</v>
      </c>
      <c r="D160" s="3" t="s">
        <v>62</v>
      </c>
      <c r="E160" s="101"/>
      <c r="F160" s="4" t="s">
        <v>340</v>
      </c>
      <c r="G160" s="4">
        <v>3201803</v>
      </c>
      <c r="H160" s="3" t="s">
        <v>360</v>
      </c>
      <c r="I160" s="4">
        <v>3203801</v>
      </c>
    </row>
    <row r="161" spans="2:9" x14ac:dyDescent="0.3">
      <c r="B161" s="44">
        <v>46095</v>
      </c>
      <c r="C161" s="3" t="s">
        <v>416</v>
      </c>
      <c r="D161" s="3" t="s">
        <v>62</v>
      </c>
      <c r="E161" s="101"/>
      <c r="F161" s="4" t="s">
        <v>323</v>
      </c>
      <c r="G161" s="4">
        <v>3206506</v>
      </c>
      <c r="H161" s="4" t="s">
        <v>328</v>
      </c>
      <c r="I161" s="4">
        <v>3196803</v>
      </c>
    </row>
    <row r="162" spans="2:9" x14ac:dyDescent="0.3">
      <c r="B162" s="44">
        <v>46095</v>
      </c>
      <c r="C162" s="3" t="s">
        <v>416</v>
      </c>
      <c r="D162" s="3" t="s">
        <v>62</v>
      </c>
      <c r="E162" s="101"/>
      <c r="F162" s="4" t="s">
        <v>324</v>
      </c>
      <c r="G162" s="4">
        <v>3201605</v>
      </c>
      <c r="H162" s="4" t="s">
        <v>442</v>
      </c>
      <c r="I162" s="4">
        <v>3205007</v>
      </c>
    </row>
    <row r="163" spans="2:9" x14ac:dyDescent="0.3">
      <c r="B163" s="44">
        <v>46095</v>
      </c>
      <c r="C163" s="3" t="s">
        <v>416</v>
      </c>
      <c r="D163" s="3" t="s">
        <v>62</v>
      </c>
      <c r="E163" s="101"/>
      <c r="F163" s="3" t="s">
        <v>443</v>
      </c>
      <c r="G163" s="4">
        <v>3210008</v>
      </c>
      <c r="H163" s="3" t="s">
        <v>286</v>
      </c>
      <c r="I163" s="4">
        <v>3019605</v>
      </c>
    </row>
    <row r="164" spans="2:9" x14ac:dyDescent="0.3">
      <c r="B164" s="44">
        <v>46095</v>
      </c>
      <c r="C164" s="3" t="s">
        <v>416</v>
      </c>
      <c r="D164" s="3" t="s">
        <v>62</v>
      </c>
      <c r="E164" s="101"/>
      <c r="F164" s="3" t="s">
        <v>292</v>
      </c>
      <c r="G164" s="4">
        <v>3195304</v>
      </c>
      <c r="H164" s="3" t="s">
        <v>280</v>
      </c>
      <c r="I164" s="4">
        <v>3198103</v>
      </c>
    </row>
    <row r="165" spans="2:9" x14ac:dyDescent="0.3">
      <c r="B165" s="4"/>
      <c r="E165" s="101"/>
      <c r="F165" s="4" t="s">
        <v>418</v>
      </c>
      <c r="G165" s="4" t="s">
        <v>418</v>
      </c>
      <c r="H165" s="3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62</v>
      </c>
      <c r="E166" s="101"/>
      <c r="F166" s="3" t="s">
        <v>442</v>
      </c>
      <c r="G166" s="4">
        <v>3205007</v>
      </c>
      <c r="H166" s="4" t="s">
        <v>292</v>
      </c>
      <c r="I166" s="4">
        <v>3195304</v>
      </c>
    </row>
    <row r="167" spans="2:9" x14ac:dyDescent="0.3">
      <c r="B167" s="44">
        <v>46102</v>
      </c>
      <c r="C167" s="3" t="s">
        <v>416</v>
      </c>
      <c r="D167" s="3" t="s">
        <v>62</v>
      </c>
      <c r="E167" s="101"/>
      <c r="F167" s="3" t="s">
        <v>360</v>
      </c>
      <c r="G167" s="4">
        <v>3203801</v>
      </c>
      <c r="H167" s="4" t="s">
        <v>280</v>
      </c>
      <c r="I167" s="4">
        <v>3198103</v>
      </c>
    </row>
    <row r="168" spans="2:9" x14ac:dyDescent="0.3">
      <c r="B168" s="44">
        <v>46102</v>
      </c>
      <c r="C168" s="3" t="s">
        <v>416</v>
      </c>
      <c r="D168" s="3" t="s">
        <v>62</v>
      </c>
      <c r="E168" s="101"/>
      <c r="F168" s="3" t="s">
        <v>340</v>
      </c>
      <c r="G168" s="4">
        <v>3201803</v>
      </c>
      <c r="H168" s="4" t="s">
        <v>443</v>
      </c>
      <c r="I168" s="4">
        <v>3210008</v>
      </c>
    </row>
    <row r="169" spans="2:9" x14ac:dyDescent="0.3">
      <c r="B169" s="44">
        <v>46102</v>
      </c>
      <c r="C169" s="3" t="s">
        <v>416</v>
      </c>
      <c r="D169" s="3" t="s">
        <v>62</v>
      </c>
      <c r="E169" s="101"/>
      <c r="F169" s="4" t="s">
        <v>286</v>
      </c>
      <c r="G169" s="4">
        <v>3019605</v>
      </c>
      <c r="H169" s="4" t="s">
        <v>323</v>
      </c>
      <c r="I169" s="4">
        <v>3206506</v>
      </c>
    </row>
    <row r="170" spans="2:9" x14ac:dyDescent="0.3">
      <c r="B170" s="44">
        <v>46102</v>
      </c>
      <c r="C170" s="3" t="s">
        <v>416</v>
      </c>
      <c r="D170" s="3" t="s">
        <v>62</v>
      </c>
      <c r="E170" s="101"/>
      <c r="F170" s="3" t="s">
        <v>319</v>
      </c>
      <c r="G170" s="4">
        <v>3210508</v>
      </c>
      <c r="H170" s="3" t="s">
        <v>324</v>
      </c>
      <c r="I170" s="4">
        <v>3201605</v>
      </c>
    </row>
    <row r="171" spans="2:9" x14ac:dyDescent="0.3">
      <c r="B171" s="44">
        <v>46102</v>
      </c>
      <c r="C171" s="3" t="s">
        <v>416</v>
      </c>
      <c r="D171" s="3" t="s">
        <v>62</v>
      </c>
      <c r="E171" s="101"/>
      <c r="F171" s="3" t="s">
        <v>328</v>
      </c>
      <c r="G171" s="4">
        <v>3196803</v>
      </c>
      <c r="H171" s="3" t="s">
        <v>287</v>
      </c>
      <c r="I171" s="4">
        <v>3206600</v>
      </c>
    </row>
    <row r="172" spans="2:9" x14ac:dyDescent="0.3">
      <c r="B172" s="4"/>
      <c r="E172" s="101"/>
      <c r="F172" s="4" t="s">
        <v>418</v>
      </c>
      <c r="G172" s="4" t="s">
        <v>418</v>
      </c>
      <c r="H172" s="3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62</v>
      </c>
      <c r="E173" s="101"/>
      <c r="F173" s="4" t="s">
        <v>287</v>
      </c>
      <c r="G173" s="4">
        <v>3206600</v>
      </c>
      <c r="H173" s="3" t="s">
        <v>286</v>
      </c>
      <c r="I173" s="4">
        <v>3019605</v>
      </c>
    </row>
    <row r="174" spans="2:9" x14ac:dyDescent="0.3">
      <c r="B174" s="44">
        <v>46109</v>
      </c>
      <c r="C174" s="3" t="s">
        <v>416</v>
      </c>
      <c r="D174" s="3" t="s">
        <v>62</v>
      </c>
      <c r="E174" s="101"/>
      <c r="F174" s="4" t="s">
        <v>323</v>
      </c>
      <c r="G174" s="4">
        <v>3206506</v>
      </c>
      <c r="H174" s="3" t="s">
        <v>340</v>
      </c>
      <c r="I174" s="4">
        <v>3201803</v>
      </c>
    </row>
    <row r="175" spans="2:9" x14ac:dyDescent="0.3">
      <c r="B175" s="44">
        <v>46109</v>
      </c>
      <c r="C175" s="3" t="s">
        <v>416</v>
      </c>
      <c r="D175" s="3" t="s">
        <v>62</v>
      </c>
      <c r="E175" s="101"/>
      <c r="F175" s="4" t="s">
        <v>280</v>
      </c>
      <c r="G175" s="4">
        <v>3198103</v>
      </c>
      <c r="H175" s="3" t="s">
        <v>442</v>
      </c>
      <c r="I175" s="4">
        <v>3205007</v>
      </c>
    </row>
    <row r="176" spans="2:9" x14ac:dyDescent="0.3">
      <c r="B176" s="44">
        <v>46109</v>
      </c>
      <c r="C176" s="3" t="s">
        <v>416</v>
      </c>
      <c r="D176" s="3" t="s">
        <v>62</v>
      </c>
      <c r="E176" s="101"/>
      <c r="F176" s="4" t="s">
        <v>324</v>
      </c>
      <c r="G176" s="4">
        <v>3201605</v>
      </c>
      <c r="H176" s="3" t="s">
        <v>328</v>
      </c>
      <c r="I176" s="4">
        <v>3196803</v>
      </c>
    </row>
    <row r="177" spans="2:9" x14ac:dyDescent="0.3">
      <c r="B177" s="44">
        <v>46109</v>
      </c>
      <c r="C177" s="3" t="s">
        <v>416</v>
      </c>
      <c r="D177" s="3" t="s">
        <v>62</v>
      </c>
      <c r="E177" s="101"/>
      <c r="F177" s="4" t="s">
        <v>443</v>
      </c>
      <c r="G177" s="4">
        <v>3210008</v>
      </c>
      <c r="H177" s="4" t="s">
        <v>360</v>
      </c>
      <c r="I177" s="4">
        <v>3203801</v>
      </c>
    </row>
    <row r="178" spans="2:9" x14ac:dyDescent="0.3">
      <c r="B178" s="44">
        <v>46109</v>
      </c>
      <c r="C178" s="3" t="s">
        <v>416</v>
      </c>
      <c r="D178" s="3" t="s">
        <v>62</v>
      </c>
      <c r="E178" s="101"/>
      <c r="F178" s="3" t="s">
        <v>292</v>
      </c>
      <c r="G178" s="4">
        <v>3195304</v>
      </c>
      <c r="H178" s="3" t="s">
        <v>319</v>
      </c>
      <c r="I178" s="4">
        <v>3210508</v>
      </c>
    </row>
  </sheetData>
  <mergeCells count="1">
    <mergeCell ref="K5:K6"/>
  </mergeCells>
  <conditionalFormatting sqref="B9">
    <cfRule type="duplicateValues" dxfId="4469" priority="534"/>
  </conditionalFormatting>
  <conditionalFormatting sqref="F26:F29 F31">
    <cfRule type="duplicateValues" dxfId="4468" priority="21"/>
  </conditionalFormatting>
  <conditionalFormatting sqref="F30">
    <cfRule type="duplicateValues" dxfId="4467" priority="11"/>
  </conditionalFormatting>
  <conditionalFormatting sqref="F105">
    <cfRule type="duplicateValues" dxfId="4466" priority="15"/>
  </conditionalFormatting>
  <conditionalFormatting sqref="F33:G33">
    <cfRule type="duplicateValues" dxfId="4465" priority="253"/>
  </conditionalFormatting>
  <conditionalFormatting sqref="F34:G34">
    <cfRule type="duplicateValues" dxfId="4464" priority="131"/>
  </conditionalFormatting>
  <conditionalFormatting sqref="F35:G35">
    <cfRule type="duplicateValues" dxfId="4463" priority="109"/>
  </conditionalFormatting>
  <conditionalFormatting sqref="F36:G36">
    <cfRule type="duplicateValues" dxfId="4462" priority="88"/>
  </conditionalFormatting>
  <conditionalFormatting sqref="F37:G37">
    <cfRule type="duplicateValues" dxfId="4461" priority="46"/>
  </conditionalFormatting>
  <conditionalFormatting sqref="F38:G38">
    <cfRule type="duplicateValues" dxfId="4460" priority="67"/>
  </conditionalFormatting>
  <conditionalFormatting sqref="F40:G40">
    <cfRule type="duplicateValues" dxfId="4459" priority="252"/>
  </conditionalFormatting>
  <conditionalFormatting sqref="F41:G41">
    <cfRule type="duplicateValues" dxfId="4458" priority="234"/>
  </conditionalFormatting>
  <conditionalFormatting sqref="F42:G42">
    <cfRule type="duplicateValues" dxfId="4457" priority="213"/>
  </conditionalFormatting>
  <conditionalFormatting sqref="F43:G43">
    <cfRule type="duplicateValues" dxfId="4456" priority="193"/>
  </conditionalFormatting>
  <conditionalFormatting sqref="F44:G44">
    <cfRule type="duplicateValues" dxfId="4455" priority="172"/>
  </conditionalFormatting>
  <conditionalFormatting sqref="F45:G45">
    <cfRule type="duplicateValues" dxfId="4454" priority="151"/>
  </conditionalFormatting>
  <conditionalFormatting sqref="F47:G47">
    <cfRule type="duplicateValues" dxfId="4453" priority="271"/>
  </conditionalFormatting>
  <conditionalFormatting sqref="F48:G48">
    <cfRule type="duplicateValues" dxfId="4452" priority="233"/>
  </conditionalFormatting>
  <conditionalFormatting sqref="F49:G49">
    <cfRule type="duplicateValues" dxfId="4451" priority="107"/>
  </conditionalFormatting>
  <conditionalFormatting sqref="F50:G50">
    <cfRule type="duplicateValues" dxfId="4450" priority="86"/>
  </conditionalFormatting>
  <conditionalFormatting sqref="F51:G51">
    <cfRule type="duplicateValues" dxfId="4449" priority="44"/>
  </conditionalFormatting>
  <conditionalFormatting sqref="F52:G52">
    <cfRule type="duplicateValues" dxfId="4448" priority="65"/>
  </conditionalFormatting>
  <conditionalFormatting sqref="F54:G54">
    <cfRule type="duplicateValues" dxfId="4447" priority="251"/>
  </conditionalFormatting>
  <conditionalFormatting sqref="F55:G55">
    <cfRule type="duplicateValues" dxfId="4446" priority="127"/>
  </conditionalFormatting>
  <conditionalFormatting sqref="F56:G56">
    <cfRule type="duplicateValues" dxfId="4445" priority="211"/>
  </conditionalFormatting>
  <conditionalFormatting sqref="F57:G57">
    <cfRule type="duplicateValues" dxfId="4444" priority="191"/>
  </conditionalFormatting>
  <conditionalFormatting sqref="F58:G58">
    <cfRule type="duplicateValues" dxfId="4443" priority="170"/>
  </conditionalFormatting>
  <conditionalFormatting sqref="F59:G59">
    <cfRule type="duplicateValues" dxfId="4442" priority="149"/>
  </conditionalFormatting>
  <conditionalFormatting sqref="F61:G61">
    <cfRule type="duplicateValues" dxfId="4441" priority="269"/>
  </conditionalFormatting>
  <conditionalFormatting sqref="F62:G62">
    <cfRule type="duplicateValues" dxfId="4440" priority="231"/>
  </conditionalFormatting>
  <conditionalFormatting sqref="F63:G63">
    <cfRule type="duplicateValues" dxfId="4439" priority="210"/>
  </conditionalFormatting>
  <conditionalFormatting sqref="F64:G64">
    <cfRule type="duplicateValues" dxfId="4438" priority="84"/>
  </conditionalFormatting>
  <conditionalFormatting sqref="F65:G65">
    <cfRule type="duplicateValues" dxfId="4437" priority="42"/>
  </conditionalFormatting>
  <conditionalFormatting sqref="F66:G66">
    <cfRule type="duplicateValues" dxfId="4436" priority="63"/>
  </conditionalFormatting>
  <conditionalFormatting sqref="F68:G68">
    <cfRule type="duplicateValues" dxfId="4435" priority="249"/>
  </conditionalFormatting>
  <conditionalFormatting sqref="F69:G69">
    <cfRule type="duplicateValues" dxfId="4434" priority="125"/>
  </conditionalFormatting>
  <conditionalFormatting sqref="F70:G70">
    <cfRule type="duplicateValues" dxfId="4433" priority="104"/>
  </conditionalFormatting>
  <conditionalFormatting sqref="F71:G71">
    <cfRule type="duplicateValues" dxfId="4432" priority="189"/>
  </conditionalFormatting>
  <conditionalFormatting sqref="F72:G72">
    <cfRule type="duplicateValues" dxfId="4431" priority="168"/>
  </conditionalFormatting>
  <conditionalFormatting sqref="F73:G73">
    <cfRule type="duplicateValues" dxfId="4430" priority="147"/>
  </conditionalFormatting>
  <conditionalFormatting sqref="F75:G75">
    <cfRule type="duplicateValues" dxfId="4429" priority="267"/>
  </conditionalFormatting>
  <conditionalFormatting sqref="F76:G76">
    <cfRule type="duplicateValues" dxfId="4428" priority="229"/>
  </conditionalFormatting>
  <conditionalFormatting sqref="F77:G77">
    <cfRule type="duplicateValues" dxfId="4427" priority="208"/>
  </conditionalFormatting>
  <conditionalFormatting sqref="F78:G78">
    <cfRule type="duplicateValues" dxfId="4426" priority="188"/>
  </conditionalFormatting>
  <conditionalFormatting sqref="F79:G79">
    <cfRule type="duplicateValues" dxfId="4425" priority="82"/>
  </conditionalFormatting>
  <conditionalFormatting sqref="F80:G80">
    <cfRule type="duplicateValues" dxfId="4424" priority="61"/>
  </conditionalFormatting>
  <conditionalFormatting sqref="F82:G82">
    <cfRule type="duplicateValues" dxfId="4423" priority="247"/>
  </conditionalFormatting>
  <conditionalFormatting sqref="F83:G83">
    <cfRule type="duplicateValues" dxfId="4422" priority="123"/>
  </conditionalFormatting>
  <conditionalFormatting sqref="F84:G84">
    <cfRule type="duplicateValues" dxfId="4421" priority="102"/>
  </conditionalFormatting>
  <conditionalFormatting sqref="F85:G85">
    <cfRule type="duplicateValues" dxfId="4420" priority="166"/>
  </conditionalFormatting>
  <conditionalFormatting sqref="F86:G86">
    <cfRule type="duplicateValues" dxfId="4419" priority="145"/>
  </conditionalFormatting>
  <conditionalFormatting sqref="F87:G87">
    <cfRule type="duplicateValues" dxfId="4418" priority="39"/>
  </conditionalFormatting>
  <conditionalFormatting sqref="F89:G89">
    <cfRule type="duplicateValues" dxfId="4417" priority="265"/>
  </conditionalFormatting>
  <conditionalFormatting sqref="F90:G90">
    <cfRule type="duplicateValues" dxfId="4416" priority="227"/>
  </conditionalFormatting>
  <conditionalFormatting sqref="F91:G91">
    <cfRule type="duplicateValues" dxfId="4415" priority="25"/>
  </conditionalFormatting>
  <conditionalFormatting sqref="F92:G92">
    <cfRule type="duplicateValues" dxfId="4414" priority="186"/>
  </conditionalFormatting>
  <conditionalFormatting sqref="F93:G93">
    <cfRule type="duplicateValues" dxfId="4413" priority="165"/>
  </conditionalFormatting>
  <conditionalFormatting sqref="F94:G94">
    <cfRule type="duplicateValues" dxfId="4412" priority="80"/>
  </conditionalFormatting>
  <conditionalFormatting sqref="F96:G96">
    <cfRule type="duplicateValues" dxfId="4411" priority="245"/>
  </conditionalFormatting>
  <conditionalFormatting sqref="F97:G97">
    <cfRule type="duplicateValues" dxfId="4410" priority="121"/>
  </conditionalFormatting>
  <conditionalFormatting sqref="F98:G98">
    <cfRule type="duplicateValues" dxfId="4409" priority="100"/>
  </conditionalFormatting>
  <conditionalFormatting sqref="F99:G99">
    <cfRule type="duplicateValues" dxfId="4408" priority="143"/>
  </conditionalFormatting>
  <conditionalFormatting sqref="F100:G100">
    <cfRule type="duplicateValues" dxfId="4407" priority="37"/>
  </conditionalFormatting>
  <conditionalFormatting sqref="F101:G101">
    <cfRule type="duplicateValues" dxfId="4406" priority="58"/>
  </conditionalFormatting>
  <conditionalFormatting sqref="F103:G103">
    <cfRule type="duplicateValues" dxfId="4405" priority="244"/>
  </conditionalFormatting>
  <conditionalFormatting sqref="F104:G104">
    <cfRule type="duplicateValues" dxfId="4404" priority="120"/>
  </conditionalFormatting>
  <conditionalFormatting sqref="F106:G106">
    <cfRule type="duplicateValues" dxfId="4403" priority="78"/>
  </conditionalFormatting>
  <conditionalFormatting sqref="F107:G107">
    <cfRule type="duplicateValues" dxfId="4402" priority="36"/>
  </conditionalFormatting>
  <conditionalFormatting sqref="F108:G108">
    <cfRule type="duplicateValues" dxfId="4401" priority="57"/>
  </conditionalFormatting>
  <conditionalFormatting sqref="F110:G110">
    <cfRule type="duplicateValues" dxfId="4400" priority="264"/>
  </conditionalFormatting>
  <conditionalFormatting sqref="F111:G111">
    <cfRule type="duplicateValues" dxfId="4399" priority="223"/>
  </conditionalFormatting>
  <conditionalFormatting sqref="F112:G112">
    <cfRule type="duplicateValues" dxfId="4398" priority="204"/>
  </conditionalFormatting>
  <conditionalFormatting sqref="F113:G113">
    <cfRule type="duplicateValues" dxfId="4397" priority="183"/>
  </conditionalFormatting>
  <conditionalFormatting sqref="F114:G114">
    <cfRule type="duplicateValues" dxfId="4396" priority="162"/>
  </conditionalFormatting>
  <conditionalFormatting sqref="F115:G115">
    <cfRule type="duplicateValues" dxfId="4395" priority="141"/>
  </conditionalFormatting>
  <conditionalFormatting sqref="F117:G117">
    <cfRule type="duplicateValues" dxfId="4394" priority="262"/>
  </conditionalFormatting>
  <conditionalFormatting sqref="F118:G118">
    <cfRule type="duplicateValues" dxfId="4393" priority="118"/>
  </conditionalFormatting>
  <conditionalFormatting sqref="F119:G119">
    <cfRule type="duplicateValues" dxfId="4392" priority="97"/>
  </conditionalFormatting>
  <conditionalFormatting sqref="F120:G120">
    <cfRule type="duplicateValues" dxfId="4391" priority="76"/>
  </conditionalFormatting>
  <conditionalFormatting sqref="F121:G121">
    <cfRule type="duplicateValues" dxfId="4390" priority="34"/>
  </conditionalFormatting>
  <conditionalFormatting sqref="F122:G122">
    <cfRule type="duplicateValues" dxfId="4389" priority="55"/>
  </conditionalFormatting>
  <conditionalFormatting sqref="F124:G124">
    <cfRule type="duplicateValues" dxfId="4388" priority="242"/>
  </conditionalFormatting>
  <conditionalFormatting sqref="F125:G125">
    <cfRule type="duplicateValues" dxfId="4387" priority="117"/>
  </conditionalFormatting>
  <conditionalFormatting sqref="F126:G126">
    <cfRule type="duplicateValues" dxfId="4386" priority="202"/>
  </conditionalFormatting>
  <conditionalFormatting sqref="F127:G127">
    <cfRule type="duplicateValues" dxfId="4385" priority="181"/>
  </conditionalFormatting>
  <conditionalFormatting sqref="F128:G128">
    <cfRule type="duplicateValues" dxfId="4384" priority="160"/>
  </conditionalFormatting>
  <conditionalFormatting sqref="F129:G129">
    <cfRule type="duplicateValues" dxfId="4383" priority="138"/>
  </conditionalFormatting>
  <conditionalFormatting sqref="F131:G131">
    <cfRule type="duplicateValues" dxfId="4382" priority="260"/>
  </conditionalFormatting>
  <conditionalFormatting sqref="F132:G132">
    <cfRule type="duplicateValues" dxfId="4381" priority="221"/>
  </conditionalFormatting>
  <conditionalFormatting sqref="F133:G133">
    <cfRule type="duplicateValues" dxfId="4380" priority="95"/>
  </conditionalFormatting>
  <conditionalFormatting sqref="F134:G134">
    <cfRule type="duplicateValues" dxfId="4379" priority="74"/>
  </conditionalFormatting>
  <conditionalFormatting sqref="F135:G135">
    <cfRule type="duplicateValues" dxfId="4378" priority="32"/>
  </conditionalFormatting>
  <conditionalFormatting sqref="F136:G136">
    <cfRule type="duplicateValues" dxfId="4377" priority="53"/>
  </conditionalFormatting>
  <conditionalFormatting sqref="F138:G138">
    <cfRule type="duplicateValues" dxfId="4376" priority="241"/>
  </conditionalFormatting>
  <conditionalFormatting sqref="F139:G139">
    <cfRule type="duplicateValues" dxfId="4375" priority="115"/>
  </conditionalFormatting>
  <conditionalFormatting sqref="F140:G140">
    <cfRule type="duplicateValues" dxfId="4374" priority="94"/>
  </conditionalFormatting>
  <conditionalFormatting sqref="F141:G141">
    <cfRule type="duplicateValues" dxfId="4373" priority="179"/>
  </conditionalFormatting>
  <conditionalFormatting sqref="F142:G142">
    <cfRule type="duplicateValues" dxfId="4372" priority="158"/>
  </conditionalFormatting>
  <conditionalFormatting sqref="F143:G143">
    <cfRule type="duplicateValues" dxfId="4371" priority="137"/>
  </conditionalFormatting>
  <conditionalFormatting sqref="F145:G145">
    <cfRule type="duplicateValues" dxfId="4370" priority="258"/>
  </conditionalFormatting>
  <conditionalFormatting sqref="F146:G146">
    <cfRule type="duplicateValues" dxfId="4369" priority="219"/>
  </conditionalFormatting>
  <conditionalFormatting sqref="F147:G147">
    <cfRule type="duplicateValues" dxfId="4368" priority="199"/>
  </conditionalFormatting>
  <conditionalFormatting sqref="F148:G148">
    <cfRule type="duplicateValues" dxfId="4367" priority="72"/>
  </conditionalFormatting>
  <conditionalFormatting sqref="F149:G149">
    <cfRule type="duplicateValues" dxfId="4366" priority="30"/>
  </conditionalFormatting>
  <conditionalFormatting sqref="F150:G150">
    <cfRule type="duplicateValues" dxfId="4365" priority="51"/>
  </conditionalFormatting>
  <conditionalFormatting sqref="F152:G152">
    <cfRule type="duplicateValues" dxfId="4364" priority="240"/>
  </conditionalFormatting>
  <conditionalFormatting sqref="F153:G153">
    <cfRule type="duplicateValues" dxfId="4363" priority="113"/>
  </conditionalFormatting>
  <conditionalFormatting sqref="F154:G154">
    <cfRule type="duplicateValues" dxfId="4362" priority="92"/>
  </conditionalFormatting>
  <conditionalFormatting sqref="F155:G155">
    <cfRule type="duplicateValues" dxfId="4361" priority="156"/>
  </conditionalFormatting>
  <conditionalFormatting sqref="F156:G156">
    <cfRule type="duplicateValues" dxfId="4360" priority="135"/>
  </conditionalFormatting>
  <conditionalFormatting sqref="F157:G157">
    <cfRule type="duplicateValues" dxfId="4359" priority="29"/>
  </conditionalFormatting>
  <conditionalFormatting sqref="F159:G159">
    <cfRule type="duplicateValues" dxfId="4358" priority="256"/>
  </conditionalFormatting>
  <conditionalFormatting sqref="F160:G160">
    <cfRule type="duplicateValues" dxfId="4357" priority="217"/>
  </conditionalFormatting>
  <conditionalFormatting sqref="F161:G161">
    <cfRule type="duplicateValues" dxfId="4356" priority="197"/>
  </conditionalFormatting>
  <conditionalFormatting sqref="F162:G162">
    <cfRule type="duplicateValues" dxfId="4355" priority="176"/>
  </conditionalFormatting>
  <conditionalFormatting sqref="F163:G163">
    <cfRule type="duplicateValues" dxfId="4354" priority="70"/>
  </conditionalFormatting>
  <conditionalFormatting sqref="F164:G164">
    <cfRule type="duplicateValues" dxfId="4353" priority="49"/>
  </conditionalFormatting>
  <conditionalFormatting sqref="F166:G166">
    <cfRule type="duplicateValues" dxfId="4352" priority="238"/>
  </conditionalFormatting>
  <conditionalFormatting sqref="F167:G167">
    <cfRule type="duplicateValues" dxfId="4351" priority="111"/>
  </conditionalFormatting>
  <conditionalFormatting sqref="F168:G168">
    <cfRule type="duplicateValues" dxfId="4350" priority="90"/>
  </conditionalFormatting>
  <conditionalFormatting sqref="F169:G169">
    <cfRule type="duplicateValues" dxfId="4349" priority="133"/>
  </conditionalFormatting>
  <conditionalFormatting sqref="F170:G170">
    <cfRule type="duplicateValues" dxfId="4348" priority="27"/>
  </conditionalFormatting>
  <conditionalFormatting sqref="F171:G171">
    <cfRule type="duplicateValues" dxfId="4347" priority="48"/>
  </conditionalFormatting>
  <conditionalFormatting sqref="F173:G173">
    <cfRule type="duplicateValues" dxfId="4346" priority="254"/>
  </conditionalFormatting>
  <conditionalFormatting sqref="F174:G174">
    <cfRule type="duplicateValues" dxfId="4345" priority="215"/>
  </conditionalFormatting>
  <conditionalFormatting sqref="F175:G175">
    <cfRule type="duplicateValues" dxfId="4344" priority="195"/>
  </conditionalFormatting>
  <conditionalFormatting sqref="F176:G176">
    <cfRule type="duplicateValues" dxfId="4343" priority="174"/>
  </conditionalFormatting>
  <conditionalFormatting sqref="F177:G177">
    <cfRule type="duplicateValues" dxfId="4342" priority="153"/>
  </conditionalFormatting>
  <conditionalFormatting sqref="F178:G178">
    <cfRule type="duplicateValues" dxfId="4341" priority="68"/>
  </conditionalFormatting>
  <conditionalFormatting sqref="G26:G29 G31">
    <cfRule type="duplicateValues" dxfId="4340" priority="19"/>
  </conditionalFormatting>
  <conditionalFormatting sqref="G30">
    <cfRule type="duplicateValues" dxfId="4339" priority="10"/>
  </conditionalFormatting>
  <conditionalFormatting sqref="G105">
    <cfRule type="duplicateValues" dxfId="4338" priority="13"/>
  </conditionalFormatting>
  <conditionalFormatting sqref="H26:H29 H31">
    <cfRule type="duplicateValues" dxfId="4337" priority="20"/>
  </conditionalFormatting>
  <conditionalFormatting sqref="H105">
    <cfRule type="duplicateValues" dxfId="4336" priority="14"/>
  </conditionalFormatting>
  <conditionalFormatting sqref="H30:I30">
    <cfRule type="duplicateValues" dxfId="4335" priority="9"/>
  </conditionalFormatting>
  <conditionalFormatting sqref="H33:I33">
    <cfRule type="duplicateValues" dxfId="4334" priority="273"/>
  </conditionalFormatting>
  <conditionalFormatting sqref="H34:I34">
    <cfRule type="duplicateValues" dxfId="4333" priority="152"/>
  </conditionalFormatting>
  <conditionalFormatting sqref="H35:I35">
    <cfRule type="duplicateValues" dxfId="4332" priority="173"/>
  </conditionalFormatting>
  <conditionalFormatting sqref="H36:I36">
    <cfRule type="duplicateValues" dxfId="4331" priority="235"/>
  </conditionalFormatting>
  <conditionalFormatting sqref="H37:I37">
    <cfRule type="duplicateValues" dxfId="4330" priority="194"/>
  </conditionalFormatting>
  <conditionalFormatting sqref="H38:I38">
    <cfRule type="duplicateValues" dxfId="4329" priority="214"/>
  </conditionalFormatting>
  <conditionalFormatting sqref="H40:I40">
    <cfRule type="duplicateValues" dxfId="4328" priority="130"/>
  </conditionalFormatting>
  <conditionalFormatting sqref="H41:I41">
    <cfRule type="duplicateValues" dxfId="4327" priority="272"/>
  </conditionalFormatting>
  <conditionalFormatting sqref="H42:I42">
    <cfRule type="duplicateValues" dxfId="4326" priority="87"/>
  </conditionalFormatting>
  <conditionalFormatting sqref="H43:I43">
    <cfRule type="duplicateValues" dxfId="4325" priority="66"/>
  </conditionalFormatting>
  <conditionalFormatting sqref="H44:I44">
    <cfRule type="duplicateValues" dxfId="4324" priority="45"/>
  </conditionalFormatting>
  <conditionalFormatting sqref="H45:I45">
    <cfRule type="duplicateValues" dxfId="4323" priority="108"/>
  </conditionalFormatting>
  <conditionalFormatting sqref="H47:I47">
    <cfRule type="duplicateValues" dxfId="4322" priority="212"/>
  </conditionalFormatting>
  <conditionalFormatting sqref="H48:I48">
    <cfRule type="duplicateValues" dxfId="4321" priority="128"/>
  </conditionalFormatting>
  <conditionalFormatting sqref="H49:I49">
    <cfRule type="duplicateValues" dxfId="4320" priority="129"/>
  </conditionalFormatting>
  <conditionalFormatting sqref="H50:I50">
    <cfRule type="duplicateValues" dxfId="4319" priority="192"/>
  </conditionalFormatting>
  <conditionalFormatting sqref="H51:I51">
    <cfRule type="duplicateValues" dxfId="4318" priority="150"/>
  </conditionalFormatting>
  <conditionalFormatting sqref="H52:I52">
    <cfRule type="duplicateValues" dxfId="4317" priority="171"/>
  </conditionalFormatting>
  <conditionalFormatting sqref="H54:I54">
    <cfRule type="duplicateValues" dxfId="4316" priority="106"/>
  </conditionalFormatting>
  <conditionalFormatting sqref="H55:I55">
    <cfRule type="duplicateValues" dxfId="4315" priority="43"/>
  </conditionalFormatting>
  <conditionalFormatting sqref="H56:I56">
    <cfRule type="duplicateValues" dxfId="4314" priority="232"/>
  </conditionalFormatting>
  <conditionalFormatting sqref="H57:I57">
    <cfRule type="duplicateValues" dxfId="4313" priority="270"/>
  </conditionalFormatting>
  <conditionalFormatting sqref="H58:I58">
    <cfRule type="duplicateValues" dxfId="4312" priority="85"/>
  </conditionalFormatting>
  <conditionalFormatting sqref="H59:I59">
    <cfRule type="duplicateValues" dxfId="4311" priority="64"/>
  </conditionalFormatting>
  <conditionalFormatting sqref="H61:I61">
    <cfRule type="duplicateValues" dxfId="4310" priority="169"/>
  </conditionalFormatting>
  <conditionalFormatting sqref="H62:I62">
    <cfRule type="duplicateValues" dxfId="4309" priority="190"/>
  </conditionalFormatting>
  <conditionalFormatting sqref="H63:I63">
    <cfRule type="duplicateValues" dxfId="4308" priority="250"/>
  </conditionalFormatting>
  <conditionalFormatting sqref="H64:I64">
    <cfRule type="duplicateValues" dxfId="4307" priority="148"/>
  </conditionalFormatting>
  <conditionalFormatting sqref="H65:I65">
    <cfRule type="duplicateValues" dxfId="4306" priority="105"/>
  </conditionalFormatting>
  <conditionalFormatting sqref="H66:I66">
    <cfRule type="duplicateValues" dxfId="4305" priority="126"/>
  </conditionalFormatting>
  <conditionalFormatting sqref="H68:I68">
    <cfRule type="duplicateValues" dxfId="4304" priority="41"/>
  </conditionalFormatting>
  <conditionalFormatting sqref="H69:I69">
    <cfRule type="duplicateValues" dxfId="4303" priority="83"/>
  </conditionalFormatting>
  <conditionalFormatting sqref="H70:I70">
    <cfRule type="duplicateValues" dxfId="4302" priority="62"/>
  </conditionalFormatting>
  <conditionalFormatting sqref="H71:I71">
    <cfRule type="duplicateValues" dxfId="4301" priority="209"/>
  </conditionalFormatting>
  <conditionalFormatting sqref="H72:I72">
    <cfRule type="duplicateValues" dxfId="4300" priority="230"/>
  </conditionalFormatting>
  <conditionalFormatting sqref="H73:I73">
    <cfRule type="duplicateValues" dxfId="4299" priority="268"/>
  </conditionalFormatting>
  <conditionalFormatting sqref="H75:I75">
    <cfRule type="duplicateValues" dxfId="4298" priority="124"/>
  </conditionalFormatting>
  <conditionalFormatting sqref="H76:I76">
    <cfRule type="duplicateValues" dxfId="4297" priority="146"/>
  </conditionalFormatting>
  <conditionalFormatting sqref="H77:I77">
    <cfRule type="duplicateValues" dxfId="4296" priority="167"/>
  </conditionalFormatting>
  <conditionalFormatting sqref="H78:I78">
    <cfRule type="duplicateValues" dxfId="4295" priority="248"/>
  </conditionalFormatting>
  <conditionalFormatting sqref="H79:I79">
    <cfRule type="duplicateValues" dxfId="4294" priority="103"/>
  </conditionalFormatting>
  <conditionalFormatting sqref="H80:I80">
    <cfRule type="duplicateValues" dxfId="4293" priority="40"/>
  </conditionalFormatting>
  <conditionalFormatting sqref="H82:I82">
    <cfRule type="duplicateValues" dxfId="4292" priority="60"/>
  </conditionalFormatting>
  <conditionalFormatting sqref="H83:I83">
    <cfRule type="duplicateValues" dxfId="4291" priority="228"/>
  </conditionalFormatting>
  <conditionalFormatting sqref="H84:I84">
    <cfRule type="duplicateValues" dxfId="4290" priority="266"/>
  </conditionalFormatting>
  <conditionalFormatting sqref="H85:I85">
    <cfRule type="duplicateValues" dxfId="4289" priority="187"/>
  </conditionalFormatting>
  <conditionalFormatting sqref="H86:I86">
    <cfRule type="duplicateValues" dxfId="4288" priority="207"/>
  </conditionalFormatting>
  <conditionalFormatting sqref="H87:I87">
    <cfRule type="duplicateValues" dxfId="4287" priority="81"/>
  </conditionalFormatting>
  <conditionalFormatting sqref="H89:I89">
    <cfRule type="duplicateValues" dxfId="4286" priority="38"/>
  </conditionalFormatting>
  <conditionalFormatting sqref="H90:I90">
    <cfRule type="duplicateValues" dxfId="4285" priority="101"/>
  </conditionalFormatting>
  <conditionalFormatting sqref="H91:I91">
    <cfRule type="duplicateValues" dxfId="4284" priority="122"/>
  </conditionalFormatting>
  <conditionalFormatting sqref="H92:I92">
    <cfRule type="duplicateValues" dxfId="4283" priority="144"/>
  </conditionalFormatting>
  <conditionalFormatting sqref="H93:I93">
    <cfRule type="duplicateValues" dxfId="4282" priority="246"/>
  </conditionalFormatting>
  <conditionalFormatting sqref="H94:I94">
    <cfRule type="duplicateValues" dxfId="4281" priority="59"/>
  </conditionalFormatting>
  <conditionalFormatting sqref="H96:I96">
    <cfRule type="duplicateValues" dxfId="4280" priority="79"/>
  </conditionalFormatting>
  <conditionalFormatting sqref="H97:I97">
    <cfRule type="duplicateValues" dxfId="4279" priority="185"/>
  </conditionalFormatting>
  <conditionalFormatting sqref="H98:I98">
    <cfRule type="duplicateValues" dxfId="4278" priority="206"/>
  </conditionalFormatting>
  <conditionalFormatting sqref="H99:I99">
    <cfRule type="duplicateValues" dxfId="4277" priority="164"/>
  </conditionalFormatting>
  <conditionalFormatting sqref="H100:I100">
    <cfRule type="duplicateValues" dxfId="4276" priority="226"/>
  </conditionalFormatting>
  <conditionalFormatting sqref="H101:I101">
    <cfRule type="duplicateValues" dxfId="4275" priority="24"/>
  </conditionalFormatting>
  <conditionalFormatting sqref="H103:I103">
    <cfRule type="duplicateValues" dxfId="4274" priority="142"/>
  </conditionalFormatting>
  <conditionalFormatting sqref="H104:I104">
    <cfRule type="duplicateValues" dxfId="4273" priority="163"/>
  </conditionalFormatting>
  <conditionalFormatting sqref="H106:I106">
    <cfRule type="duplicateValues" dxfId="4272" priority="263"/>
  </conditionalFormatting>
  <conditionalFormatting sqref="H107:I107">
    <cfRule type="duplicateValues" dxfId="4271" priority="205"/>
  </conditionalFormatting>
  <conditionalFormatting sqref="H108:I108">
    <cfRule type="duplicateValues" dxfId="4270" priority="225"/>
  </conditionalFormatting>
  <conditionalFormatting sqref="H110:I110">
    <cfRule type="duplicateValues" dxfId="4269" priority="243"/>
  </conditionalFormatting>
  <conditionalFormatting sqref="H111:I111">
    <cfRule type="duplicateValues" dxfId="4268" priority="77"/>
  </conditionalFormatting>
  <conditionalFormatting sqref="H112:I112">
    <cfRule type="duplicateValues" dxfId="4267" priority="56"/>
  </conditionalFormatting>
  <conditionalFormatting sqref="H113:I113">
    <cfRule type="duplicateValues" dxfId="4266" priority="35"/>
  </conditionalFormatting>
  <conditionalFormatting sqref="H114:I114">
    <cfRule type="duplicateValues" dxfId="4265" priority="98"/>
  </conditionalFormatting>
  <conditionalFormatting sqref="H115:I115">
    <cfRule type="duplicateValues" dxfId="4264" priority="119"/>
  </conditionalFormatting>
  <conditionalFormatting sqref="H117:I117">
    <cfRule type="duplicateValues" dxfId="4263" priority="224"/>
  </conditionalFormatting>
  <conditionalFormatting sqref="H118:I118">
    <cfRule type="duplicateValues" dxfId="4262" priority="23"/>
  </conditionalFormatting>
  <conditionalFormatting sqref="H119:I119">
    <cfRule type="duplicateValues" dxfId="4261" priority="140"/>
  </conditionalFormatting>
  <conditionalFormatting sqref="H120:I120">
    <cfRule type="duplicateValues" dxfId="4260" priority="203"/>
  </conditionalFormatting>
  <conditionalFormatting sqref="H121:I121">
    <cfRule type="duplicateValues" dxfId="4259" priority="161"/>
  </conditionalFormatting>
  <conditionalFormatting sqref="H122:I122">
    <cfRule type="duplicateValues" dxfId="4258" priority="182"/>
  </conditionalFormatting>
  <conditionalFormatting sqref="H124:I124">
    <cfRule type="duplicateValues" dxfId="4257" priority="222"/>
  </conditionalFormatting>
  <conditionalFormatting sqref="H125:I125">
    <cfRule type="duplicateValues" dxfId="4256" priority="96"/>
  </conditionalFormatting>
  <conditionalFormatting sqref="H126:I126">
    <cfRule type="duplicateValues" dxfId="4255" priority="261"/>
  </conditionalFormatting>
  <conditionalFormatting sqref="H127:I127">
    <cfRule type="duplicateValues" dxfId="4254" priority="75"/>
  </conditionalFormatting>
  <conditionalFormatting sqref="H128:I128">
    <cfRule type="duplicateValues" dxfId="4253" priority="54"/>
  </conditionalFormatting>
  <conditionalFormatting sqref="H129:I129">
    <cfRule type="duplicateValues" dxfId="4252" priority="33"/>
  </conditionalFormatting>
  <conditionalFormatting sqref="H131:I131">
    <cfRule type="duplicateValues" dxfId="4251" priority="180"/>
  </conditionalFormatting>
  <conditionalFormatting sqref="H132:I132">
    <cfRule type="duplicateValues" dxfId="4250" priority="201"/>
  </conditionalFormatting>
  <conditionalFormatting sqref="H133:I133">
    <cfRule type="duplicateValues" dxfId="4249" priority="22"/>
  </conditionalFormatting>
  <conditionalFormatting sqref="H134:I134">
    <cfRule type="duplicateValues" dxfId="4248" priority="159"/>
  </conditionalFormatting>
  <conditionalFormatting sqref="H135:I135">
    <cfRule type="duplicateValues" dxfId="4247" priority="116"/>
  </conditionalFormatting>
  <conditionalFormatting sqref="H136:I136">
    <cfRule type="duplicateValues" dxfId="4246" priority="139"/>
  </conditionalFormatting>
  <conditionalFormatting sqref="H138:I138">
    <cfRule type="duplicateValues" dxfId="4245" priority="200"/>
  </conditionalFormatting>
  <conditionalFormatting sqref="H139:I139">
    <cfRule type="duplicateValues" dxfId="4244" priority="52"/>
  </conditionalFormatting>
  <conditionalFormatting sqref="H140:I140">
    <cfRule type="duplicateValues" dxfId="4243" priority="31"/>
  </conditionalFormatting>
  <conditionalFormatting sqref="H141:I141">
    <cfRule type="duplicateValues" dxfId="4242" priority="220"/>
  </conditionalFormatting>
  <conditionalFormatting sqref="H142:I142">
    <cfRule type="duplicateValues" dxfId="4241" priority="259"/>
  </conditionalFormatting>
  <conditionalFormatting sqref="H143:I143">
    <cfRule type="duplicateValues" dxfId="4240" priority="73"/>
  </conditionalFormatting>
  <conditionalFormatting sqref="H145:I145">
    <cfRule type="duplicateValues" dxfId="4239" priority="136"/>
  </conditionalFormatting>
  <conditionalFormatting sqref="H146:I146">
    <cfRule type="duplicateValues" dxfId="4238" priority="157"/>
  </conditionalFormatting>
  <conditionalFormatting sqref="H147:I147">
    <cfRule type="duplicateValues" dxfId="4237" priority="178"/>
  </conditionalFormatting>
  <conditionalFormatting sqref="H148:I148">
    <cfRule type="duplicateValues" dxfId="4236" priority="114"/>
  </conditionalFormatting>
  <conditionalFormatting sqref="H149:I149">
    <cfRule type="duplicateValues" dxfId="4235" priority="239"/>
  </conditionalFormatting>
  <conditionalFormatting sqref="H150:I150">
    <cfRule type="duplicateValues" dxfId="4234" priority="93"/>
  </conditionalFormatting>
  <conditionalFormatting sqref="H152:I152">
    <cfRule type="duplicateValues" dxfId="4233" priority="177"/>
  </conditionalFormatting>
  <conditionalFormatting sqref="H153:I153">
    <cfRule type="duplicateValues" dxfId="4232" priority="257"/>
  </conditionalFormatting>
  <conditionalFormatting sqref="H154:I154">
    <cfRule type="duplicateValues" dxfId="4231" priority="71"/>
  </conditionalFormatting>
  <conditionalFormatting sqref="H155:I155">
    <cfRule type="duplicateValues" dxfId="4230" priority="198"/>
  </conditionalFormatting>
  <conditionalFormatting sqref="H156:I156">
    <cfRule type="duplicateValues" dxfId="4229" priority="218"/>
  </conditionalFormatting>
  <conditionalFormatting sqref="H157:I157">
    <cfRule type="duplicateValues" dxfId="4228" priority="50"/>
  </conditionalFormatting>
  <conditionalFormatting sqref="H159:I159">
    <cfRule type="duplicateValues" dxfId="4227" priority="91"/>
  </conditionalFormatting>
  <conditionalFormatting sqref="H160:I160">
    <cfRule type="duplicateValues" dxfId="4226" priority="112"/>
  </conditionalFormatting>
  <conditionalFormatting sqref="H161:I161">
    <cfRule type="duplicateValues" dxfId="4225" priority="134"/>
  </conditionalFormatting>
  <conditionalFormatting sqref="H162:I162">
    <cfRule type="duplicateValues" dxfId="4224" priority="155"/>
  </conditionalFormatting>
  <conditionalFormatting sqref="H163:I163">
    <cfRule type="duplicateValues" dxfId="4223" priority="28"/>
  </conditionalFormatting>
  <conditionalFormatting sqref="H164:I164">
    <cfRule type="duplicateValues" dxfId="4222" priority="237"/>
  </conditionalFormatting>
  <conditionalFormatting sqref="H166:I166">
    <cfRule type="duplicateValues" dxfId="4221" priority="154"/>
  </conditionalFormatting>
  <conditionalFormatting sqref="H167:I167">
    <cfRule type="duplicateValues" dxfId="4220" priority="196"/>
  </conditionalFormatting>
  <conditionalFormatting sqref="H168:I168">
    <cfRule type="duplicateValues" dxfId="4219" priority="216"/>
  </conditionalFormatting>
  <conditionalFormatting sqref="H169:I169">
    <cfRule type="duplicateValues" dxfId="4218" priority="175"/>
  </conditionalFormatting>
  <conditionalFormatting sqref="H170:I170">
    <cfRule type="duplicateValues" dxfId="4217" priority="255"/>
  </conditionalFormatting>
  <conditionalFormatting sqref="H171:I171">
    <cfRule type="duplicateValues" dxfId="4216" priority="69"/>
  </conditionalFormatting>
  <conditionalFormatting sqref="H173:I173">
    <cfRule type="duplicateValues" dxfId="4215" priority="47"/>
  </conditionalFormatting>
  <conditionalFormatting sqref="H174:I174">
    <cfRule type="duplicateValues" dxfId="4214" priority="26"/>
  </conditionalFormatting>
  <conditionalFormatting sqref="H175:I175">
    <cfRule type="duplicateValues" dxfId="4213" priority="89"/>
  </conditionalFormatting>
  <conditionalFormatting sqref="H176:I176">
    <cfRule type="duplicateValues" dxfId="4212" priority="110"/>
  </conditionalFormatting>
  <conditionalFormatting sqref="H177:I177">
    <cfRule type="duplicateValues" dxfId="4211" priority="132"/>
  </conditionalFormatting>
  <conditionalFormatting sqref="H178:I178">
    <cfRule type="duplicateValues" dxfId="4210" priority="236"/>
  </conditionalFormatting>
  <conditionalFormatting sqref="I5:I8">
    <cfRule type="duplicateValues" dxfId="4209" priority="1874"/>
  </conditionalFormatting>
  <conditionalFormatting sqref="I26:I29 I31">
    <cfRule type="duplicateValues" dxfId="4208" priority="18"/>
  </conditionalFormatting>
  <conditionalFormatting sqref="I105">
    <cfRule type="duplicateValues" dxfId="4207" priority="12"/>
  </conditionalFormatting>
  <conditionalFormatting sqref="J31">
    <cfRule type="duplicateValues" dxfId="4206" priority="17"/>
  </conditionalFormatting>
  <conditionalFormatting sqref="K3:K4 K7:K8">
    <cfRule type="duplicateValues" dxfId="4205" priority="1875"/>
  </conditionalFormatting>
  <conditionalFormatting sqref="K5">
    <cfRule type="duplicateValues" dxfId="4204" priority="532"/>
  </conditionalFormatting>
  <conditionalFormatting sqref="K31">
    <cfRule type="duplicateValues" dxfId="4203" priority="16"/>
  </conditionalFormatting>
  <conditionalFormatting sqref="I10:L21">
    <cfRule type="cellIs" dxfId="4202" priority="4" operator="lessThan">
      <formula>5</formula>
    </cfRule>
    <cfRule type="cellIs" dxfId="4201" priority="5" operator="greaterThan">
      <formula>6</formula>
    </cfRule>
  </conditionalFormatting>
  <conditionalFormatting sqref="J10:J21">
    <cfRule type="containsText" dxfId="4200" priority="8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4199" priority="7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4198" priority="6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4197" priority="3" operator="containsText" text="c'[Fixtures All.xlsx]Women Filtered'!$F$2">
      <formula>NOT(ISERROR(SEARCH("c'[Fixtures All.xlsx]Women Filtered'!$F$2",J10)))</formula>
    </cfRule>
  </conditionalFormatting>
  <conditionalFormatting sqref="F1:F1048576">
    <cfRule type="containsText" dxfId="4196" priority="1" operator="containsText" text="G[Book1.xlsx]All!$F$1">
      <formula>NOT(ISERROR(SEARCH("G[Book1.xlsx]All!$F$1",F1)))</formula>
    </cfRule>
    <cfRule type="containsText" dxfId="4195" priority="2" operator="containsText" text="GREY$F:$F">
      <formula>NOT(ISERROR(SEARCH("GREY$F:$F",F1)))</formula>
    </cfRule>
  </conditionalFormatting>
  <hyperlinks>
    <hyperlink ref="K3" location="Contents!A1" display="Back to Contents" xr:uid="{244DF149-BB48-4A24-8E14-8AB8275136F7}"/>
    <hyperlink ref="K5:K6" location="'All Fixtures'!A1" display="See all NW Fixtures" xr:uid="{E81FF840-9EC1-49BA-BE3D-239D9458D335}"/>
  </hyperlinks>
  <pageMargins left="0.7" right="0.7" top="0.75" bottom="0.75" header="0.3" footer="0.3"/>
  <ignoredErrors>
    <ignoredError sqref="J10:J18 K10:K21 J20:J21" formula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B0E8-25CA-4022-B811-AE647FB7BAD8}">
  <dimension ref="A2:AQ174"/>
  <sheetViews>
    <sheetView workbookViewId="0"/>
  </sheetViews>
  <sheetFormatPr defaultRowHeight="14.4" x14ac:dyDescent="0.3"/>
  <cols>
    <col min="1" max="1" width="4.44140625" style="47" customWidth="1"/>
    <col min="2" max="2" width="30.77734375" style="3" customWidth="1"/>
    <col min="3" max="3" width="27.77734375" style="3" customWidth="1"/>
    <col min="4" max="4" width="43.33203125" style="3" customWidth="1"/>
    <col min="5" max="5" width="15.77734375" style="3" customWidth="1"/>
    <col min="6" max="6" width="30.88671875" style="3" customWidth="1"/>
    <col min="7" max="7" width="8.88671875" style="4"/>
    <col min="8" max="8" width="31.44140625" style="3" customWidth="1"/>
    <col min="9" max="9" width="8.88671875" style="4"/>
    <col min="10" max="10" width="7.33203125" style="3" customWidth="1"/>
    <col min="11" max="11" width="18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63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COUNTIF(F$22:I$125,"Brookfield 2 (W)")</f>
        <v>21</v>
      </c>
      <c r="B10" s="3" t="s">
        <v>366</v>
      </c>
      <c r="C10" s="53">
        <v>3210404</v>
      </c>
      <c r="D10" s="57">
        <f>COUNTIF(F$22:I$125,"3210404")</f>
        <v>21</v>
      </c>
      <c r="E10" s="59"/>
      <c r="F10" s="57">
        <f>COUNTIF(F$22:F$125,"Brookfield 2 (W)")</f>
        <v>11</v>
      </c>
      <c r="G10" s="15"/>
      <c r="H10" s="57">
        <f>COUNTIF(H$22:H$125,"Brookfield 2 (W)")</f>
        <v>10</v>
      </c>
      <c r="I10" s="57">
        <f>COUNTIF(F$22:F$75,"Brookfield 2 (W)")</f>
        <v>6</v>
      </c>
      <c r="J10" s="57">
        <f>COUNTIF(F$76:F$125,"Brookfield 2 (W)")</f>
        <v>5</v>
      </c>
      <c r="K10" s="57">
        <f>COUNTIF(H$22:H$75,"Brookfield 2 (W)")</f>
        <v>5</v>
      </c>
      <c r="L10" s="57">
        <f>COUNTIF(H$76:H$125,"Brookfield 2 (W)")</f>
        <v>5</v>
      </c>
    </row>
    <row r="11" spans="1:12" ht="15" customHeight="1" x14ac:dyDescent="0.3">
      <c r="A11" s="47">
        <f>COUNTIF(F$22:I$125,"Clitheroe Blackburn Northern 3 (W)")</f>
        <v>21</v>
      </c>
      <c r="B11" s="3" t="s">
        <v>329</v>
      </c>
      <c r="C11" s="53">
        <v>3208108</v>
      </c>
      <c r="D11" s="57">
        <f>COUNTIF(F$22:I$125,"3208108")</f>
        <v>21</v>
      </c>
      <c r="E11" s="59"/>
      <c r="F11" s="57">
        <f>COUNTIF(F$22:F$125,"Clitheroe Blackburn Northern 3 (W)")</f>
        <v>11</v>
      </c>
      <c r="G11" s="15"/>
      <c r="H11" s="57">
        <f>COUNTIF(H$22:H$125,"Clitheroe Blackburn Northern 3 (W)")</f>
        <v>10</v>
      </c>
      <c r="I11" s="57">
        <f>COUNTIF(F$22:F$75,"Clitheroe Blackburn Northern 3 (W)")</f>
        <v>6</v>
      </c>
      <c r="J11" s="57">
        <f>COUNTIF(F$76:F$125,"Clitheroe Blackburn Northern 3 (W)")</f>
        <v>5</v>
      </c>
      <c r="K11" s="57">
        <f>COUNTIF(H$22:H$75,"Clitheroe Blackburn Northern 3 (W)")</f>
        <v>5</v>
      </c>
      <c r="L11" s="57">
        <f>COUNTIF(H$76:H$125,"Clitheroe Blackburn Northern 3 (W)")</f>
        <v>5</v>
      </c>
    </row>
    <row r="12" spans="1:12" ht="15" customHeight="1" x14ac:dyDescent="0.3">
      <c r="A12" s="47">
        <f>COUNTIF(F$22:I$125,"Fylde 5 (W)")</f>
        <v>21</v>
      </c>
      <c r="B12" s="3" t="s">
        <v>331</v>
      </c>
      <c r="C12" s="53">
        <v>3205403</v>
      </c>
      <c r="D12" s="57">
        <f>COUNTIF(F$22:I$125,"3205403")</f>
        <v>21</v>
      </c>
      <c r="E12" s="59"/>
      <c r="F12" s="57">
        <f>COUNTIF(F$22:F$125,"Fylde 5 (W)")</f>
        <v>10</v>
      </c>
      <c r="G12" s="15"/>
      <c r="H12" s="57">
        <f>COUNTIF(H$22:H$125,"Fylde 5 (W)")</f>
        <v>11</v>
      </c>
      <c r="I12" s="57">
        <f>COUNTIF(F$22:F$75,"Fylde 5 (W)")</f>
        <v>5</v>
      </c>
      <c r="J12" s="57">
        <f>COUNTIF(F$76:F$125,"Fylde 5 (W)")</f>
        <v>5</v>
      </c>
      <c r="K12" s="57">
        <f>COUNTIF(H$22:H$75,"Fylde 5 (W)")</f>
        <v>6</v>
      </c>
      <c r="L12" s="57">
        <f>COUNTIF(H$76:H$125,"Fylde 5 (W)")</f>
        <v>5</v>
      </c>
    </row>
    <row r="13" spans="1:12" ht="15" customHeight="1" x14ac:dyDescent="0.3">
      <c r="A13" s="47">
        <f>COUNTIF(F$22:I$125,"Lancaster Nomads 2 (W)")</f>
        <v>21</v>
      </c>
      <c r="B13" s="3" t="s">
        <v>368</v>
      </c>
      <c r="C13" s="53">
        <v>3203009</v>
      </c>
      <c r="D13" s="57">
        <f>COUNTIF(F$22:I$125,"3203009")</f>
        <v>21</v>
      </c>
      <c r="E13" s="59"/>
      <c r="F13" s="57">
        <f>COUNTIF(F$22:F$125,"Lancaster Nomads 2 (W)")</f>
        <v>10</v>
      </c>
      <c r="G13" s="15"/>
      <c r="H13" s="57">
        <f>COUNTIF(H$22:H$125,"Lancaster Nomads 2 (W)")</f>
        <v>11</v>
      </c>
      <c r="I13" s="57">
        <f>COUNTIF(F$22:F$75,"Lancaster Nomads 2 (W)")</f>
        <v>6</v>
      </c>
      <c r="J13" s="57">
        <f>COUNTIF(F$76:F$125,"Lancaster Nomads 2 (W)")</f>
        <v>4</v>
      </c>
      <c r="K13" s="57">
        <f>COUNTIF(H$22:H$75,"Lancaster Nomads 2 (W)")</f>
        <v>5</v>
      </c>
      <c r="L13" s="57">
        <f>COUNTIF(H$76:H$125,"Lancaster Nomads 2 (W)")</f>
        <v>6</v>
      </c>
    </row>
    <row r="14" spans="1:12" ht="15" customHeight="1" x14ac:dyDescent="0.3">
      <c r="A14" s="47">
        <f>COUNTIF(F$22:I$125,"Leyland &amp; Chorley 2 (W)")</f>
        <v>21</v>
      </c>
      <c r="B14" s="3" t="s">
        <v>369</v>
      </c>
      <c r="C14" s="53">
        <v>3202708</v>
      </c>
      <c r="D14" s="57">
        <f>COUNTIF(F$22:I$125,"3202708")</f>
        <v>21</v>
      </c>
      <c r="E14" s="59"/>
      <c r="F14" s="57">
        <f>COUNTIF(F$22:F$125,"Leyland &amp; Chorley 2 (W)")</f>
        <v>10</v>
      </c>
      <c r="G14" s="15"/>
      <c r="H14" s="57">
        <f>COUNTIF(H$22:H$125,"Leyland &amp; Chorley 2 (W)")</f>
        <v>11</v>
      </c>
      <c r="I14" s="57">
        <f>COUNTIF(F$22:F$75,"Leyland &amp; Chorley 2 (W)")</f>
        <v>5</v>
      </c>
      <c r="J14" s="57">
        <f>COUNTIF(F$76:F$125,"Leyland &amp; Chorley 2 (W)")</f>
        <v>5</v>
      </c>
      <c r="K14" s="57">
        <f>COUNTIF(H$22:H$75,"Leyland &amp; Chorley 2 (W)")</f>
        <v>6</v>
      </c>
      <c r="L14" s="57">
        <f>COUNTIF(H$76:H$125,"Leyland &amp; Chorley 2 (W)")</f>
        <v>5</v>
      </c>
    </row>
    <row r="15" spans="1:12" x14ac:dyDescent="0.3">
      <c r="A15" s="47">
        <f>COUNTIF(F$22:I$125,"Lytham St Annes 2 (W)")</f>
        <v>21</v>
      </c>
      <c r="B15" s="3" t="s">
        <v>448</v>
      </c>
      <c r="C15" s="4">
        <v>3036808</v>
      </c>
      <c r="D15" s="57">
        <f>COUNTIF(F$22:I$125,"3036808")</f>
        <v>21</v>
      </c>
      <c r="E15" s="59"/>
      <c r="F15" s="57">
        <f>COUNTIF(F$22:F$125,"Lytham St Annes 2 (W)")</f>
        <v>11</v>
      </c>
      <c r="G15" s="15"/>
      <c r="H15" s="57">
        <f>COUNTIF(H$22:H$125,"Lytham St Annes 2 (W)")</f>
        <v>10</v>
      </c>
      <c r="I15" s="57">
        <f>COUNTIF(F$22:F$75,"Lytham St Annes 2 (W)")</f>
        <v>6</v>
      </c>
      <c r="J15" s="57">
        <f>COUNTIF(F$76:F$125,"Lytham St Annes 2 (W)")</f>
        <v>5</v>
      </c>
      <c r="K15" s="57">
        <f>COUNTIF(H$22:H$75,"Lytham St Annes 2 (W)")</f>
        <v>5</v>
      </c>
      <c r="L15" s="57">
        <f>COUNTIF(H$76:H$125,"Lytham St Annes 2 (W)")</f>
        <v>5</v>
      </c>
    </row>
    <row r="16" spans="1:12" x14ac:dyDescent="0.3">
      <c r="A16" s="47">
        <f>COUNTIF(F$22:I$125,"Preston 3 (W)")</f>
        <v>21</v>
      </c>
      <c r="B16" s="104" t="s">
        <v>333</v>
      </c>
      <c r="C16" s="74">
        <v>3198801</v>
      </c>
      <c r="D16" s="57">
        <f>COUNTIF(F$22:I$125,"3198801")</f>
        <v>21</v>
      </c>
      <c r="E16" s="59"/>
      <c r="F16" s="57">
        <f>COUNTIF(F$22:F$125,"Preston 3 (W)")</f>
        <v>10</v>
      </c>
      <c r="G16" s="15"/>
      <c r="H16" s="57">
        <f>COUNTIF(H$22:H$125,"Preston 3 (W)")</f>
        <v>11</v>
      </c>
      <c r="I16" s="57">
        <f>COUNTIF(F$22:F$75,"Preston 3 (W)")</f>
        <v>5</v>
      </c>
      <c r="J16" s="57">
        <f>COUNTIF(F$76:F$125,"Preston 3 (W)")</f>
        <v>5</v>
      </c>
      <c r="K16" s="57">
        <f>COUNTIF(H$22:H$75,"Preston 3 (W)")</f>
        <v>6</v>
      </c>
      <c r="L16" s="57">
        <f>COUNTIF(H$76:H$125,"Preston 3 (W)")</f>
        <v>5</v>
      </c>
    </row>
    <row r="17" spans="1:12" x14ac:dyDescent="0.3">
      <c r="A17" s="47">
        <f>COUNTIF(F$22:I$125,"Southport 2 (W)")</f>
        <v>21</v>
      </c>
      <c r="B17" s="104" t="s">
        <v>334</v>
      </c>
      <c r="C17" s="74">
        <v>3198009</v>
      </c>
      <c r="D17" s="57">
        <f>COUNTIF(F$22:I$125,"3198009")</f>
        <v>21</v>
      </c>
      <c r="E17" s="59"/>
      <c r="F17" s="57">
        <f>COUNTIF(F$22:F$125,"Southport 2 (W)")</f>
        <v>11</v>
      </c>
      <c r="G17" s="15"/>
      <c r="H17" s="57">
        <f>COUNTIF(H$22:H$125,"Southport 2 (W)")</f>
        <v>10</v>
      </c>
      <c r="I17" s="57">
        <f>COUNTIF(F$22:F$75,"Southport 2 (W)")</f>
        <v>5</v>
      </c>
      <c r="J17" s="57">
        <f>COUNTIF(F$76:F$125,"Southport 2 (W)")</f>
        <v>6</v>
      </c>
      <c r="K17" s="57">
        <f>COUNTIF(H$22:H$75,"Southport 2 (W)")</f>
        <v>6</v>
      </c>
      <c r="L17" s="57">
        <f>COUNTIF(H$76:H$125,"Southport 2 (W)")</f>
        <v>4</v>
      </c>
    </row>
    <row r="18" spans="1:12" s="3" customFormat="1" x14ac:dyDescent="0.3">
      <c r="A18" s="47"/>
      <c r="G18" s="4"/>
      <c r="I18" s="4"/>
      <c r="K18" s="51"/>
    </row>
    <row r="19" spans="1:12" s="3" customFormat="1" ht="21" x14ac:dyDescent="0.4">
      <c r="A19" s="47"/>
      <c r="B19" s="22" t="s">
        <v>93</v>
      </c>
      <c r="G19" s="4"/>
      <c r="I19" s="4"/>
      <c r="K19" s="51"/>
    </row>
    <row r="20" spans="1:12" s="3" customFormat="1" x14ac:dyDescent="0.3">
      <c r="A20" s="47"/>
      <c r="B20" s="40" t="s">
        <v>408</v>
      </c>
      <c r="C20" s="14" t="s">
        <v>409</v>
      </c>
      <c r="D20" s="14" t="s">
        <v>410</v>
      </c>
      <c r="E20" s="14" t="s">
        <v>411</v>
      </c>
      <c r="F20" s="14" t="s">
        <v>412</v>
      </c>
      <c r="G20" s="14" t="s">
        <v>413</v>
      </c>
      <c r="H20" s="13" t="s">
        <v>414</v>
      </c>
      <c r="I20" s="14" t="s">
        <v>415</v>
      </c>
      <c r="K20" s="51"/>
    </row>
    <row r="21" spans="1:12" s="3" customFormat="1" x14ac:dyDescent="0.3">
      <c r="A21" s="47"/>
      <c r="B21" s="40"/>
      <c r="C21" s="14"/>
      <c r="D21" s="14"/>
      <c r="E21" s="14"/>
      <c r="F21" s="14"/>
      <c r="G21" s="14"/>
      <c r="H21" s="13"/>
      <c r="I21" s="14"/>
      <c r="K21" s="51"/>
    </row>
    <row r="22" spans="1:12" s="3" customFormat="1" x14ac:dyDescent="0.3">
      <c r="A22" s="47"/>
      <c r="B22" s="44">
        <v>45913</v>
      </c>
      <c r="C22" s="3" t="s">
        <v>416</v>
      </c>
      <c r="D22" s="3" t="s">
        <v>63</v>
      </c>
      <c r="E22" s="101"/>
      <c r="F22" s="3" t="s">
        <v>329</v>
      </c>
      <c r="G22" s="74">
        <v>3208108</v>
      </c>
      <c r="H22" s="3" t="s">
        <v>368</v>
      </c>
      <c r="I22" s="74">
        <v>3203009</v>
      </c>
      <c r="K22" s="51"/>
    </row>
    <row r="23" spans="1:12" s="3" customFormat="1" x14ac:dyDescent="0.3">
      <c r="A23" s="47"/>
      <c r="B23" s="44">
        <v>45913</v>
      </c>
      <c r="C23" s="3" t="s">
        <v>416</v>
      </c>
      <c r="D23" t="s">
        <v>63</v>
      </c>
      <c r="E23" s="101"/>
      <c r="F23" s="3" t="s">
        <v>366</v>
      </c>
      <c r="G23" s="74">
        <v>3210404</v>
      </c>
      <c r="H23" s="3" t="s">
        <v>331</v>
      </c>
      <c r="I23" s="74">
        <v>3205403</v>
      </c>
      <c r="L23" s="4"/>
    </row>
    <row r="24" spans="1:12" s="3" customFormat="1" x14ac:dyDescent="0.3">
      <c r="A24" s="47"/>
      <c r="B24" s="44">
        <v>45913</v>
      </c>
      <c r="C24" s="3" t="s">
        <v>416</v>
      </c>
      <c r="D24" s="3" t="s">
        <v>63</v>
      </c>
      <c r="E24" s="101"/>
      <c r="F24" s="3" t="s">
        <v>369</v>
      </c>
      <c r="G24" s="74">
        <v>3202708</v>
      </c>
      <c r="H24" s="104" t="s">
        <v>333</v>
      </c>
      <c r="I24" s="74">
        <v>3198801</v>
      </c>
      <c r="L24" s="4"/>
    </row>
    <row r="25" spans="1:12" s="3" customFormat="1" x14ac:dyDescent="0.3">
      <c r="A25" s="47"/>
      <c r="B25" s="44">
        <v>45913</v>
      </c>
      <c r="C25" s="3" t="s">
        <v>416</v>
      </c>
      <c r="D25" s="3" t="s">
        <v>63</v>
      </c>
      <c r="E25" s="101"/>
      <c r="F25" s="3" t="s">
        <v>448</v>
      </c>
      <c r="G25" s="4">
        <v>3036808</v>
      </c>
      <c r="H25" s="104" t="s">
        <v>334</v>
      </c>
      <c r="I25" s="74">
        <v>3198009</v>
      </c>
      <c r="K25" s="51"/>
    </row>
    <row r="26" spans="1:12" s="3" customFormat="1" x14ac:dyDescent="0.3">
      <c r="A26" s="47"/>
      <c r="B26" s="44"/>
      <c r="E26" s="101"/>
      <c r="F26" s="4"/>
      <c r="G26" s="4"/>
      <c r="I26" s="4"/>
      <c r="K26" s="51"/>
    </row>
    <row r="27" spans="1:12" s="3" customFormat="1" x14ac:dyDescent="0.3">
      <c r="A27" s="47"/>
      <c r="B27" s="44">
        <v>45920</v>
      </c>
      <c r="C27" s="3" t="s">
        <v>416</v>
      </c>
      <c r="D27" s="3" t="s">
        <v>63</v>
      </c>
      <c r="E27" s="101"/>
      <c r="F27" s="3" t="s">
        <v>331</v>
      </c>
      <c r="G27" s="74">
        <v>3205403</v>
      </c>
      <c r="H27" s="3" t="s">
        <v>329</v>
      </c>
      <c r="I27" s="74">
        <v>3208108</v>
      </c>
      <c r="K27" s="51"/>
    </row>
    <row r="28" spans="1:12" s="3" customFormat="1" x14ac:dyDescent="0.3">
      <c r="A28" s="47"/>
      <c r="B28" s="44">
        <v>45920</v>
      </c>
      <c r="C28" s="3" t="s">
        <v>416</v>
      </c>
      <c r="D28" s="3" t="s">
        <v>63</v>
      </c>
      <c r="E28" s="101"/>
      <c r="F28" s="3" t="s">
        <v>368</v>
      </c>
      <c r="G28" s="74">
        <v>3203009</v>
      </c>
      <c r="H28" s="3" t="s">
        <v>448</v>
      </c>
      <c r="I28" s="4">
        <v>3036808</v>
      </c>
      <c r="K28" s="51"/>
    </row>
    <row r="29" spans="1:12" s="3" customFormat="1" x14ac:dyDescent="0.3">
      <c r="A29" s="47"/>
      <c r="B29" s="44">
        <v>45920</v>
      </c>
      <c r="C29" s="3" t="s">
        <v>416</v>
      </c>
      <c r="D29" s="3" t="s">
        <v>63</v>
      </c>
      <c r="E29" s="101"/>
      <c r="F29" s="104" t="s">
        <v>333</v>
      </c>
      <c r="G29" s="74">
        <v>3198801</v>
      </c>
      <c r="H29" s="3" t="s">
        <v>366</v>
      </c>
      <c r="I29" s="74">
        <v>3210404</v>
      </c>
      <c r="K29" s="51"/>
    </row>
    <row r="30" spans="1:12" s="3" customFormat="1" x14ac:dyDescent="0.3">
      <c r="A30" s="47"/>
      <c r="B30" s="44">
        <v>45920</v>
      </c>
      <c r="C30" s="3" t="s">
        <v>416</v>
      </c>
      <c r="D30" s="3" t="s">
        <v>63</v>
      </c>
      <c r="E30" s="101"/>
      <c r="F30" s="104" t="s">
        <v>334</v>
      </c>
      <c r="G30" s="74">
        <v>3198009</v>
      </c>
      <c r="H30" s="3" t="s">
        <v>369</v>
      </c>
      <c r="I30" s="74">
        <v>3202708</v>
      </c>
      <c r="K30" s="51"/>
    </row>
    <row r="31" spans="1:12" s="3" customFormat="1" x14ac:dyDescent="0.3">
      <c r="A31" s="47"/>
      <c r="B31" s="44"/>
      <c r="E31" s="101"/>
      <c r="F31" s="4"/>
      <c r="G31" s="4"/>
      <c r="I31" s="4"/>
      <c r="K31" s="51"/>
    </row>
    <row r="32" spans="1:12" s="3" customFormat="1" x14ac:dyDescent="0.3">
      <c r="A32" s="47"/>
      <c r="B32" s="44">
        <v>45927</v>
      </c>
      <c r="C32" s="3" t="s">
        <v>416</v>
      </c>
      <c r="D32" s="3" t="s">
        <v>63</v>
      </c>
      <c r="E32" s="101"/>
      <c r="F32" s="3" t="s">
        <v>329</v>
      </c>
      <c r="G32" s="74">
        <v>3208108</v>
      </c>
      <c r="H32" s="104" t="s">
        <v>333</v>
      </c>
      <c r="I32" s="74">
        <v>3198801</v>
      </c>
      <c r="K32" s="51"/>
    </row>
    <row r="33" spans="1:11" s="3" customFormat="1" x14ac:dyDescent="0.3">
      <c r="A33" s="47"/>
      <c r="B33" s="44">
        <v>45927</v>
      </c>
      <c r="C33" s="3" t="s">
        <v>416</v>
      </c>
      <c r="D33" s="3" t="s">
        <v>63</v>
      </c>
      <c r="E33" s="101"/>
      <c r="F33" s="3" t="s">
        <v>368</v>
      </c>
      <c r="G33" s="74">
        <v>3203009</v>
      </c>
      <c r="H33" s="3" t="s">
        <v>331</v>
      </c>
      <c r="I33" s="74">
        <v>3205403</v>
      </c>
      <c r="K33" s="51"/>
    </row>
    <row r="34" spans="1:11" s="3" customFormat="1" x14ac:dyDescent="0.3">
      <c r="A34" s="47"/>
      <c r="B34" s="44">
        <v>45927</v>
      </c>
      <c r="C34" s="3" t="s">
        <v>416</v>
      </c>
      <c r="D34" s="3" t="s">
        <v>63</v>
      </c>
      <c r="E34" s="101"/>
      <c r="F34" s="3" t="s">
        <v>366</v>
      </c>
      <c r="G34" s="74">
        <v>3210404</v>
      </c>
      <c r="H34" s="104" t="s">
        <v>334</v>
      </c>
      <c r="I34" s="74">
        <v>3198009</v>
      </c>
    </row>
    <row r="35" spans="1:11" s="3" customFormat="1" x14ac:dyDescent="0.3">
      <c r="A35" s="47"/>
      <c r="B35" s="44">
        <v>45927</v>
      </c>
      <c r="C35" s="3" t="s">
        <v>416</v>
      </c>
      <c r="D35" s="3" t="s">
        <v>63</v>
      </c>
      <c r="E35" s="101"/>
      <c r="F35" s="3" t="s">
        <v>448</v>
      </c>
      <c r="G35" s="4">
        <v>3036808</v>
      </c>
      <c r="H35" s="3" t="s">
        <v>369</v>
      </c>
      <c r="I35" s="74">
        <v>3202708</v>
      </c>
      <c r="K35" s="51"/>
    </row>
    <row r="36" spans="1:11" s="3" customFormat="1" x14ac:dyDescent="0.3">
      <c r="A36" s="47"/>
      <c r="B36" s="44"/>
      <c r="E36" s="101"/>
      <c r="F36" s="4"/>
      <c r="G36" s="4"/>
      <c r="I36" s="4"/>
      <c r="K36" s="51"/>
    </row>
    <row r="37" spans="1:11" s="3" customFormat="1" x14ac:dyDescent="0.3">
      <c r="A37" s="47"/>
      <c r="B37" s="44">
        <v>45934</v>
      </c>
      <c r="C37" s="3" t="s">
        <v>416</v>
      </c>
      <c r="D37" s="3" t="s">
        <v>63</v>
      </c>
      <c r="E37" s="101"/>
      <c r="F37" s="104" t="s">
        <v>334</v>
      </c>
      <c r="G37" s="74">
        <v>3198009</v>
      </c>
      <c r="H37" s="3" t="s">
        <v>329</v>
      </c>
      <c r="I37" s="74">
        <v>3208108</v>
      </c>
      <c r="K37" s="51"/>
    </row>
    <row r="38" spans="1:11" s="3" customFormat="1" x14ac:dyDescent="0.3">
      <c r="A38" s="47"/>
      <c r="B38" s="44">
        <v>45934</v>
      </c>
      <c r="C38" s="3" t="s">
        <v>416</v>
      </c>
      <c r="D38" s="3" t="s">
        <v>63</v>
      </c>
      <c r="E38" s="101"/>
      <c r="F38" s="104" t="s">
        <v>333</v>
      </c>
      <c r="G38" s="74">
        <v>3198801</v>
      </c>
      <c r="H38" s="3" t="s">
        <v>368</v>
      </c>
      <c r="I38" s="74">
        <v>3203009</v>
      </c>
      <c r="K38" s="51"/>
    </row>
    <row r="39" spans="1:11" s="3" customFormat="1" x14ac:dyDescent="0.3">
      <c r="A39" s="47"/>
      <c r="B39" s="44">
        <v>45934</v>
      </c>
      <c r="C39" s="3" t="s">
        <v>416</v>
      </c>
      <c r="D39" s="3" t="s">
        <v>63</v>
      </c>
      <c r="E39" s="101"/>
      <c r="F39" s="3" t="s">
        <v>331</v>
      </c>
      <c r="G39" s="74">
        <v>3205403</v>
      </c>
      <c r="H39" s="3" t="s">
        <v>448</v>
      </c>
      <c r="I39" s="4">
        <v>3036808</v>
      </c>
      <c r="K39" s="51"/>
    </row>
    <row r="40" spans="1:11" s="3" customFormat="1" x14ac:dyDescent="0.3">
      <c r="A40" s="47"/>
      <c r="B40" s="44">
        <v>45934</v>
      </c>
      <c r="C40" s="3" t="s">
        <v>416</v>
      </c>
      <c r="D40" s="3" t="s">
        <v>63</v>
      </c>
      <c r="E40" s="101"/>
      <c r="F40" s="3" t="s">
        <v>369</v>
      </c>
      <c r="G40" s="74">
        <v>3202708</v>
      </c>
      <c r="H40" s="3" t="s">
        <v>366</v>
      </c>
      <c r="I40" s="74">
        <v>3210404</v>
      </c>
      <c r="K40" s="51"/>
    </row>
    <row r="41" spans="1:11" s="3" customFormat="1" x14ac:dyDescent="0.3">
      <c r="A41" s="47"/>
      <c r="B41" s="4"/>
      <c r="E41" s="101"/>
      <c r="F41" s="4"/>
      <c r="G41" s="4"/>
      <c r="I41" s="4"/>
      <c r="K41" s="51"/>
    </row>
    <row r="42" spans="1:11" s="3" customFormat="1" x14ac:dyDescent="0.3">
      <c r="A42" s="47"/>
      <c r="B42" s="44">
        <v>45941</v>
      </c>
      <c r="C42" s="3" t="s">
        <v>416</v>
      </c>
      <c r="D42" s="3" t="s">
        <v>63</v>
      </c>
      <c r="E42" s="101"/>
      <c r="F42" s="3" t="s">
        <v>329</v>
      </c>
      <c r="G42" s="74">
        <v>3208108</v>
      </c>
      <c r="H42" s="3" t="s">
        <v>369</v>
      </c>
      <c r="I42" s="74">
        <v>3202708</v>
      </c>
      <c r="K42" s="51"/>
    </row>
    <row r="43" spans="1:11" s="3" customFormat="1" x14ac:dyDescent="0.3">
      <c r="A43" s="47"/>
      <c r="B43" s="44">
        <v>45941</v>
      </c>
      <c r="C43" s="3" t="s">
        <v>416</v>
      </c>
      <c r="D43" s="3" t="s">
        <v>63</v>
      </c>
      <c r="E43" s="101"/>
      <c r="F43" s="3" t="s">
        <v>368</v>
      </c>
      <c r="G43" s="74">
        <v>3203009</v>
      </c>
      <c r="H43" s="104" t="s">
        <v>334</v>
      </c>
      <c r="I43" s="74">
        <v>3198009</v>
      </c>
      <c r="K43" s="51"/>
    </row>
    <row r="44" spans="1:11" s="3" customFormat="1" x14ac:dyDescent="0.3">
      <c r="A44" s="47"/>
      <c r="B44" s="44">
        <v>45941</v>
      </c>
      <c r="C44" s="3" t="s">
        <v>416</v>
      </c>
      <c r="D44" s="3" t="s">
        <v>63</v>
      </c>
      <c r="E44" s="101"/>
      <c r="F44" s="3" t="s">
        <v>331</v>
      </c>
      <c r="G44" s="74">
        <v>3205403</v>
      </c>
      <c r="H44" s="104" t="s">
        <v>333</v>
      </c>
      <c r="I44" s="74">
        <v>3198801</v>
      </c>
      <c r="K44" s="51"/>
    </row>
    <row r="45" spans="1:11" s="3" customFormat="1" x14ac:dyDescent="0.3">
      <c r="A45" s="47"/>
      <c r="B45" s="44">
        <v>45941</v>
      </c>
      <c r="C45" s="3" t="s">
        <v>416</v>
      </c>
      <c r="D45" s="3" t="s">
        <v>63</v>
      </c>
      <c r="E45" s="101"/>
      <c r="F45" s="3" t="s">
        <v>448</v>
      </c>
      <c r="G45" s="4">
        <v>3036808</v>
      </c>
      <c r="H45" s="3" t="s">
        <v>366</v>
      </c>
      <c r="I45" s="74">
        <v>3210404</v>
      </c>
      <c r="K45" s="51"/>
    </row>
    <row r="46" spans="1:11" s="3" customFormat="1" x14ac:dyDescent="0.3">
      <c r="A46" s="47"/>
      <c r="B46" s="44"/>
      <c r="E46" s="101"/>
      <c r="F46" s="4"/>
      <c r="G46" s="4"/>
      <c r="I46" s="4"/>
      <c r="K46" s="51"/>
    </row>
    <row r="47" spans="1:11" s="3" customFormat="1" x14ac:dyDescent="0.3">
      <c r="A47" s="47"/>
      <c r="B47" s="44">
        <v>45948</v>
      </c>
      <c r="C47" s="3" t="s">
        <v>416</v>
      </c>
      <c r="D47" t="s">
        <v>63</v>
      </c>
      <c r="E47" s="101"/>
      <c r="F47" s="3" t="s">
        <v>366</v>
      </c>
      <c r="G47" s="74">
        <v>3210404</v>
      </c>
      <c r="H47" s="3" t="s">
        <v>329</v>
      </c>
      <c r="I47" s="74">
        <v>3208108</v>
      </c>
      <c r="K47" s="51"/>
    </row>
    <row r="48" spans="1:11" s="3" customFormat="1" x14ac:dyDescent="0.3">
      <c r="A48" s="47"/>
      <c r="B48" s="44">
        <v>45948</v>
      </c>
      <c r="C48" s="3" t="s">
        <v>416</v>
      </c>
      <c r="D48" s="3" t="s">
        <v>63</v>
      </c>
      <c r="E48" s="101"/>
      <c r="F48" s="3" t="s">
        <v>368</v>
      </c>
      <c r="G48" s="74">
        <v>3203009</v>
      </c>
      <c r="H48" s="3" t="s">
        <v>369</v>
      </c>
      <c r="I48" s="74">
        <v>3202708</v>
      </c>
      <c r="K48" s="51"/>
    </row>
    <row r="49" spans="1:11" s="3" customFormat="1" x14ac:dyDescent="0.3">
      <c r="A49" s="47"/>
      <c r="B49" s="44">
        <v>45948</v>
      </c>
      <c r="C49" s="3" t="s">
        <v>416</v>
      </c>
      <c r="D49" s="3" t="s">
        <v>63</v>
      </c>
      <c r="E49" s="101"/>
      <c r="F49" s="104" t="s">
        <v>334</v>
      </c>
      <c r="G49" s="74">
        <v>3198009</v>
      </c>
      <c r="H49" s="3" t="s">
        <v>331</v>
      </c>
      <c r="I49" s="74">
        <v>3205403</v>
      </c>
    </row>
    <row r="50" spans="1:11" s="3" customFormat="1" x14ac:dyDescent="0.3">
      <c r="A50" s="47"/>
      <c r="B50" s="44">
        <v>45948</v>
      </c>
      <c r="C50" s="3" t="s">
        <v>416</v>
      </c>
      <c r="D50" s="3" t="s">
        <v>63</v>
      </c>
      <c r="E50" s="101"/>
      <c r="F50" s="3" t="s">
        <v>448</v>
      </c>
      <c r="G50" s="4">
        <v>3036808</v>
      </c>
      <c r="H50" s="104" t="s">
        <v>333</v>
      </c>
      <c r="I50" s="74">
        <v>3198801</v>
      </c>
    </row>
    <row r="51" spans="1:11" s="3" customFormat="1" x14ac:dyDescent="0.3">
      <c r="A51" s="47"/>
      <c r="B51" s="44"/>
      <c r="E51" s="101"/>
      <c r="F51" s="4"/>
      <c r="G51" s="4"/>
      <c r="I51" s="4"/>
      <c r="K51" s="51"/>
    </row>
    <row r="52" spans="1:11" s="3" customFormat="1" x14ac:dyDescent="0.3">
      <c r="A52" s="47"/>
      <c r="B52" s="44">
        <v>45962</v>
      </c>
      <c r="C52" s="3" t="s">
        <v>416</v>
      </c>
      <c r="D52" s="3" t="s">
        <v>63</v>
      </c>
      <c r="E52" s="101"/>
      <c r="F52" s="3" t="s">
        <v>329</v>
      </c>
      <c r="G52" s="74">
        <v>3208108</v>
      </c>
      <c r="H52" s="3" t="s">
        <v>448</v>
      </c>
      <c r="I52" s="4">
        <v>3036808</v>
      </c>
      <c r="K52" s="51"/>
    </row>
    <row r="53" spans="1:11" s="3" customFormat="1" x14ac:dyDescent="0.3">
      <c r="A53" s="47"/>
      <c r="B53" s="44">
        <v>45962</v>
      </c>
      <c r="C53" s="3" t="s">
        <v>416</v>
      </c>
      <c r="D53" s="3" t="s">
        <v>63</v>
      </c>
      <c r="E53" s="101"/>
      <c r="F53" s="3" t="s">
        <v>366</v>
      </c>
      <c r="G53" s="74">
        <v>3210404</v>
      </c>
      <c r="H53" s="3" t="s">
        <v>368</v>
      </c>
      <c r="I53" s="74">
        <v>3203009</v>
      </c>
      <c r="K53" s="51"/>
    </row>
    <row r="54" spans="1:11" s="3" customFormat="1" x14ac:dyDescent="0.3">
      <c r="A54" s="47"/>
      <c r="B54" s="44">
        <v>45962</v>
      </c>
      <c r="C54" s="3" t="s">
        <v>416</v>
      </c>
      <c r="D54" s="3" t="s">
        <v>63</v>
      </c>
      <c r="E54" s="101"/>
      <c r="F54" s="3" t="s">
        <v>369</v>
      </c>
      <c r="G54" s="74">
        <v>3202708</v>
      </c>
      <c r="H54" s="3" t="s">
        <v>331</v>
      </c>
      <c r="I54" s="74">
        <v>3205403</v>
      </c>
    </row>
    <row r="55" spans="1:11" s="3" customFormat="1" x14ac:dyDescent="0.3">
      <c r="A55" s="47"/>
      <c r="B55" s="44">
        <v>45962</v>
      </c>
      <c r="C55" s="3" t="s">
        <v>416</v>
      </c>
      <c r="D55" s="3" t="s">
        <v>63</v>
      </c>
      <c r="E55" s="101"/>
      <c r="F55" s="104" t="s">
        <v>333</v>
      </c>
      <c r="G55" s="74">
        <v>3198801</v>
      </c>
      <c r="H55" s="104" t="s">
        <v>334</v>
      </c>
      <c r="I55" s="74">
        <v>3198009</v>
      </c>
      <c r="K55" s="51"/>
    </row>
    <row r="56" spans="1:11" s="3" customFormat="1" x14ac:dyDescent="0.3">
      <c r="A56" s="47"/>
      <c r="B56" s="44"/>
      <c r="E56" s="101"/>
      <c r="F56" s="4"/>
      <c r="G56" s="4"/>
      <c r="I56" s="4"/>
    </row>
    <row r="57" spans="1:11" s="3" customFormat="1" x14ac:dyDescent="0.3">
      <c r="A57" s="47"/>
      <c r="B57" s="44">
        <v>45969</v>
      </c>
      <c r="C57" s="3" t="s">
        <v>416</v>
      </c>
      <c r="D57" s="3" t="s">
        <v>63</v>
      </c>
      <c r="E57" s="101"/>
      <c r="F57" s="3" t="s">
        <v>368</v>
      </c>
      <c r="G57" s="74">
        <v>3203009</v>
      </c>
      <c r="H57" s="3" t="s">
        <v>329</v>
      </c>
      <c r="I57" s="74">
        <v>3208108</v>
      </c>
      <c r="K57" s="51"/>
    </row>
    <row r="58" spans="1:11" s="3" customFormat="1" x14ac:dyDescent="0.3">
      <c r="A58" s="47"/>
      <c r="B58" s="44">
        <v>45969</v>
      </c>
      <c r="C58" s="3" t="s">
        <v>416</v>
      </c>
      <c r="D58" s="3" t="s">
        <v>63</v>
      </c>
      <c r="E58" s="101"/>
      <c r="F58" s="3" t="s">
        <v>331</v>
      </c>
      <c r="G58" s="74">
        <v>3205403</v>
      </c>
      <c r="H58" s="3" t="s">
        <v>366</v>
      </c>
      <c r="I58" s="74">
        <v>3210404</v>
      </c>
      <c r="K58" s="51"/>
    </row>
    <row r="59" spans="1:11" s="3" customFormat="1" x14ac:dyDescent="0.3">
      <c r="A59" s="47"/>
      <c r="B59" s="44">
        <v>45969</v>
      </c>
      <c r="C59" s="3" t="s">
        <v>416</v>
      </c>
      <c r="D59" s="3" t="s">
        <v>63</v>
      </c>
      <c r="E59" s="101"/>
      <c r="F59" s="104" t="s">
        <v>333</v>
      </c>
      <c r="G59" s="74">
        <v>3198801</v>
      </c>
      <c r="H59" s="3" t="s">
        <v>369</v>
      </c>
      <c r="I59" s="74">
        <v>3202708</v>
      </c>
      <c r="K59" s="51"/>
    </row>
    <row r="60" spans="1:11" s="3" customFormat="1" x14ac:dyDescent="0.3">
      <c r="A60" s="47"/>
      <c r="B60" s="44">
        <v>45969</v>
      </c>
      <c r="C60" s="3" t="s">
        <v>416</v>
      </c>
      <c r="D60" s="3" t="s">
        <v>63</v>
      </c>
      <c r="E60" s="101"/>
      <c r="F60" s="104" t="s">
        <v>334</v>
      </c>
      <c r="G60" s="74">
        <v>3198009</v>
      </c>
      <c r="H60" s="3" t="s">
        <v>448</v>
      </c>
      <c r="I60" s="4">
        <v>3036808</v>
      </c>
      <c r="K60" s="51"/>
    </row>
    <row r="61" spans="1:11" s="3" customFormat="1" x14ac:dyDescent="0.3">
      <c r="A61" s="47"/>
      <c r="B61" s="44"/>
      <c r="E61" s="101"/>
      <c r="F61" s="4"/>
      <c r="G61" s="4"/>
      <c r="I61" s="4"/>
    </row>
    <row r="62" spans="1:11" s="3" customFormat="1" x14ac:dyDescent="0.3">
      <c r="A62" s="47"/>
      <c r="B62" s="44">
        <v>45976</v>
      </c>
      <c r="C62" s="3" t="s">
        <v>416</v>
      </c>
      <c r="D62" s="3" t="s">
        <v>63</v>
      </c>
      <c r="E62" s="101"/>
      <c r="F62" s="3" t="s">
        <v>329</v>
      </c>
      <c r="G62" s="74">
        <v>3208108</v>
      </c>
      <c r="H62" s="3" t="s">
        <v>331</v>
      </c>
      <c r="I62" s="74">
        <v>3205403</v>
      </c>
      <c r="K62" s="51"/>
    </row>
    <row r="63" spans="1:11" s="3" customFormat="1" x14ac:dyDescent="0.3">
      <c r="A63" s="47"/>
      <c r="B63" s="44">
        <v>45976</v>
      </c>
      <c r="C63" s="3" t="s">
        <v>416</v>
      </c>
      <c r="D63" s="3" t="s">
        <v>63</v>
      </c>
      <c r="E63" s="101"/>
      <c r="F63" s="3" t="s">
        <v>448</v>
      </c>
      <c r="G63" s="4">
        <v>3036808</v>
      </c>
      <c r="H63" s="3" t="s">
        <v>368</v>
      </c>
      <c r="I63" s="74">
        <v>3203009</v>
      </c>
      <c r="K63" s="51"/>
    </row>
    <row r="64" spans="1:11" s="3" customFormat="1" x14ac:dyDescent="0.3">
      <c r="A64" s="47"/>
      <c r="B64" s="44">
        <v>45976</v>
      </c>
      <c r="C64" s="3" t="s">
        <v>416</v>
      </c>
      <c r="D64" s="3" t="s">
        <v>63</v>
      </c>
      <c r="E64" s="101"/>
      <c r="F64" s="3" t="s">
        <v>366</v>
      </c>
      <c r="G64" s="74">
        <v>3210404</v>
      </c>
      <c r="H64" s="104" t="s">
        <v>333</v>
      </c>
      <c r="I64" s="74">
        <v>3198801</v>
      </c>
      <c r="K64" s="51"/>
    </row>
    <row r="65" spans="1:11" s="3" customFormat="1" x14ac:dyDescent="0.3">
      <c r="A65" s="47"/>
      <c r="B65" s="44">
        <v>45976</v>
      </c>
      <c r="C65" s="3" t="s">
        <v>416</v>
      </c>
      <c r="D65" s="3" t="s">
        <v>63</v>
      </c>
      <c r="E65" s="101"/>
      <c r="F65" s="3" t="s">
        <v>369</v>
      </c>
      <c r="G65" s="74">
        <v>3202708</v>
      </c>
      <c r="H65" s="104" t="s">
        <v>334</v>
      </c>
      <c r="I65" s="74">
        <v>3198009</v>
      </c>
    </row>
    <row r="66" spans="1:11" s="3" customFormat="1" x14ac:dyDescent="0.3">
      <c r="A66" s="47"/>
      <c r="B66" s="44"/>
      <c r="E66" s="101"/>
      <c r="F66" s="4"/>
      <c r="G66" s="4"/>
      <c r="I66" s="4"/>
    </row>
    <row r="67" spans="1:11" s="3" customFormat="1" x14ac:dyDescent="0.3">
      <c r="A67" s="47"/>
      <c r="B67" s="44">
        <v>45983</v>
      </c>
      <c r="C67" s="3" t="s">
        <v>416</v>
      </c>
      <c r="D67" s="3" t="s">
        <v>63</v>
      </c>
      <c r="E67" s="101"/>
      <c r="F67" s="104" t="s">
        <v>333</v>
      </c>
      <c r="G67" s="74">
        <v>3198801</v>
      </c>
      <c r="H67" s="3" t="s">
        <v>329</v>
      </c>
      <c r="I67" s="74">
        <v>3208108</v>
      </c>
      <c r="K67" s="51"/>
    </row>
    <row r="68" spans="1:11" s="3" customFormat="1" x14ac:dyDescent="0.3">
      <c r="A68" s="47"/>
      <c r="B68" s="44">
        <v>45983</v>
      </c>
      <c r="C68" s="3" t="s">
        <v>416</v>
      </c>
      <c r="D68" s="3" t="s">
        <v>63</v>
      </c>
      <c r="E68" s="101"/>
      <c r="F68" s="3" t="s">
        <v>331</v>
      </c>
      <c r="G68" s="74">
        <v>3205403</v>
      </c>
      <c r="H68" s="3" t="s">
        <v>368</v>
      </c>
      <c r="I68" s="74">
        <v>3203009</v>
      </c>
      <c r="K68" s="51"/>
    </row>
    <row r="69" spans="1:11" s="3" customFormat="1" x14ac:dyDescent="0.3">
      <c r="A69" s="47"/>
      <c r="B69" s="44">
        <v>45983</v>
      </c>
      <c r="C69" s="3" t="s">
        <v>416</v>
      </c>
      <c r="D69" s="3" t="s">
        <v>63</v>
      </c>
      <c r="E69" s="101"/>
      <c r="F69" s="104" t="s">
        <v>334</v>
      </c>
      <c r="G69" s="74">
        <v>3198009</v>
      </c>
      <c r="H69" s="3" t="s">
        <v>366</v>
      </c>
      <c r="I69" s="74">
        <v>3210404</v>
      </c>
      <c r="K69" s="51"/>
    </row>
    <row r="70" spans="1:11" s="3" customFormat="1" x14ac:dyDescent="0.3">
      <c r="A70" s="47"/>
      <c r="B70" s="44">
        <v>45983</v>
      </c>
      <c r="C70" s="3" t="s">
        <v>416</v>
      </c>
      <c r="D70" s="3" t="s">
        <v>63</v>
      </c>
      <c r="E70" s="101"/>
      <c r="F70" s="3" t="s">
        <v>369</v>
      </c>
      <c r="G70" s="74">
        <v>3202708</v>
      </c>
      <c r="H70" s="3" t="s">
        <v>448</v>
      </c>
      <c r="I70" s="4">
        <v>3036808</v>
      </c>
      <c r="K70" s="51"/>
    </row>
    <row r="71" spans="1:11" s="3" customFormat="1" x14ac:dyDescent="0.3">
      <c r="A71" s="47"/>
      <c r="B71" s="44"/>
      <c r="E71" s="101"/>
      <c r="F71" s="4"/>
      <c r="G71" s="4"/>
      <c r="I71" s="4"/>
      <c r="K71" s="51"/>
    </row>
    <row r="72" spans="1:11" s="3" customFormat="1" x14ac:dyDescent="0.3">
      <c r="A72" s="47"/>
      <c r="B72" s="44">
        <v>45990</v>
      </c>
      <c r="C72" s="3" t="s">
        <v>416</v>
      </c>
      <c r="D72" s="3" t="s">
        <v>63</v>
      </c>
      <c r="E72" s="101"/>
      <c r="F72" s="3" t="s">
        <v>329</v>
      </c>
      <c r="G72" s="74">
        <v>3208108</v>
      </c>
      <c r="H72" s="104" t="s">
        <v>334</v>
      </c>
      <c r="I72" s="74">
        <v>3198009</v>
      </c>
      <c r="K72" s="51"/>
    </row>
    <row r="73" spans="1:11" s="3" customFormat="1" x14ac:dyDescent="0.3">
      <c r="A73" s="47"/>
      <c r="B73" s="44">
        <v>45990</v>
      </c>
      <c r="C73" s="3" t="s">
        <v>416</v>
      </c>
      <c r="D73" s="3" t="s">
        <v>63</v>
      </c>
      <c r="E73" s="101"/>
      <c r="F73" s="3" t="s">
        <v>368</v>
      </c>
      <c r="G73" s="74">
        <v>3203009</v>
      </c>
      <c r="H73" s="104" t="s">
        <v>333</v>
      </c>
      <c r="I73" s="74">
        <v>3198801</v>
      </c>
    </row>
    <row r="74" spans="1:11" s="3" customFormat="1" x14ac:dyDescent="0.3">
      <c r="A74" s="47"/>
      <c r="B74" s="44">
        <v>45990</v>
      </c>
      <c r="C74" s="3" t="s">
        <v>416</v>
      </c>
      <c r="D74" s="3" t="s">
        <v>63</v>
      </c>
      <c r="E74" s="101"/>
      <c r="F74" s="3" t="s">
        <v>448</v>
      </c>
      <c r="G74" s="4">
        <v>3036808</v>
      </c>
      <c r="H74" s="3" t="s">
        <v>331</v>
      </c>
      <c r="I74" s="74">
        <v>3205403</v>
      </c>
    </row>
    <row r="75" spans="1:11" s="3" customFormat="1" x14ac:dyDescent="0.3">
      <c r="A75" s="47"/>
      <c r="B75" s="44">
        <v>45990</v>
      </c>
      <c r="C75" s="3" t="s">
        <v>416</v>
      </c>
      <c r="D75" t="s">
        <v>63</v>
      </c>
      <c r="E75" s="101"/>
      <c r="F75" s="3" t="s">
        <v>366</v>
      </c>
      <c r="G75" s="74">
        <v>3210404</v>
      </c>
      <c r="H75" s="3" t="s">
        <v>369</v>
      </c>
      <c r="I75" s="74">
        <v>3202708</v>
      </c>
      <c r="K75" s="51"/>
    </row>
    <row r="76" spans="1:11" s="3" customFormat="1" x14ac:dyDescent="0.3">
      <c r="A76" s="47"/>
      <c r="B76" s="4"/>
      <c r="E76" s="101"/>
      <c r="F76" s="4"/>
      <c r="G76" s="4"/>
      <c r="I76" s="4"/>
      <c r="K76" s="51"/>
    </row>
    <row r="77" spans="1:11" s="3" customFormat="1" x14ac:dyDescent="0.3">
      <c r="A77" s="47"/>
      <c r="B77" s="44">
        <v>46032</v>
      </c>
      <c r="C77" s="3" t="s">
        <v>416</v>
      </c>
      <c r="D77" s="3" t="s">
        <v>63</v>
      </c>
      <c r="E77" s="101"/>
      <c r="F77" s="3" t="s">
        <v>369</v>
      </c>
      <c r="G77" s="74">
        <v>3202708</v>
      </c>
      <c r="H77" s="3" t="s">
        <v>329</v>
      </c>
      <c r="I77" s="74">
        <v>3208108</v>
      </c>
      <c r="K77" s="51"/>
    </row>
    <row r="78" spans="1:11" s="3" customFormat="1" x14ac:dyDescent="0.3">
      <c r="A78" s="47"/>
      <c r="B78" s="44">
        <v>46032</v>
      </c>
      <c r="C78" s="3" t="s">
        <v>416</v>
      </c>
      <c r="D78" s="3" t="s">
        <v>63</v>
      </c>
      <c r="E78" s="101"/>
      <c r="F78" s="104" t="s">
        <v>334</v>
      </c>
      <c r="G78" s="74">
        <v>3198009</v>
      </c>
      <c r="H78" s="3" t="s">
        <v>368</v>
      </c>
      <c r="I78" s="74">
        <v>3203009</v>
      </c>
      <c r="K78" s="51"/>
    </row>
    <row r="79" spans="1:11" s="3" customFormat="1" x14ac:dyDescent="0.3">
      <c r="A79" s="47"/>
      <c r="B79" s="44">
        <v>46032</v>
      </c>
      <c r="C79" s="3" t="s">
        <v>416</v>
      </c>
      <c r="D79" s="3" t="s">
        <v>63</v>
      </c>
      <c r="E79" s="101"/>
      <c r="F79" s="104" t="s">
        <v>333</v>
      </c>
      <c r="G79" s="74">
        <v>3198801</v>
      </c>
      <c r="H79" s="3" t="s">
        <v>331</v>
      </c>
      <c r="I79" s="74">
        <v>3205403</v>
      </c>
      <c r="K79" s="51"/>
    </row>
    <row r="80" spans="1:11" s="3" customFormat="1" x14ac:dyDescent="0.3">
      <c r="A80" s="47"/>
      <c r="B80" s="44">
        <v>46032</v>
      </c>
      <c r="C80" s="3" t="s">
        <v>416</v>
      </c>
      <c r="D80" t="s">
        <v>63</v>
      </c>
      <c r="E80" s="101"/>
      <c r="F80" s="3" t="s">
        <v>366</v>
      </c>
      <c r="G80" s="74">
        <v>3210404</v>
      </c>
      <c r="H80" s="3" t="s">
        <v>448</v>
      </c>
      <c r="I80" s="4">
        <v>3036808</v>
      </c>
      <c r="K80" s="51"/>
    </row>
    <row r="81" spans="1:11" s="3" customFormat="1" x14ac:dyDescent="0.3">
      <c r="A81" s="47"/>
      <c r="B81" s="44"/>
      <c r="E81" s="101"/>
      <c r="F81" s="4"/>
      <c r="G81" s="4"/>
      <c r="I81" s="4"/>
      <c r="K81" s="51"/>
    </row>
    <row r="82" spans="1:11" s="3" customFormat="1" x14ac:dyDescent="0.3">
      <c r="A82" s="47"/>
      <c r="B82" s="44">
        <v>46039</v>
      </c>
      <c r="C82" s="3" t="s">
        <v>416</v>
      </c>
      <c r="D82" s="3" t="s">
        <v>63</v>
      </c>
      <c r="E82" s="101"/>
      <c r="F82" s="3" t="s">
        <v>329</v>
      </c>
      <c r="G82" s="74">
        <v>3208108</v>
      </c>
      <c r="H82" s="3" t="s">
        <v>366</v>
      </c>
      <c r="I82" s="74">
        <v>3210404</v>
      </c>
      <c r="K82" s="51"/>
    </row>
    <row r="83" spans="1:11" s="3" customFormat="1" x14ac:dyDescent="0.3">
      <c r="A83" s="47"/>
      <c r="B83" s="44">
        <v>46039</v>
      </c>
      <c r="C83" s="3" t="s">
        <v>416</v>
      </c>
      <c r="D83" s="3" t="s">
        <v>63</v>
      </c>
      <c r="E83" s="101"/>
      <c r="F83" s="3" t="s">
        <v>368</v>
      </c>
      <c r="G83" s="74">
        <v>3203009</v>
      </c>
      <c r="H83" s="3" t="s">
        <v>369</v>
      </c>
      <c r="I83" s="74">
        <v>3202708</v>
      </c>
      <c r="K83" s="51"/>
    </row>
    <row r="84" spans="1:11" s="3" customFormat="1" x14ac:dyDescent="0.3">
      <c r="A84" s="47"/>
      <c r="B84" s="44">
        <v>46039</v>
      </c>
      <c r="C84" s="3" t="s">
        <v>416</v>
      </c>
      <c r="D84" s="3" t="s">
        <v>63</v>
      </c>
      <c r="E84" s="101"/>
      <c r="F84" s="3" t="s">
        <v>331</v>
      </c>
      <c r="G84" s="74">
        <v>3205403</v>
      </c>
      <c r="H84" s="104" t="s">
        <v>334</v>
      </c>
      <c r="I84" s="74">
        <v>3198009</v>
      </c>
      <c r="K84" s="51"/>
    </row>
    <row r="85" spans="1:11" s="3" customFormat="1" x14ac:dyDescent="0.3">
      <c r="A85" s="47"/>
      <c r="B85" s="44">
        <v>46039</v>
      </c>
      <c r="C85" s="3" t="s">
        <v>416</v>
      </c>
      <c r="D85" s="3" t="s">
        <v>63</v>
      </c>
      <c r="E85" s="101"/>
      <c r="F85" s="3" t="s">
        <v>448</v>
      </c>
      <c r="G85" s="4">
        <v>3036808</v>
      </c>
      <c r="H85" s="104" t="s">
        <v>333</v>
      </c>
      <c r="I85" s="74">
        <v>3198801</v>
      </c>
      <c r="K85" s="51"/>
    </row>
    <row r="86" spans="1:11" s="3" customFormat="1" x14ac:dyDescent="0.3">
      <c r="A86" s="47"/>
      <c r="B86" s="44"/>
      <c r="E86" s="101"/>
      <c r="F86" s="4"/>
      <c r="G86" s="4"/>
      <c r="I86" s="4"/>
      <c r="K86" s="51"/>
    </row>
    <row r="87" spans="1:11" s="3" customFormat="1" x14ac:dyDescent="0.3">
      <c r="A87" s="47"/>
      <c r="B87" s="44">
        <v>46046</v>
      </c>
      <c r="C87" s="3" t="s">
        <v>416</v>
      </c>
      <c r="D87" s="3" t="s">
        <v>63</v>
      </c>
      <c r="E87" s="101"/>
      <c r="F87" s="3" t="s">
        <v>448</v>
      </c>
      <c r="G87" s="4">
        <v>3036808</v>
      </c>
      <c r="H87" s="3" t="s">
        <v>329</v>
      </c>
      <c r="I87" s="74">
        <v>3208108</v>
      </c>
      <c r="K87" s="51"/>
    </row>
    <row r="88" spans="1:11" s="3" customFormat="1" x14ac:dyDescent="0.3">
      <c r="A88" s="47"/>
      <c r="B88" s="44">
        <v>46046</v>
      </c>
      <c r="C88" s="3" t="s">
        <v>416</v>
      </c>
      <c r="D88" t="s">
        <v>63</v>
      </c>
      <c r="E88" s="101"/>
      <c r="F88" s="3" t="s">
        <v>366</v>
      </c>
      <c r="G88" s="74">
        <v>3210404</v>
      </c>
      <c r="H88" s="3" t="s">
        <v>368</v>
      </c>
      <c r="I88" s="74">
        <v>3203009</v>
      </c>
      <c r="K88" s="51"/>
    </row>
    <row r="89" spans="1:11" s="3" customFormat="1" x14ac:dyDescent="0.3">
      <c r="A89" s="47"/>
      <c r="B89" s="44">
        <v>46046</v>
      </c>
      <c r="C89" s="3" t="s">
        <v>416</v>
      </c>
      <c r="D89" s="3" t="s">
        <v>63</v>
      </c>
      <c r="E89" s="101"/>
      <c r="F89" s="3" t="s">
        <v>369</v>
      </c>
      <c r="G89" s="74">
        <v>3202708</v>
      </c>
      <c r="H89" s="3" t="s">
        <v>331</v>
      </c>
      <c r="I89" s="74">
        <v>3205403</v>
      </c>
      <c r="K89" s="51"/>
    </row>
    <row r="90" spans="1:11" s="3" customFormat="1" x14ac:dyDescent="0.3">
      <c r="A90" s="47"/>
      <c r="B90" s="44">
        <v>46046</v>
      </c>
      <c r="C90" s="3" t="s">
        <v>416</v>
      </c>
      <c r="D90" s="3" t="s">
        <v>63</v>
      </c>
      <c r="E90" s="101"/>
      <c r="F90" s="104" t="s">
        <v>334</v>
      </c>
      <c r="G90" s="74">
        <v>3198009</v>
      </c>
      <c r="H90" s="104" t="s">
        <v>333</v>
      </c>
      <c r="I90" s="74">
        <v>3198801</v>
      </c>
      <c r="K90" s="51"/>
    </row>
    <row r="91" spans="1:11" s="3" customFormat="1" x14ac:dyDescent="0.3">
      <c r="A91" s="47"/>
      <c r="B91" s="44"/>
      <c r="E91" s="101"/>
      <c r="F91" s="4"/>
      <c r="G91" s="4"/>
      <c r="I91" s="4"/>
      <c r="K91" s="51"/>
    </row>
    <row r="92" spans="1:11" s="3" customFormat="1" x14ac:dyDescent="0.3">
      <c r="A92" s="47"/>
      <c r="B92" s="44">
        <v>46053</v>
      </c>
      <c r="C92" s="3" t="s">
        <v>416</v>
      </c>
      <c r="D92" s="3" t="s">
        <v>63</v>
      </c>
      <c r="E92" s="101"/>
      <c r="F92" s="3" t="s">
        <v>329</v>
      </c>
      <c r="G92" s="74">
        <v>3208108</v>
      </c>
      <c r="H92" s="3" t="s">
        <v>368</v>
      </c>
      <c r="I92" s="74">
        <v>3203009</v>
      </c>
      <c r="K92" s="51"/>
    </row>
    <row r="93" spans="1:11" s="3" customFormat="1" x14ac:dyDescent="0.3">
      <c r="A93" s="47"/>
      <c r="B93" s="44">
        <v>46053</v>
      </c>
      <c r="C93" s="3" t="s">
        <v>416</v>
      </c>
      <c r="D93" s="3" t="s">
        <v>63</v>
      </c>
      <c r="E93" s="101"/>
      <c r="F93" s="3" t="s">
        <v>366</v>
      </c>
      <c r="G93" s="74">
        <v>3210404</v>
      </c>
      <c r="H93" s="3" t="s">
        <v>331</v>
      </c>
      <c r="I93" s="74">
        <v>3205403</v>
      </c>
      <c r="K93" s="51"/>
    </row>
    <row r="94" spans="1:11" s="3" customFormat="1" x14ac:dyDescent="0.3">
      <c r="A94" s="47"/>
      <c r="B94" s="44">
        <v>46053</v>
      </c>
      <c r="C94" s="3" t="s">
        <v>416</v>
      </c>
      <c r="D94" s="3" t="s">
        <v>63</v>
      </c>
      <c r="E94" s="101"/>
      <c r="F94" s="104" t="s">
        <v>333</v>
      </c>
      <c r="G94" s="74">
        <v>3198801</v>
      </c>
      <c r="H94" s="3" t="s">
        <v>369</v>
      </c>
      <c r="I94" s="74">
        <v>3202708</v>
      </c>
      <c r="K94" s="51"/>
    </row>
    <row r="95" spans="1:11" s="3" customFormat="1" x14ac:dyDescent="0.3">
      <c r="A95" s="47"/>
      <c r="B95" s="44">
        <v>46053</v>
      </c>
      <c r="C95" s="3" t="s">
        <v>416</v>
      </c>
      <c r="D95" s="3" t="s">
        <v>63</v>
      </c>
      <c r="E95" s="101"/>
      <c r="F95" s="104" t="s">
        <v>334</v>
      </c>
      <c r="G95" s="74">
        <v>3198009</v>
      </c>
      <c r="H95" s="3" t="s">
        <v>448</v>
      </c>
      <c r="I95" s="4">
        <v>3036808</v>
      </c>
      <c r="K95" s="51"/>
    </row>
    <row r="96" spans="1:11" s="3" customFormat="1" x14ac:dyDescent="0.3">
      <c r="A96" s="47"/>
      <c r="B96" s="44"/>
      <c r="E96" s="101"/>
      <c r="F96" s="4"/>
      <c r="G96" s="4"/>
      <c r="I96" s="4"/>
      <c r="K96" s="51"/>
    </row>
    <row r="97" spans="1:11" s="3" customFormat="1" x14ac:dyDescent="0.3">
      <c r="A97" s="47"/>
      <c r="B97" s="44">
        <v>46060</v>
      </c>
      <c r="C97" s="3" t="s">
        <v>416</v>
      </c>
      <c r="D97" s="3" t="s">
        <v>63</v>
      </c>
      <c r="E97" s="101"/>
      <c r="F97" s="3" t="s">
        <v>331</v>
      </c>
      <c r="G97" s="74">
        <v>3205403</v>
      </c>
      <c r="H97" s="3" t="s">
        <v>329</v>
      </c>
      <c r="I97" s="74">
        <v>3208108</v>
      </c>
      <c r="K97" s="51"/>
    </row>
    <row r="98" spans="1:11" s="3" customFormat="1" x14ac:dyDescent="0.3">
      <c r="A98" s="47"/>
      <c r="B98" s="44">
        <v>46060</v>
      </c>
      <c r="C98" s="3" t="s">
        <v>416</v>
      </c>
      <c r="D98" s="3" t="s">
        <v>63</v>
      </c>
      <c r="E98" s="101"/>
      <c r="F98" s="3" t="s">
        <v>368</v>
      </c>
      <c r="G98" s="74">
        <v>3203009</v>
      </c>
      <c r="H98" s="3" t="s">
        <v>448</v>
      </c>
      <c r="I98" s="4">
        <v>3036808</v>
      </c>
      <c r="K98" s="51"/>
    </row>
    <row r="99" spans="1:11" s="3" customFormat="1" x14ac:dyDescent="0.3">
      <c r="A99" s="47"/>
      <c r="B99" s="44">
        <v>46060</v>
      </c>
      <c r="C99" s="3" t="s">
        <v>416</v>
      </c>
      <c r="D99" s="3" t="s">
        <v>63</v>
      </c>
      <c r="E99" s="101"/>
      <c r="F99" s="104" t="s">
        <v>333</v>
      </c>
      <c r="G99" s="74">
        <v>3198801</v>
      </c>
      <c r="H99" s="3" t="s">
        <v>366</v>
      </c>
      <c r="I99" s="74">
        <v>3210404</v>
      </c>
      <c r="K99" s="51"/>
    </row>
    <row r="100" spans="1:11" s="3" customFormat="1" x14ac:dyDescent="0.3">
      <c r="A100" s="47"/>
      <c r="B100" s="44">
        <v>46060</v>
      </c>
      <c r="C100" s="3" t="s">
        <v>416</v>
      </c>
      <c r="D100" s="3" t="s">
        <v>63</v>
      </c>
      <c r="E100" s="101"/>
      <c r="F100" s="3" t="s">
        <v>369</v>
      </c>
      <c r="G100" s="74">
        <v>3202708</v>
      </c>
      <c r="H100" s="104" t="s">
        <v>334</v>
      </c>
      <c r="I100" s="74">
        <v>3198009</v>
      </c>
      <c r="K100" s="51"/>
    </row>
    <row r="101" spans="1:11" s="3" customFormat="1" x14ac:dyDescent="0.3">
      <c r="A101" s="47"/>
      <c r="B101" s="44"/>
      <c r="E101" s="101"/>
      <c r="F101" s="4"/>
      <c r="G101" s="4"/>
      <c r="I101" s="4"/>
      <c r="K101" s="51"/>
    </row>
    <row r="102" spans="1:11" s="3" customFormat="1" x14ac:dyDescent="0.3">
      <c r="A102" s="47"/>
      <c r="B102" s="44">
        <v>46081</v>
      </c>
      <c r="C102" s="3" t="s">
        <v>416</v>
      </c>
      <c r="D102" s="3" t="s">
        <v>63</v>
      </c>
      <c r="E102" s="101"/>
      <c r="F102" s="3" t="s">
        <v>329</v>
      </c>
      <c r="G102" s="74">
        <v>3208108</v>
      </c>
      <c r="H102" s="104" t="s">
        <v>333</v>
      </c>
      <c r="I102" s="74">
        <v>3198801</v>
      </c>
      <c r="K102" s="51"/>
    </row>
    <row r="103" spans="1:11" s="3" customFormat="1" x14ac:dyDescent="0.3">
      <c r="A103" s="47"/>
      <c r="B103" s="44">
        <v>46081</v>
      </c>
      <c r="C103" s="3" t="s">
        <v>416</v>
      </c>
      <c r="D103" s="3" t="s">
        <v>63</v>
      </c>
      <c r="E103" s="101"/>
      <c r="F103" s="3" t="s">
        <v>331</v>
      </c>
      <c r="G103" s="74">
        <v>3205403</v>
      </c>
      <c r="H103" s="3" t="s">
        <v>368</v>
      </c>
      <c r="I103" s="74">
        <v>3203009</v>
      </c>
      <c r="K103" s="51"/>
    </row>
    <row r="104" spans="1:11" s="3" customFormat="1" x14ac:dyDescent="0.3">
      <c r="A104" s="47"/>
      <c r="B104" s="44">
        <v>46081</v>
      </c>
      <c r="C104" s="3" t="s">
        <v>416</v>
      </c>
      <c r="D104" s="3" t="s">
        <v>63</v>
      </c>
      <c r="E104" s="101"/>
      <c r="F104" s="3" t="s">
        <v>366</v>
      </c>
      <c r="G104" s="74">
        <v>3210404</v>
      </c>
      <c r="H104" s="104" t="s">
        <v>334</v>
      </c>
      <c r="I104" s="74">
        <v>3198009</v>
      </c>
      <c r="K104" s="51"/>
    </row>
    <row r="105" spans="1:11" s="3" customFormat="1" x14ac:dyDescent="0.3">
      <c r="A105" s="47"/>
      <c r="B105" s="44">
        <v>46081</v>
      </c>
      <c r="C105" s="3" t="s">
        <v>416</v>
      </c>
      <c r="D105" s="3" t="s">
        <v>63</v>
      </c>
      <c r="E105" s="101"/>
      <c r="F105" s="3" t="s">
        <v>448</v>
      </c>
      <c r="G105" s="4">
        <v>3036808</v>
      </c>
      <c r="H105" s="3" t="s">
        <v>369</v>
      </c>
      <c r="I105" s="74">
        <v>3202708</v>
      </c>
      <c r="K105" s="51"/>
    </row>
    <row r="106" spans="1:11" s="3" customFormat="1" x14ac:dyDescent="0.3">
      <c r="A106" s="47"/>
      <c r="B106" s="4"/>
      <c r="E106" s="101"/>
      <c r="F106" s="4"/>
      <c r="G106" s="4"/>
      <c r="I106" s="4"/>
      <c r="K106" s="51"/>
    </row>
    <row r="107" spans="1:11" s="3" customFormat="1" x14ac:dyDescent="0.3">
      <c r="A107" s="47"/>
      <c r="B107" s="44">
        <v>46088</v>
      </c>
      <c r="C107" s="3" t="s">
        <v>416</v>
      </c>
      <c r="D107" s="3" t="s">
        <v>63</v>
      </c>
      <c r="E107" s="101"/>
      <c r="F107" s="104" t="s">
        <v>334</v>
      </c>
      <c r="G107" s="74">
        <v>3198009</v>
      </c>
      <c r="H107" s="3" t="s">
        <v>329</v>
      </c>
      <c r="I107" s="74">
        <v>3208108</v>
      </c>
      <c r="K107" s="51"/>
    </row>
    <row r="108" spans="1:11" s="3" customFormat="1" x14ac:dyDescent="0.3">
      <c r="A108" s="47"/>
      <c r="B108" s="44">
        <v>46088</v>
      </c>
      <c r="C108" s="3" t="s">
        <v>416</v>
      </c>
      <c r="D108" s="3" t="s">
        <v>63</v>
      </c>
      <c r="E108" s="101"/>
      <c r="F108" s="104" t="s">
        <v>333</v>
      </c>
      <c r="G108" s="74">
        <v>3198801</v>
      </c>
      <c r="H108" s="3" t="s">
        <v>368</v>
      </c>
      <c r="I108" s="74">
        <v>3203009</v>
      </c>
      <c r="K108" s="51"/>
    </row>
    <row r="109" spans="1:11" s="3" customFormat="1" x14ac:dyDescent="0.3">
      <c r="A109" s="47"/>
      <c r="B109" s="44">
        <v>46088</v>
      </c>
      <c r="C109" s="3" t="s">
        <v>416</v>
      </c>
      <c r="D109" s="3" t="s">
        <v>63</v>
      </c>
      <c r="E109" s="101"/>
      <c r="F109" s="3" t="s">
        <v>448</v>
      </c>
      <c r="G109" s="4">
        <v>3036808</v>
      </c>
      <c r="H109" s="3" t="s">
        <v>331</v>
      </c>
      <c r="I109" s="74">
        <v>3205403</v>
      </c>
      <c r="K109" s="51"/>
    </row>
    <row r="110" spans="1:11" s="3" customFormat="1" x14ac:dyDescent="0.3">
      <c r="A110" s="47"/>
      <c r="B110" s="44">
        <v>46088</v>
      </c>
      <c r="C110" s="3" t="s">
        <v>416</v>
      </c>
      <c r="D110" s="3" t="s">
        <v>63</v>
      </c>
      <c r="E110" s="101"/>
      <c r="F110" s="3" t="s">
        <v>369</v>
      </c>
      <c r="G110" s="74">
        <v>3202708</v>
      </c>
      <c r="H110" s="3" t="s">
        <v>366</v>
      </c>
      <c r="I110" s="74">
        <v>3210404</v>
      </c>
      <c r="K110" s="51"/>
    </row>
    <row r="111" spans="1:11" s="3" customFormat="1" x14ac:dyDescent="0.3">
      <c r="A111" s="47"/>
      <c r="B111" s="44"/>
      <c r="E111" s="101"/>
      <c r="F111" s="4"/>
      <c r="G111" s="4"/>
      <c r="I111" s="4"/>
      <c r="K111" s="51"/>
    </row>
    <row r="112" spans="1:11" s="3" customFormat="1" x14ac:dyDescent="0.3">
      <c r="A112" s="47"/>
      <c r="B112" s="44">
        <v>46095</v>
      </c>
      <c r="C112" s="3" t="s">
        <v>416</v>
      </c>
      <c r="D112" s="3" t="s">
        <v>63</v>
      </c>
      <c r="E112" s="101"/>
      <c r="F112" s="3" t="s">
        <v>329</v>
      </c>
      <c r="G112" s="74">
        <v>3208108</v>
      </c>
      <c r="H112" s="3" t="s">
        <v>369</v>
      </c>
      <c r="I112" s="74">
        <v>3202708</v>
      </c>
      <c r="K112" s="51"/>
    </row>
    <row r="113" spans="1:11" s="3" customFormat="1" x14ac:dyDescent="0.3">
      <c r="A113" s="47"/>
      <c r="B113" s="44">
        <v>46095</v>
      </c>
      <c r="C113" s="3" t="s">
        <v>416</v>
      </c>
      <c r="D113" s="3" t="s">
        <v>63</v>
      </c>
      <c r="E113" s="101"/>
      <c r="F113" s="3" t="s">
        <v>368</v>
      </c>
      <c r="G113" s="74">
        <v>3203009</v>
      </c>
      <c r="H113" s="104" t="s">
        <v>334</v>
      </c>
      <c r="I113" s="74">
        <v>3198009</v>
      </c>
      <c r="K113" s="51"/>
    </row>
    <row r="114" spans="1:11" s="3" customFormat="1" x14ac:dyDescent="0.3">
      <c r="A114" s="47"/>
      <c r="B114" s="44">
        <v>46095</v>
      </c>
      <c r="C114" s="3" t="s">
        <v>416</v>
      </c>
      <c r="D114" s="3" t="s">
        <v>63</v>
      </c>
      <c r="E114" s="101"/>
      <c r="F114" s="3" t="s">
        <v>331</v>
      </c>
      <c r="G114" s="74">
        <v>3205403</v>
      </c>
      <c r="H114" s="104" t="s">
        <v>333</v>
      </c>
      <c r="I114" s="74">
        <v>3198801</v>
      </c>
      <c r="K114" s="51"/>
    </row>
    <row r="115" spans="1:11" s="3" customFormat="1" x14ac:dyDescent="0.3">
      <c r="A115" s="47"/>
      <c r="B115" s="44">
        <v>46095</v>
      </c>
      <c r="C115" s="3" t="s">
        <v>416</v>
      </c>
      <c r="D115" s="3" t="s">
        <v>63</v>
      </c>
      <c r="E115" s="101"/>
      <c r="F115" s="3" t="s">
        <v>366</v>
      </c>
      <c r="G115" s="74">
        <v>3210404</v>
      </c>
      <c r="H115" s="3" t="s">
        <v>448</v>
      </c>
      <c r="I115" s="4">
        <v>3036808</v>
      </c>
      <c r="K115" s="51"/>
    </row>
    <row r="116" spans="1:11" s="3" customFormat="1" x14ac:dyDescent="0.3">
      <c r="A116" s="47"/>
      <c r="B116" s="44"/>
      <c r="E116" s="101"/>
      <c r="F116" s="4"/>
      <c r="G116" s="4"/>
      <c r="I116" s="4"/>
      <c r="K116" s="51"/>
    </row>
    <row r="117" spans="1:11" s="3" customFormat="1" x14ac:dyDescent="0.3">
      <c r="A117" s="47"/>
      <c r="B117" s="44">
        <v>46102</v>
      </c>
      <c r="C117" s="3" t="s">
        <v>416</v>
      </c>
      <c r="D117" s="3" t="s">
        <v>63</v>
      </c>
      <c r="E117" s="101"/>
      <c r="F117" s="3" t="s">
        <v>329</v>
      </c>
      <c r="G117" s="74">
        <v>3208108</v>
      </c>
      <c r="H117" s="3" t="s">
        <v>366</v>
      </c>
      <c r="I117" s="74">
        <v>3210404</v>
      </c>
      <c r="K117" s="51"/>
    </row>
    <row r="118" spans="1:11" s="3" customFormat="1" x14ac:dyDescent="0.3">
      <c r="A118" s="47"/>
      <c r="B118" s="44">
        <v>46102</v>
      </c>
      <c r="C118" s="3" t="s">
        <v>416</v>
      </c>
      <c r="D118" s="3" t="s">
        <v>63</v>
      </c>
      <c r="E118" s="101"/>
      <c r="F118" s="3" t="s">
        <v>369</v>
      </c>
      <c r="G118" s="74">
        <v>3202708</v>
      </c>
      <c r="H118" s="3" t="s">
        <v>368</v>
      </c>
      <c r="I118" s="74">
        <v>3203009</v>
      </c>
      <c r="K118" s="51"/>
    </row>
    <row r="119" spans="1:11" s="3" customFormat="1" x14ac:dyDescent="0.3">
      <c r="A119" s="47"/>
      <c r="B119" s="44">
        <v>46102</v>
      </c>
      <c r="C119" s="3" t="s">
        <v>416</v>
      </c>
      <c r="D119" s="3" t="s">
        <v>63</v>
      </c>
      <c r="E119" s="101"/>
      <c r="F119" s="104" t="s">
        <v>334</v>
      </c>
      <c r="G119" s="74">
        <v>3198009</v>
      </c>
      <c r="H119" s="3" t="s">
        <v>331</v>
      </c>
      <c r="I119" s="74">
        <v>3205403</v>
      </c>
      <c r="K119" s="51"/>
    </row>
    <row r="120" spans="1:11" s="3" customFormat="1" x14ac:dyDescent="0.3">
      <c r="A120" s="47"/>
      <c r="B120" s="44">
        <v>46102</v>
      </c>
      <c r="C120" s="3" t="s">
        <v>416</v>
      </c>
      <c r="D120" s="3" t="s">
        <v>63</v>
      </c>
      <c r="E120" s="101"/>
      <c r="F120" s="104" t="s">
        <v>333</v>
      </c>
      <c r="G120" s="74">
        <v>3198801</v>
      </c>
      <c r="H120" s="3" t="s">
        <v>448</v>
      </c>
      <c r="I120" s="4">
        <v>3036808</v>
      </c>
      <c r="K120" s="51"/>
    </row>
    <row r="121" spans="1:11" s="3" customFormat="1" x14ac:dyDescent="0.3">
      <c r="A121" s="47"/>
      <c r="B121" s="44"/>
      <c r="E121" s="101"/>
      <c r="F121" s="4"/>
      <c r="G121" s="4"/>
      <c r="H121" s="4"/>
      <c r="I121" s="4"/>
      <c r="K121" s="51"/>
    </row>
    <row r="122" spans="1:11" s="3" customFormat="1" x14ac:dyDescent="0.3">
      <c r="A122" s="47"/>
      <c r="B122" s="44">
        <v>46109</v>
      </c>
      <c r="C122" s="3" t="s">
        <v>416</v>
      </c>
      <c r="D122" s="3" t="s">
        <v>63</v>
      </c>
      <c r="E122" s="101"/>
      <c r="F122" s="3" t="s">
        <v>448</v>
      </c>
      <c r="G122" s="4">
        <v>3036808</v>
      </c>
      <c r="H122" s="3" t="s">
        <v>329</v>
      </c>
      <c r="I122" s="74">
        <v>3208108</v>
      </c>
      <c r="K122" s="51"/>
    </row>
    <row r="123" spans="1:11" s="3" customFormat="1" x14ac:dyDescent="0.3">
      <c r="A123" s="47"/>
      <c r="B123" s="44">
        <v>46109</v>
      </c>
      <c r="C123" s="3" t="s">
        <v>416</v>
      </c>
      <c r="D123" s="3" t="s">
        <v>63</v>
      </c>
      <c r="E123" s="101"/>
      <c r="F123" s="3" t="s">
        <v>368</v>
      </c>
      <c r="G123" s="74">
        <v>3203009</v>
      </c>
      <c r="H123" s="3" t="s">
        <v>366</v>
      </c>
      <c r="I123" s="74">
        <v>3210404</v>
      </c>
      <c r="K123" s="51"/>
    </row>
    <row r="124" spans="1:11" s="3" customFormat="1" x14ac:dyDescent="0.3">
      <c r="A124" s="47"/>
      <c r="B124" s="44">
        <v>46109</v>
      </c>
      <c r="C124" s="3" t="s">
        <v>416</v>
      </c>
      <c r="D124" s="3" t="s">
        <v>63</v>
      </c>
      <c r="E124" s="101"/>
      <c r="F124" s="3" t="s">
        <v>331</v>
      </c>
      <c r="G124" s="74">
        <v>3205403</v>
      </c>
      <c r="H124" s="3" t="s">
        <v>369</v>
      </c>
      <c r="I124" s="74">
        <v>3202708</v>
      </c>
      <c r="K124" s="51"/>
    </row>
    <row r="125" spans="1:11" s="3" customFormat="1" x14ac:dyDescent="0.3">
      <c r="A125" s="47"/>
      <c r="B125" s="44">
        <v>46109</v>
      </c>
      <c r="C125" s="3" t="s">
        <v>416</v>
      </c>
      <c r="D125" s="3" t="s">
        <v>63</v>
      </c>
      <c r="E125" s="101"/>
      <c r="F125" s="104" t="s">
        <v>334</v>
      </c>
      <c r="G125" s="74">
        <v>3198009</v>
      </c>
      <c r="H125" s="104" t="s">
        <v>333</v>
      </c>
      <c r="I125" s="74">
        <v>3198801</v>
      </c>
      <c r="K125" s="51"/>
    </row>
    <row r="126" spans="1:11" s="3" customFormat="1" x14ac:dyDescent="0.3">
      <c r="A126" s="47"/>
      <c r="B126" s="44"/>
      <c r="E126" s="42"/>
      <c r="G126" s="4"/>
      <c r="I126" s="4"/>
      <c r="K126" s="51"/>
    </row>
    <row r="127" spans="1:11" s="3" customFormat="1" x14ac:dyDescent="0.3">
      <c r="A127" s="47"/>
      <c r="B127" s="44"/>
      <c r="E127" s="42"/>
      <c r="G127" s="4"/>
      <c r="I127" s="4"/>
      <c r="K127" s="51"/>
    </row>
    <row r="128" spans="1:11" s="3" customFormat="1" x14ac:dyDescent="0.3">
      <c r="A128" s="47"/>
      <c r="B128" s="44"/>
      <c r="E128" s="42"/>
      <c r="G128" s="4"/>
      <c r="I128" s="4"/>
      <c r="K128" s="51"/>
    </row>
    <row r="129" spans="1:11" s="3" customFormat="1" x14ac:dyDescent="0.3">
      <c r="A129" s="47"/>
      <c r="B129" s="44"/>
      <c r="G129" s="4"/>
      <c r="I129" s="4"/>
      <c r="K129" s="51"/>
    </row>
    <row r="130" spans="1:11" s="3" customFormat="1" x14ac:dyDescent="0.3">
      <c r="A130" s="47"/>
      <c r="B130" s="44"/>
      <c r="G130" s="4"/>
      <c r="I130" s="4"/>
      <c r="K130" s="51"/>
    </row>
    <row r="131" spans="1:11" s="3" customFormat="1" x14ac:dyDescent="0.3">
      <c r="A131" s="47"/>
      <c r="B131" s="44"/>
      <c r="G131" s="4"/>
      <c r="I131" s="4"/>
      <c r="K131" s="51"/>
    </row>
    <row r="132" spans="1:11" s="3" customFormat="1" x14ac:dyDescent="0.3">
      <c r="A132" s="47"/>
      <c r="B132" s="44"/>
      <c r="G132" s="4"/>
      <c r="I132" s="4"/>
      <c r="K132" s="51"/>
    </row>
    <row r="133" spans="1:11" s="3" customFormat="1" x14ac:dyDescent="0.3">
      <c r="A133" s="47"/>
      <c r="B133" s="4"/>
      <c r="G133" s="4"/>
      <c r="I133" s="4"/>
      <c r="K133" s="51"/>
    </row>
    <row r="134" spans="1:11" s="3" customFormat="1" x14ac:dyDescent="0.3">
      <c r="A134" s="47"/>
      <c r="B134" s="44"/>
      <c r="G134" s="4"/>
      <c r="I134" s="4"/>
      <c r="K134" s="51"/>
    </row>
    <row r="135" spans="1:11" s="3" customFormat="1" x14ac:dyDescent="0.3">
      <c r="A135" s="47"/>
      <c r="B135" s="44"/>
      <c r="G135" s="4"/>
      <c r="I135" s="4"/>
      <c r="K135" s="51"/>
    </row>
    <row r="136" spans="1:11" x14ac:dyDescent="0.3">
      <c r="B136" s="44"/>
    </row>
    <row r="137" spans="1:11" x14ac:dyDescent="0.3">
      <c r="B137" s="44"/>
    </row>
    <row r="138" spans="1:11" x14ac:dyDescent="0.3">
      <c r="B138" s="44"/>
    </row>
    <row r="139" spans="1:11" x14ac:dyDescent="0.3">
      <c r="B139" s="44"/>
    </row>
    <row r="140" spans="1:11" x14ac:dyDescent="0.3">
      <c r="B140" s="4"/>
    </row>
    <row r="141" spans="1:11" x14ac:dyDescent="0.3">
      <c r="B141" s="44"/>
    </row>
    <row r="142" spans="1:11" x14ac:dyDescent="0.3">
      <c r="B142" s="44"/>
    </row>
    <row r="143" spans="1:11" x14ac:dyDescent="0.3">
      <c r="B143" s="44"/>
    </row>
    <row r="144" spans="1:11" x14ac:dyDescent="0.3">
      <c r="B144" s="44"/>
    </row>
    <row r="145" spans="2:2" x14ac:dyDescent="0.3">
      <c r="B145" s="44"/>
    </row>
    <row r="146" spans="2:2" x14ac:dyDescent="0.3">
      <c r="B146" s="44"/>
    </row>
    <row r="147" spans="2:2" x14ac:dyDescent="0.3">
      <c r="B147" s="4"/>
    </row>
    <row r="148" spans="2:2" x14ac:dyDescent="0.3">
      <c r="B148" s="44"/>
    </row>
    <row r="149" spans="2:2" x14ac:dyDescent="0.3">
      <c r="B149" s="44"/>
    </row>
    <row r="150" spans="2:2" x14ac:dyDescent="0.3">
      <c r="B150" s="44"/>
    </row>
    <row r="151" spans="2:2" x14ac:dyDescent="0.3">
      <c r="B151" s="44"/>
    </row>
    <row r="152" spans="2:2" x14ac:dyDescent="0.3">
      <c r="B152" s="44"/>
    </row>
    <row r="153" spans="2:2" x14ac:dyDescent="0.3">
      <c r="B153" s="44"/>
    </row>
    <row r="154" spans="2:2" x14ac:dyDescent="0.3">
      <c r="B154" s="4"/>
    </row>
    <row r="155" spans="2:2" x14ac:dyDescent="0.3">
      <c r="B155" s="44"/>
    </row>
    <row r="156" spans="2:2" x14ac:dyDescent="0.3">
      <c r="B156" s="44"/>
    </row>
    <row r="157" spans="2:2" x14ac:dyDescent="0.3">
      <c r="B157" s="44"/>
    </row>
    <row r="158" spans="2:2" x14ac:dyDescent="0.3">
      <c r="B158" s="44"/>
    </row>
    <row r="159" spans="2:2" x14ac:dyDescent="0.3">
      <c r="B159" s="44"/>
    </row>
    <row r="160" spans="2:2" x14ac:dyDescent="0.3">
      <c r="B160" s="44"/>
    </row>
    <row r="161" spans="2:2" x14ac:dyDescent="0.3">
      <c r="B161" s="4"/>
    </row>
    <row r="162" spans="2:2" x14ac:dyDescent="0.3">
      <c r="B162" s="44"/>
    </row>
    <row r="163" spans="2:2" x14ac:dyDescent="0.3">
      <c r="B163" s="44"/>
    </row>
    <row r="164" spans="2:2" x14ac:dyDescent="0.3">
      <c r="B164" s="44"/>
    </row>
    <row r="165" spans="2:2" x14ac:dyDescent="0.3">
      <c r="B165" s="44"/>
    </row>
    <row r="166" spans="2:2" x14ac:dyDescent="0.3">
      <c r="B166" s="44"/>
    </row>
    <row r="167" spans="2:2" x14ac:dyDescent="0.3">
      <c r="B167" s="44"/>
    </row>
    <row r="168" spans="2:2" x14ac:dyDescent="0.3">
      <c r="B168" s="4"/>
    </row>
    <row r="169" spans="2:2" x14ac:dyDescent="0.3">
      <c r="B169" s="44"/>
    </row>
    <row r="170" spans="2:2" x14ac:dyDescent="0.3">
      <c r="B170" s="44"/>
    </row>
    <row r="171" spans="2:2" x14ac:dyDescent="0.3">
      <c r="B171" s="44"/>
    </row>
    <row r="172" spans="2:2" x14ac:dyDescent="0.3">
      <c r="B172" s="44"/>
    </row>
    <row r="173" spans="2:2" x14ac:dyDescent="0.3">
      <c r="B173" s="44"/>
    </row>
    <row r="174" spans="2:2" x14ac:dyDescent="0.3">
      <c r="B174" s="44"/>
    </row>
  </sheetData>
  <mergeCells count="1">
    <mergeCell ref="K5:K6"/>
  </mergeCells>
  <conditionalFormatting sqref="I10:L17">
    <cfRule type="cellIs" dxfId="2497" priority="22" operator="lessThan">
      <formula>4</formula>
    </cfRule>
    <cfRule type="cellIs" dxfId="2496" priority="23" operator="greaterThan">
      <formula>6</formula>
    </cfRule>
  </conditionalFormatting>
  <conditionalFormatting sqref="J54">
    <cfRule type="containsText" dxfId="2495" priority="67" operator="containsText" text="Lancaster 3 (W)">
      <formula>NOT(ISERROR(SEARCH("Lancaster 3 (W)",J54)))</formula>
    </cfRule>
  </conditionalFormatting>
  <conditionalFormatting sqref="J61">
    <cfRule type="containsText" dxfId="2494" priority="64" operator="containsText" text="Lancaster 3 (W)">
      <formula>NOT(ISERROR(SEARCH("Lancaster 3 (W)",J61)))</formula>
    </cfRule>
  </conditionalFormatting>
  <conditionalFormatting sqref="J65">
    <cfRule type="containsText" dxfId="2493" priority="59" operator="containsText" text="Lancaster 3 (W)">
      <formula>NOT(ISERROR(SEARCH("Lancaster 3 (W)",J65)))</formula>
    </cfRule>
  </conditionalFormatting>
  <conditionalFormatting sqref="J73">
    <cfRule type="containsText" dxfId="2492" priority="55" operator="containsText" text="Lancaster 3 (W)">
      <formula>NOT(ISERROR(SEARCH("Lancaster 3 (W)",J73)))</formula>
    </cfRule>
  </conditionalFormatting>
  <conditionalFormatting sqref="J34:K34">
    <cfRule type="containsText" dxfId="2491" priority="48" operator="containsText" text="Nomads">
      <formula>NOT(ISERROR(SEARCH("Nomads",J34)))</formula>
    </cfRule>
  </conditionalFormatting>
  <conditionalFormatting sqref="J49:K49">
    <cfRule type="containsText" dxfId="2490" priority="46" operator="containsText" text="Nomads">
      <formula>NOT(ISERROR(SEARCH("Nomads",J49)))</formula>
    </cfRule>
  </conditionalFormatting>
  <conditionalFormatting sqref="J56:K56">
    <cfRule type="containsText" dxfId="2489" priority="45" operator="containsText" text="Nomads">
      <formula>NOT(ISERROR(SEARCH("Nomads",J56)))</formula>
    </cfRule>
  </conditionalFormatting>
  <conditionalFormatting sqref="J66:K66">
    <cfRule type="containsText" dxfId="2488" priority="43" operator="containsText" text="Nomads">
      <formula>NOT(ISERROR(SEARCH("Nomads",J66)))</formula>
    </cfRule>
  </conditionalFormatting>
  <conditionalFormatting sqref="J74:K74">
    <cfRule type="containsText" dxfId="2487" priority="40" operator="containsText" text="Nomads">
      <formula>NOT(ISERROR(SEARCH("Nomads",J74)))</formula>
    </cfRule>
  </conditionalFormatting>
  <conditionalFormatting sqref="K3:K4 K7:K8">
    <cfRule type="duplicateValues" dxfId="2486" priority="3329"/>
  </conditionalFormatting>
  <conditionalFormatting sqref="K5">
    <cfRule type="duplicateValues" dxfId="2485" priority="326"/>
  </conditionalFormatting>
  <conditionalFormatting sqref="K9">
    <cfRule type="containsText" dxfId="2484" priority="24" operator="containsText" text="c'[Fixtures All.xlsx]Women Filtered'!$F$2">
      <formula>NOT(ISERROR(SEARCH("c'[Fixtures All.xlsx]Women Filtered'!$F$2",K9)))</formula>
    </cfRule>
  </conditionalFormatting>
  <conditionalFormatting sqref="I74">
    <cfRule type="containsText" dxfId="2483" priority="9" operator="containsText" text="BYE">
      <formula>NOT(ISERROR(SEARCH("BYE",I74)))</formula>
    </cfRule>
  </conditionalFormatting>
  <conditionalFormatting sqref="I1:I1048576">
    <cfRule type="containsText" dxfId="2482" priority="2" operator="containsText" text="SOUT">
      <formula>NOT(ISERROR(SEARCH("SOUT",I1)))</formula>
    </cfRule>
    <cfRule type="containsText" dxfId="2481" priority="3" operator="containsText" text="Fylde 5 (W)">
      <formula>NOT(ISERROR(SEARCH("Fylde 5 (W)",I1)))</formula>
    </cfRule>
  </conditionalFormatting>
  <hyperlinks>
    <hyperlink ref="K3" location="Contents!A1" display="Back to Contents" xr:uid="{D772EFB5-7487-4413-BCE7-2B3641862BFF}"/>
    <hyperlink ref="K5:K6" location="'All Fixtures'!A1" display="See all NW Fixtures" xr:uid="{A50A77DC-BB25-4823-89F2-95AE81AB01F9}"/>
  </hyperlinks>
  <pageMargins left="0.7" right="0.7" top="0.75" bottom="0.75" header="0.3" footer="0.3"/>
  <ignoredErrors>
    <ignoredError sqref="J11:J12 K11:K17 J14:J17" formula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AD7DE-EF8A-4233-A634-B5519BE012BB}">
  <dimension ref="A2:AQ178"/>
  <sheetViews>
    <sheetView workbookViewId="0"/>
  </sheetViews>
  <sheetFormatPr defaultRowHeight="14.4" x14ac:dyDescent="0.3"/>
  <cols>
    <col min="1" max="1" width="5.21875" style="47" customWidth="1"/>
    <col min="2" max="2" width="27.6640625" style="3" customWidth="1"/>
    <col min="3" max="3" width="28.109375" style="3" customWidth="1"/>
    <col min="4" max="4" width="33.77734375" style="3" customWidth="1"/>
    <col min="5" max="5" width="17.5546875" style="3" customWidth="1"/>
    <col min="6" max="6" width="26.77734375" style="3" customWidth="1"/>
    <col min="7" max="7" width="17.21875" style="4" customWidth="1"/>
    <col min="8" max="8" width="27.44140625" style="4" customWidth="1"/>
    <col min="9" max="9" width="8.88671875" style="4"/>
    <col min="10" max="10" width="8.88671875" style="3"/>
    <col min="11" max="11" width="17.77734375" style="51" customWidth="1"/>
    <col min="12" max="43" width="8.88671875" style="3"/>
  </cols>
  <sheetData>
    <row r="2" spans="1:43" ht="15" thickBot="1" x14ac:dyDescent="0.35"/>
    <row r="3" spans="1:43" ht="37.200000000000003" thickBot="1" x14ac:dyDescent="0.75">
      <c r="E3" s="16" t="s">
        <v>64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43" s="76" customFormat="1" ht="15" customHeight="1" x14ac:dyDescent="0.3">
      <c r="A10" s="47">
        <f>COUNTIF(F$26:H$178,"Alderley Edge 3 (W)")</f>
        <v>22</v>
      </c>
      <c r="B10" s="15" t="s">
        <v>310</v>
      </c>
      <c r="C10" s="74">
        <v>3212402</v>
      </c>
      <c r="D10" s="57">
        <f>COUNTIF(F$26:I$178,"3212402")</f>
        <v>22</v>
      </c>
      <c r="E10" s="47"/>
      <c r="F10" s="57">
        <f>COUNTIF(F$26:F$178,"Alderley Edge 3 (W)")</f>
        <v>11</v>
      </c>
      <c r="G10" s="57"/>
      <c r="H10" s="57">
        <f>COUNTIF(H$26:H$178,"Alderley Edge 3 (W)")</f>
        <v>11</v>
      </c>
      <c r="I10" s="57">
        <f>COUNTIF(F$26:F$101,"Alderley Edge 3 (W)")</f>
        <v>6</v>
      </c>
      <c r="J10" s="57">
        <f>COUNTIF(F$102:F$178,"Alderley Edge 3 (W)")</f>
        <v>5</v>
      </c>
      <c r="K10" s="57">
        <f>COUNTIF(H$26:H$101,"Alderley Edge 3 (W)")</f>
        <v>5</v>
      </c>
      <c r="L10" s="57">
        <f>COUNTIF(H$102:H$178,"Alderley Edge 3 (W)")</f>
        <v>6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s="76" customFormat="1" ht="15" customHeight="1" x14ac:dyDescent="0.3">
      <c r="A11" s="47">
        <f>COUNTIF(F$26:H$178,"Cheshire Blues 1 (W)")</f>
        <v>22</v>
      </c>
      <c r="B11" s="4" t="s">
        <v>337</v>
      </c>
      <c r="C11" s="74">
        <v>3209305</v>
      </c>
      <c r="D11" s="57">
        <f>COUNTIF(F$26:I$178,"3209305")</f>
        <v>22</v>
      </c>
      <c r="E11" s="47"/>
      <c r="F11" s="57">
        <f>COUNTIF(F$26:F$178,"Cheshire Blues 1 (W)")</f>
        <v>11</v>
      </c>
      <c r="G11" s="57"/>
      <c r="H11" s="57">
        <f>COUNTIF(H$26:H$178,"Cheshire Blues 1 (W)")</f>
        <v>11</v>
      </c>
      <c r="I11" s="57">
        <f>COUNTIF(F$26:F$101,"Cheshire Blues 1 (W)")</f>
        <v>6</v>
      </c>
      <c r="J11" s="57">
        <f>COUNTIF(F$102:F$178,"Cheshire Blues 1 (W)")</f>
        <v>5</v>
      </c>
      <c r="K11" s="57">
        <f>COUNTIF(H$26:H$101,"Cheshire Blues 1 (W)")</f>
        <v>5</v>
      </c>
      <c r="L11" s="57">
        <f>COUNTIF(H$102:H$178,"Cheshire Blues 1 (W)")</f>
        <v>6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s="76" customFormat="1" ht="15" customHeight="1" x14ac:dyDescent="0.3">
      <c r="A12" s="47">
        <f>COUNTIF(F$26:H$178,"Chester 3 (W)")</f>
        <v>22</v>
      </c>
      <c r="B12" s="15" t="s">
        <v>312</v>
      </c>
      <c r="C12" s="74">
        <v>3209107</v>
      </c>
      <c r="D12" s="57">
        <f>COUNTIF(F$26:I$178,"3209107")</f>
        <v>22</v>
      </c>
      <c r="E12" s="47"/>
      <c r="F12" s="57">
        <f>COUNTIF(F$26:F$178,"Chester 3 (W)")</f>
        <v>11</v>
      </c>
      <c r="G12" s="57"/>
      <c r="H12" s="57">
        <f>COUNTIF(H$26:H$178,"Chester 3 (W)")</f>
        <v>11</v>
      </c>
      <c r="I12" s="57">
        <f>COUNTIF(F$26:F$101,"Chester 3 (W)")</f>
        <v>5</v>
      </c>
      <c r="J12" s="57">
        <f>COUNTIF(F$102:F$178,"Chester 3 (W)")</f>
        <v>6</v>
      </c>
      <c r="K12" s="57">
        <f>COUNTIF(H$26:H$101,"Chester 3 (W)")</f>
        <v>6</v>
      </c>
      <c r="L12" s="57">
        <f>COUNTIF(H$102:H$178,"Chester 3 (W)")</f>
        <v>5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s="76" customFormat="1" ht="15" customHeight="1" x14ac:dyDescent="0.3">
      <c r="A13" s="47">
        <f>COUNTIF(F$26:H$178,"Crewe Vagrants 2 (W)")</f>
        <v>22</v>
      </c>
      <c r="B13" s="15" t="s">
        <v>372</v>
      </c>
      <c r="C13" s="74">
        <v>3207703</v>
      </c>
      <c r="D13" s="57">
        <f>COUNTIF(F$26:I$178,"3207703")</f>
        <v>22</v>
      </c>
      <c r="E13" s="47"/>
      <c r="F13" s="57">
        <f>COUNTIF(F$26:F$178,"Crewe Vagrants 2 (W)")</f>
        <v>11</v>
      </c>
      <c r="G13" s="57"/>
      <c r="H13" s="57">
        <f>COUNTIF(H$26:H$178,"Crewe Vagrants 2 (W)")</f>
        <v>11</v>
      </c>
      <c r="I13" s="57">
        <f>COUNTIF(F$26:F$101,"Crewe Vagrants 2 (W)")</f>
        <v>6</v>
      </c>
      <c r="J13" s="57">
        <f>COUNTIF(F$102:F$178,"Crewe Vagrants 2 (W)")</f>
        <v>5</v>
      </c>
      <c r="K13" s="57">
        <f>COUNTIF(H$26:H$101,"Crewe Vagrants 2 (W)")</f>
        <v>5</v>
      </c>
      <c r="L13" s="57">
        <f>COUNTIF(H$102:H$178,"Crewe Vagrants 2 (W)")</f>
        <v>6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s="76" customFormat="1" ht="15" customHeight="1" x14ac:dyDescent="0.3">
      <c r="A14" s="47">
        <f>COUNTIF(F$26:H$178,"Liverpool Sefton 3 (W)")</f>
        <v>22</v>
      </c>
      <c r="B14" s="4" t="s">
        <v>349</v>
      </c>
      <c r="C14" s="74">
        <v>3202500</v>
      </c>
      <c r="D14" s="57">
        <f>COUNTIF(F$26:I$178,"3202500")</f>
        <v>22</v>
      </c>
      <c r="E14" s="47"/>
      <c r="F14" s="57">
        <f>COUNTIF(F$26:F$178,"Liverpool Sefton 3 (W)")</f>
        <v>11</v>
      </c>
      <c r="G14" s="57"/>
      <c r="H14" s="57">
        <f>COUNTIF(H$26:H$178,"Liverpool Sefton 3 (W)")</f>
        <v>11</v>
      </c>
      <c r="I14" s="57">
        <f>COUNTIF(F$26:F$101,"Liverpool Sefton 3 (W)")</f>
        <v>5</v>
      </c>
      <c r="J14" s="57">
        <f>COUNTIF(F$102:F$178,"Liverpool Sefton 3 (W)")</f>
        <v>6</v>
      </c>
      <c r="K14" s="57">
        <f>COUNTIF(H$26:H$101,"Liverpool Sefton 3 (W)")</f>
        <v>6</v>
      </c>
      <c r="L14" s="57">
        <f>COUNTIF(H$102:H$178,"Liverpool Sefton 3 (W)")</f>
        <v>5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s="76" customFormat="1" ht="15" customHeight="1" x14ac:dyDescent="0.3">
      <c r="A15" s="47">
        <f>COUNTIF(F$26:H$178,"Lymm 2 (W)")</f>
        <v>22</v>
      </c>
      <c r="B15" s="15" t="s">
        <v>316</v>
      </c>
      <c r="C15" s="74">
        <v>3069105</v>
      </c>
      <c r="D15" s="57">
        <f>COUNTIF(F$26:I$178,"3069105")</f>
        <v>22</v>
      </c>
      <c r="E15" s="47"/>
      <c r="F15" s="57">
        <f>COUNTIF(F$26:F$178,"Lymm 2 (W)")</f>
        <v>11</v>
      </c>
      <c r="G15" s="57"/>
      <c r="H15" s="57">
        <f>COUNTIF(H$26:H$178,"Lymm 2 (W)")</f>
        <v>11</v>
      </c>
      <c r="I15" s="57">
        <f>COUNTIF(F$26:F$101,"Lymm 2 (W)")</f>
        <v>6</v>
      </c>
      <c r="J15" s="57">
        <f>COUNTIF(F$102:F$178,"Lymm 2 (W)")</f>
        <v>5</v>
      </c>
      <c r="K15" s="57">
        <f>COUNTIF(H$26:H$101,"Lymm 2 (W)")</f>
        <v>5</v>
      </c>
      <c r="L15" s="57">
        <f>COUNTIF(H$102:H$178,"Lymm 2 (W)")</f>
        <v>6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s="76" customFormat="1" ht="15" customHeight="1" x14ac:dyDescent="0.3">
      <c r="A16" s="47">
        <f>COUNTIF(F$26:H$178,"Oxton 2 (W)")</f>
        <v>22</v>
      </c>
      <c r="B16" s="4" t="s">
        <v>354</v>
      </c>
      <c r="C16" s="74">
        <v>3199404</v>
      </c>
      <c r="D16" s="57">
        <f>COUNTIF(F$26:I$178,"3199404")</f>
        <v>22</v>
      </c>
      <c r="E16" s="47"/>
      <c r="F16" s="57">
        <f>COUNTIF(F$26:F$178,"Oxton 2 (W)")</f>
        <v>11</v>
      </c>
      <c r="G16" s="57"/>
      <c r="H16" s="57">
        <f>COUNTIF(H$26:H$178,"Oxton 2 (W)")</f>
        <v>11</v>
      </c>
      <c r="I16" s="57">
        <f>COUNTIF(F$26:F$101,"Oxton 2 (W)")</f>
        <v>5</v>
      </c>
      <c r="J16" s="57">
        <f>COUNTIF(F$102:F$178,"Oxton 2 (W)")</f>
        <v>6</v>
      </c>
      <c r="K16" s="57">
        <f>COUNTIF(H$26:H$101,"Oxton 2 (W)")</f>
        <v>6</v>
      </c>
      <c r="L16" s="57">
        <f>COUNTIF(H$102:H$178,"Oxton 2 (W)")</f>
        <v>5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s="76" customFormat="1" x14ac:dyDescent="0.3">
      <c r="A17" s="47">
        <f>COUNTIF(F$26:H$178,"Triton 1 (W)")</f>
        <v>22</v>
      </c>
      <c r="B17" s="15" t="s">
        <v>342</v>
      </c>
      <c r="C17" s="74">
        <v>3196501</v>
      </c>
      <c r="D17" s="57">
        <f>COUNTIF(F$26:I$178,"3196501")</f>
        <v>22</v>
      </c>
      <c r="E17" s="47"/>
      <c r="F17" s="57">
        <f>COUNTIF(F$26:F$178,"Triton 1 (W)")</f>
        <v>11</v>
      </c>
      <c r="G17" s="57"/>
      <c r="H17" s="57">
        <f>COUNTIF(H$26:H$178,"Triton 1 (W)")</f>
        <v>11</v>
      </c>
      <c r="I17" s="57">
        <f>COUNTIF(F$26:F$101,"Triton 1 (W)")</f>
        <v>5</v>
      </c>
      <c r="J17" s="57">
        <f>COUNTIF(F$102:F$178,"Triton 1 (W)")</f>
        <v>6</v>
      </c>
      <c r="K17" s="57">
        <f>COUNTIF(H$26:H$101,"Triton 1 (W)")</f>
        <v>6</v>
      </c>
      <c r="L17" s="57">
        <f>COUNTIF(H$102:H$178,"Triton 1 (W)")</f>
        <v>5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s="76" customFormat="1" x14ac:dyDescent="0.3">
      <c r="A18" s="47">
        <f>COUNTIF(F$26:H$178,"Warrington 1 (W)")</f>
        <v>22</v>
      </c>
      <c r="B18" s="15" t="s">
        <v>343</v>
      </c>
      <c r="C18" s="74">
        <v>3195606</v>
      </c>
      <c r="D18" s="57">
        <f>COUNTIF(F$26:I$178,"3195606")</f>
        <v>22</v>
      </c>
      <c r="E18" s="47"/>
      <c r="F18" s="57">
        <f>COUNTIF(F$26:F$178,"Warrington 1 (W)")</f>
        <v>11</v>
      </c>
      <c r="G18" s="57"/>
      <c r="H18" s="57">
        <f>COUNTIF(H$26:H$178,"Warrington 1 (W)")</f>
        <v>11</v>
      </c>
      <c r="I18" s="57">
        <f>COUNTIF(F$26:F$101,"Warrington 1 (W)")</f>
        <v>5</v>
      </c>
      <c r="J18" s="57">
        <f>COUNTIF(F$102:F$178,"Warrington 1 (W)")</f>
        <v>6</v>
      </c>
      <c r="K18" s="57">
        <f>COUNTIF(H$26:H$101,"Warrington 1 (W)")</f>
        <v>6</v>
      </c>
      <c r="L18" s="57">
        <f>COUNTIF(H$102:H$178,"Warrington 1 (W)")</f>
        <v>5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s="76" customFormat="1" x14ac:dyDescent="0.3">
      <c r="A19" s="47">
        <f>COUNTIF(F$26:H$178,"West Derby 1 (W)")</f>
        <v>22</v>
      </c>
      <c r="B19" s="15" t="s">
        <v>355</v>
      </c>
      <c r="C19" s="74">
        <v>3195002</v>
      </c>
      <c r="D19" s="57">
        <f>COUNTIF(F$26:I$178,"3195002")</f>
        <v>22</v>
      </c>
      <c r="E19" s="47"/>
      <c r="F19" s="57">
        <f>COUNTIF(F$26:F$178,"West Derby 1 (W)")</f>
        <v>11</v>
      </c>
      <c r="G19" s="57"/>
      <c r="H19" s="57">
        <f>COUNTIF(H$26:H$178,"West Derby 1 (W)")</f>
        <v>11</v>
      </c>
      <c r="I19" s="57">
        <f>COUNTIF(F$26:F$101,"West Derby 1 (W)")</f>
        <v>5</v>
      </c>
      <c r="J19" s="57">
        <f>COUNTIF(F$102:F$178,"West Derby 1 (W)")</f>
        <v>6</v>
      </c>
      <c r="K19" s="57">
        <f>COUNTIF(H$26:H$101,"West Derby 1 (W)")</f>
        <v>6</v>
      </c>
      <c r="L19" s="57">
        <f>COUNTIF(H$102:H$178,"West Derby 1 (W)")</f>
        <v>5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s="76" customFormat="1" x14ac:dyDescent="0.3">
      <c r="A20" s="47">
        <f>COUNTIF(F$26:H$178,"Whitchurch (Shropshire) 1 (W)")</f>
        <v>22</v>
      </c>
      <c r="B20" s="15" t="s">
        <v>432</v>
      </c>
      <c r="C20" s="74">
        <v>3195106</v>
      </c>
      <c r="D20" s="57">
        <f>COUNTIF(F$26:I$178,"3195106")</f>
        <v>22</v>
      </c>
      <c r="E20" s="47"/>
      <c r="F20" s="57">
        <f>COUNTIF(F$26:F$178,"Whitchurch (Shropshire) 1 (W)")</f>
        <v>11</v>
      </c>
      <c r="G20" s="57"/>
      <c r="H20" s="57">
        <f>COUNTIF(H$26:H$178,"Whitchurch (Shropshire) 1 (W)")</f>
        <v>11</v>
      </c>
      <c r="I20" s="57">
        <f>COUNTIF(F$26:F$101,"Whitchurch (Shropshire) 1 (W)")</f>
        <v>6</v>
      </c>
      <c r="J20" s="57">
        <f>COUNTIF(F$102:F$178,"Whitchurch (Shropshire) 1 (W)")</f>
        <v>5</v>
      </c>
      <c r="K20" s="57">
        <f>COUNTIF(H$26:H$101,"Whitchurch (Shropshire) 1 (W)")</f>
        <v>5</v>
      </c>
      <c r="L20" s="57">
        <f>COUNTIF(H$102:H$178,"Whitchurch (Shropshire) 1 (W)")</f>
        <v>6</v>
      </c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s="76" customFormat="1" x14ac:dyDescent="0.3">
      <c r="A21" s="47">
        <f>COUNTIF(F$26:H$178,"Wilmslow 2 (W)")</f>
        <v>22</v>
      </c>
      <c r="B21" s="15" t="s">
        <v>318</v>
      </c>
      <c r="C21" s="74">
        <v>3037401</v>
      </c>
      <c r="D21" s="57">
        <f>COUNTIF(F$26:I$178,"3037401")</f>
        <v>22</v>
      </c>
      <c r="E21" s="47"/>
      <c r="F21" s="57">
        <f>COUNTIF(F$26:F$178,"Wilmslow 2 (W)")</f>
        <v>11</v>
      </c>
      <c r="G21" s="57"/>
      <c r="H21" s="57">
        <f>COUNTIF(H$26:H$178,"Wilmslow 2 (W)")</f>
        <v>11</v>
      </c>
      <c r="I21" s="57">
        <f>COUNTIF(F$26:F$101,"Wilmslow 2 (W)")</f>
        <v>6</v>
      </c>
      <c r="J21" s="57">
        <f>COUNTIF(F$102:F$178,"Wilmslow 2 (W)")</f>
        <v>5</v>
      </c>
      <c r="K21" s="57">
        <f>COUNTIF(H$26:H$101,"Wilmslow 2 (W)")</f>
        <v>5</v>
      </c>
      <c r="L21" s="57">
        <f>COUNTIF(H$102:H$178,"Wilmslow 2 (W)")</f>
        <v>6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3" spans="1:43" s="3" customFormat="1" ht="21" x14ac:dyDescent="0.4">
      <c r="A23" s="47"/>
      <c r="B23" s="22" t="s">
        <v>93</v>
      </c>
      <c r="G23" s="4"/>
      <c r="H23" s="4"/>
      <c r="I23" s="4"/>
      <c r="K23" s="51"/>
    </row>
    <row r="24" spans="1:43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K24" s="51"/>
    </row>
    <row r="25" spans="1:43" s="3" customFormat="1" x14ac:dyDescent="0.3">
      <c r="A25" s="47"/>
      <c r="B25" s="40"/>
      <c r="C25" s="14"/>
      <c r="D25" s="14"/>
      <c r="E25" s="14"/>
      <c r="F25" s="14"/>
      <c r="G25" s="14"/>
      <c r="H25" s="14"/>
      <c r="I25" s="14"/>
      <c r="K25" s="51"/>
    </row>
    <row r="26" spans="1:43" x14ac:dyDescent="0.3">
      <c r="B26" s="44">
        <v>45913</v>
      </c>
      <c r="C26" s="3" t="s">
        <v>416</v>
      </c>
      <c r="D26" s="3" t="s">
        <v>64</v>
      </c>
      <c r="E26" s="42">
        <v>4370907</v>
      </c>
      <c r="F26" s="3" t="s">
        <v>312</v>
      </c>
      <c r="G26" s="4">
        <v>3209107</v>
      </c>
      <c r="H26" s="4" t="s">
        <v>355</v>
      </c>
      <c r="I26" s="4">
        <v>3195002</v>
      </c>
    </row>
    <row r="27" spans="1:43" x14ac:dyDescent="0.3">
      <c r="B27" s="44">
        <v>45913</v>
      </c>
      <c r="C27" s="3" t="s">
        <v>416</v>
      </c>
      <c r="D27" s="3" t="s">
        <v>64</v>
      </c>
      <c r="E27" s="42">
        <v>4370907</v>
      </c>
      <c r="F27" s="3" t="s">
        <v>372</v>
      </c>
      <c r="G27" s="4">
        <v>3207703</v>
      </c>
      <c r="H27" s="4" t="s">
        <v>318</v>
      </c>
      <c r="I27" s="4">
        <v>3037401</v>
      </c>
    </row>
    <row r="28" spans="1:43" x14ac:dyDescent="0.3">
      <c r="B28" s="44">
        <v>45913</v>
      </c>
      <c r="C28" s="3" t="s">
        <v>416</v>
      </c>
      <c r="D28" s="3" t="s">
        <v>64</v>
      </c>
      <c r="E28" s="42">
        <v>4370907</v>
      </c>
      <c r="F28" s="3" t="s">
        <v>316</v>
      </c>
      <c r="G28" s="4">
        <v>3069105</v>
      </c>
      <c r="H28" s="4" t="s">
        <v>342</v>
      </c>
      <c r="I28" s="4">
        <v>3196501</v>
      </c>
    </row>
    <row r="29" spans="1:43" x14ac:dyDescent="0.3">
      <c r="B29" s="44">
        <v>45913</v>
      </c>
      <c r="C29" s="3" t="s">
        <v>416</v>
      </c>
      <c r="D29" s="3" t="s">
        <v>64</v>
      </c>
      <c r="E29" s="42">
        <v>4370907</v>
      </c>
      <c r="F29" s="3" t="s">
        <v>337</v>
      </c>
      <c r="G29" s="4">
        <v>3209305</v>
      </c>
      <c r="H29" s="4" t="s">
        <v>343</v>
      </c>
      <c r="I29" s="4">
        <v>3195606</v>
      </c>
    </row>
    <row r="30" spans="1:43" x14ac:dyDescent="0.3">
      <c r="B30" s="44">
        <v>45913</v>
      </c>
      <c r="C30" s="3" t="s">
        <v>416</v>
      </c>
      <c r="D30" s="3" t="s">
        <v>64</v>
      </c>
      <c r="E30" s="42">
        <v>4370907</v>
      </c>
      <c r="F30" s="3" t="s">
        <v>432</v>
      </c>
      <c r="G30" s="4">
        <v>3195106</v>
      </c>
      <c r="H30" s="4" t="s">
        <v>354</v>
      </c>
      <c r="I30" s="4">
        <v>3199404</v>
      </c>
    </row>
    <row r="31" spans="1:43" x14ac:dyDescent="0.3">
      <c r="B31" s="44">
        <v>45913</v>
      </c>
      <c r="C31" s="3" t="s">
        <v>416</v>
      </c>
      <c r="D31" s="3" t="s">
        <v>64</v>
      </c>
      <c r="E31" s="42">
        <v>4370907</v>
      </c>
      <c r="F31" s="3" t="s">
        <v>310</v>
      </c>
      <c r="G31" s="4">
        <v>3212402</v>
      </c>
      <c r="H31" s="4" t="s">
        <v>349</v>
      </c>
      <c r="I31" s="4">
        <v>3202500</v>
      </c>
    </row>
    <row r="32" spans="1:43" x14ac:dyDescent="0.3">
      <c r="B32" s="4"/>
      <c r="E32" s="42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64</v>
      </c>
      <c r="E33" s="42">
        <v>4370907</v>
      </c>
      <c r="F33" s="3" t="s">
        <v>342</v>
      </c>
      <c r="G33" s="4">
        <v>3196501</v>
      </c>
      <c r="H33" s="4" t="s">
        <v>310</v>
      </c>
      <c r="I33" s="4">
        <v>3212402</v>
      </c>
    </row>
    <row r="34" spans="2:9" x14ac:dyDescent="0.3">
      <c r="B34" s="44">
        <v>45920</v>
      </c>
      <c r="C34" s="3" t="s">
        <v>416</v>
      </c>
      <c r="D34" s="3" t="s">
        <v>64</v>
      </c>
      <c r="E34" s="42">
        <v>4370907</v>
      </c>
      <c r="F34" s="3" t="s">
        <v>318</v>
      </c>
      <c r="G34" s="4">
        <v>3037401</v>
      </c>
      <c r="H34" s="4" t="s">
        <v>312</v>
      </c>
      <c r="I34" s="4">
        <v>3209107</v>
      </c>
    </row>
    <row r="35" spans="2:9" x14ac:dyDescent="0.3">
      <c r="B35" s="44">
        <v>45920</v>
      </c>
      <c r="C35" s="3" t="s">
        <v>416</v>
      </c>
      <c r="D35" s="3" t="s">
        <v>64</v>
      </c>
      <c r="E35" s="42">
        <v>4370907</v>
      </c>
      <c r="F35" s="3" t="s">
        <v>354</v>
      </c>
      <c r="G35" s="4">
        <v>3199404</v>
      </c>
      <c r="H35" s="4" t="s">
        <v>372</v>
      </c>
      <c r="I35" s="4">
        <v>3207703</v>
      </c>
    </row>
    <row r="36" spans="2:9" x14ac:dyDescent="0.3">
      <c r="B36" s="44">
        <v>45920</v>
      </c>
      <c r="C36" s="3" t="s">
        <v>416</v>
      </c>
      <c r="D36" s="3" t="s">
        <v>64</v>
      </c>
      <c r="E36" s="42">
        <v>4370907</v>
      </c>
      <c r="F36" s="3" t="s">
        <v>349</v>
      </c>
      <c r="G36" s="4">
        <v>3202500</v>
      </c>
      <c r="H36" s="4" t="s">
        <v>432</v>
      </c>
      <c r="I36" s="4">
        <v>3195106</v>
      </c>
    </row>
    <row r="37" spans="2:9" x14ac:dyDescent="0.3">
      <c r="B37" s="44">
        <v>45920</v>
      </c>
      <c r="C37" s="3" t="s">
        <v>416</v>
      </c>
      <c r="D37" s="3" t="s">
        <v>64</v>
      </c>
      <c r="E37" s="42">
        <v>4370907</v>
      </c>
      <c r="F37" s="3" t="s">
        <v>343</v>
      </c>
      <c r="G37" s="4">
        <v>3195606</v>
      </c>
      <c r="H37" s="4" t="s">
        <v>316</v>
      </c>
      <c r="I37" s="4">
        <v>3069105</v>
      </c>
    </row>
    <row r="38" spans="2:9" x14ac:dyDescent="0.3">
      <c r="B38" s="44">
        <v>45920</v>
      </c>
      <c r="C38" s="3" t="s">
        <v>416</v>
      </c>
      <c r="D38" s="3" t="s">
        <v>64</v>
      </c>
      <c r="E38" s="42">
        <v>4370907</v>
      </c>
      <c r="F38" s="3" t="s">
        <v>355</v>
      </c>
      <c r="G38" s="4">
        <v>3195002</v>
      </c>
      <c r="H38" s="4" t="s">
        <v>337</v>
      </c>
      <c r="I38" s="4">
        <v>3209305</v>
      </c>
    </row>
    <row r="39" spans="2:9" x14ac:dyDescent="0.3">
      <c r="B39" s="4"/>
      <c r="E39" s="42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64</v>
      </c>
      <c r="E40" s="42">
        <v>4370907</v>
      </c>
      <c r="F40" s="3" t="s">
        <v>318</v>
      </c>
      <c r="G40" s="4">
        <v>3037401</v>
      </c>
      <c r="H40" s="4" t="s">
        <v>354</v>
      </c>
      <c r="I40" s="4">
        <v>3199404</v>
      </c>
    </row>
    <row r="41" spans="2:9" x14ac:dyDescent="0.3">
      <c r="B41" s="44">
        <v>45927</v>
      </c>
      <c r="C41" s="3" t="s">
        <v>416</v>
      </c>
      <c r="D41" s="3" t="s">
        <v>64</v>
      </c>
      <c r="E41" s="42">
        <v>4370907</v>
      </c>
      <c r="F41" s="3" t="s">
        <v>372</v>
      </c>
      <c r="G41" s="4">
        <v>3207703</v>
      </c>
      <c r="H41" s="4" t="s">
        <v>349</v>
      </c>
      <c r="I41" s="4">
        <v>3202500</v>
      </c>
    </row>
    <row r="42" spans="2:9" x14ac:dyDescent="0.3">
      <c r="B42" s="44">
        <v>45927</v>
      </c>
      <c r="C42" s="3" t="s">
        <v>416</v>
      </c>
      <c r="D42" s="3" t="s">
        <v>64</v>
      </c>
      <c r="E42" s="42">
        <v>4370907</v>
      </c>
      <c r="F42" s="3" t="s">
        <v>316</v>
      </c>
      <c r="G42" s="4">
        <v>3069105</v>
      </c>
      <c r="H42" s="4" t="s">
        <v>355</v>
      </c>
      <c r="I42" s="4">
        <v>3195002</v>
      </c>
    </row>
    <row r="43" spans="2:9" x14ac:dyDescent="0.3">
      <c r="B43" s="44">
        <v>45927</v>
      </c>
      <c r="C43" s="3" t="s">
        <v>416</v>
      </c>
      <c r="D43" s="3" t="s">
        <v>64</v>
      </c>
      <c r="E43" s="42">
        <v>4370907</v>
      </c>
      <c r="F43" s="3" t="s">
        <v>337</v>
      </c>
      <c r="G43" s="4">
        <v>3209305</v>
      </c>
      <c r="H43" s="4" t="s">
        <v>312</v>
      </c>
      <c r="I43" s="4">
        <v>3209107</v>
      </c>
    </row>
    <row r="44" spans="2:9" x14ac:dyDescent="0.3">
      <c r="B44" s="44">
        <v>45927</v>
      </c>
      <c r="C44" s="3" t="s">
        <v>416</v>
      </c>
      <c r="D44" s="3" t="s">
        <v>64</v>
      </c>
      <c r="E44" s="42">
        <v>4370907</v>
      </c>
      <c r="F44" s="3" t="s">
        <v>432</v>
      </c>
      <c r="G44" s="4">
        <v>3195106</v>
      </c>
      <c r="H44" s="4" t="s">
        <v>342</v>
      </c>
      <c r="I44" s="4">
        <v>3196501</v>
      </c>
    </row>
    <row r="45" spans="2:9" x14ac:dyDescent="0.3">
      <c r="B45" s="44">
        <v>45927</v>
      </c>
      <c r="C45" s="3" t="s">
        <v>416</v>
      </c>
      <c r="D45" s="3" t="s">
        <v>64</v>
      </c>
      <c r="E45" s="42">
        <v>4370907</v>
      </c>
      <c r="F45" s="3" t="s">
        <v>310</v>
      </c>
      <c r="G45" s="4">
        <v>3212402</v>
      </c>
      <c r="H45" s="4" t="s">
        <v>343</v>
      </c>
      <c r="I45" s="4">
        <v>3195606</v>
      </c>
    </row>
    <row r="46" spans="2:9" x14ac:dyDescent="0.3">
      <c r="B46" s="4"/>
      <c r="E46" s="42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64</v>
      </c>
      <c r="E47" s="42">
        <v>4370907</v>
      </c>
      <c r="F47" s="3" t="s">
        <v>342</v>
      </c>
      <c r="G47" s="4">
        <v>3196501</v>
      </c>
      <c r="H47" s="4" t="s">
        <v>372</v>
      </c>
      <c r="I47" s="4">
        <v>3207703</v>
      </c>
    </row>
    <row r="48" spans="2:9" x14ac:dyDescent="0.3">
      <c r="B48" s="44">
        <v>45934</v>
      </c>
      <c r="C48" s="3" t="s">
        <v>416</v>
      </c>
      <c r="D48" s="3" t="s">
        <v>64</v>
      </c>
      <c r="E48" s="42">
        <v>4370907</v>
      </c>
      <c r="F48" s="3" t="s">
        <v>312</v>
      </c>
      <c r="G48" s="4">
        <v>3209107</v>
      </c>
      <c r="H48" s="4" t="s">
        <v>316</v>
      </c>
      <c r="I48" s="4">
        <v>3069105</v>
      </c>
    </row>
    <row r="49" spans="2:9" x14ac:dyDescent="0.3">
      <c r="B49" s="44">
        <v>45934</v>
      </c>
      <c r="C49" s="3" t="s">
        <v>416</v>
      </c>
      <c r="D49" s="3" t="s">
        <v>64</v>
      </c>
      <c r="E49" s="42">
        <v>4370907</v>
      </c>
      <c r="F49" s="3" t="s">
        <v>349</v>
      </c>
      <c r="G49" s="4">
        <v>3202500</v>
      </c>
      <c r="H49" s="4" t="s">
        <v>354</v>
      </c>
      <c r="I49" s="4">
        <v>3199404</v>
      </c>
    </row>
    <row r="50" spans="2:9" x14ac:dyDescent="0.3">
      <c r="B50" s="44">
        <v>45934</v>
      </c>
      <c r="C50" s="3" t="s">
        <v>416</v>
      </c>
      <c r="D50" s="3" t="s">
        <v>64</v>
      </c>
      <c r="E50" s="42">
        <v>4370907</v>
      </c>
      <c r="F50" s="3" t="s">
        <v>343</v>
      </c>
      <c r="G50" s="4">
        <v>3195606</v>
      </c>
      <c r="H50" s="4" t="s">
        <v>432</v>
      </c>
      <c r="I50" s="4">
        <v>3195106</v>
      </c>
    </row>
    <row r="51" spans="2:9" x14ac:dyDescent="0.3">
      <c r="B51" s="44">
        <v>45934</v>
      </c>
      <c r="C51" s="3" t="s">
        <v>416</v>
      </c>
      <c r="D51" s="3" t="s">
        <v>64</v>
      </c>
      <c r="E51" s="42">
        <v>4370907</v>
      </c>
      <c r="F51" s="3" t="s">
        <v>337</v>
      </c>
      <c r="G51" s="4">
        <v>3209305</v>
      </c>
      <c r="H51" s="4" t="s">
        <v>318</v>
      </c>
      <c r="I51" s="4">
        <v>3037401</v>
      </c>
    </row>
    <row r="52" spans="2:9" x14ac:dyDescent="0.3">
      <c r="B52" s="44">
        <v>45934</v>
      </c>
      <c r="C52" s="3" t="s">
        <v>416</v>
      </c>
      <c r="D52" s="3" t="s">
        <v>64</v>
      </c>
      <c r="E52" s="42">
        <v>4370907</v>
      </c>
      <c r="F52" s="3" t="s">
        <v>355</v>
      </c>
      <c r="G52" s="4">
        <v>3195002</v>
      </c>
      <c r="H52" s="4" t="s">
        <v>310</v>
      </c>
      <c r="I52" s="4">
        <v>3212402</v>
      </c>
    </row>
    <row r="53" spans="2:9" x14ac:dyDescent="0.3">
      <c r="B53" s="4"/>
      <c r="E53" s="42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64</v>
      </c>
      <c r="E54" s="42">
        <v>4370907</v>
      </c>
      <c r="F54" s="3" t="s">
        <v>318</v>
      </c>
      <c r="G54" s="4">
        <v>3037401</v>
      </c>
      <c r="H54" s="4" t="s">
        <v>349</v>
      </c>
      <c r="I54" s="4">
        <v>3202500</v>
      </c>
    </row>
    <row r="55" spans="2:9" x14ac:dyDescent="0.3">
      <c r="B55" s="44">
        <v>45941</v>
      </c>
      <c r="C55" s="3" t="s">
        <v>416</v>
      </c>
      <c r="D55" s="3" t="s">
        <v>64</v>
      </c>
      <c r="E55" s="42">
        <v>4370907</v>
      </c>
      <c r="F55" s="3" t="s">
        <v>354</v>
      </c>
      <c r="G55" s="4">
        <v>3199404</v>
      </c>
      <c r="H55" s="4" t="s">
        <v>342</v>
      </c>
      <c r="I55" s="4">
        <v>3196501</v>
      </c>
    </row>
    <row r="56" spans="2:9" x14ac:dyDescent="0.3">
      <c r="B56" s="44">
        <v>45941</v>
      </c>
      <c r="C56" s="3" t="s">
        <v>416</v>
      </c>
      <c r="D56" s="3" t="s">
        <v>64</v>
      </c>
      <c r="E56" s="42">
        <v>4370907</v>
      </c>
      <c r="F56" s="3" t="s">
        <v>372</v>
      </c>
      <c r="G56" s="4">
        <v>3207703</v>
      </c>
      <c r="H56" s="4" t="s">
        <v>343</v>
      </c>
      <c r="I56" s="4">
        <v>3195606</v>
      </c>
    </row>
    <row r="57" spans="2:9" x14ac:dyDescent="0.3">
      <c r="B57" s="44">
        <v>45941</v>
      </c>
      <c r="C57" s="3" t="s">
        <v>416</v>
      </c>
      <c r="D57" s="3" t="s">
        <v>64</v>
      </c>
      <c r="E57" s="42">
        <v>4370907</v>
      </c>
      <c r="F57" s="3" t="s">
        <v>316</v>
      </c>
      <c r="G57" s="4">
        <v>3069105</v>
      </c>
      <c r="H57" s="4" t="s">
        <v>337</v>
      </c>
      <c r="I57" s="4">
        <v>3209305</v>
      </c>
    </row>
    <row r="58" spans="2:9" x14ac:dyDescent="0.3">
      <c r="B58" s="44">
        <v>45941</v>
      </c>
      <c r="C58" s="3" t="s">
        <v>416</v>
      </c>
      <c r="D58" s="3" t="s">
        <v>64</v>
      </c>
      <c r="E58" s="42">
        <v>4370907</v>
      </c>
      <c r="F58" s="3" t="s">
        <v>432</v>
      </c>
      <c r="G58" s="4">
        <v>3195106</v>
      </c>
      <c r="H58" s="4" t="s">
        <v>355</v>
      </c>
      <c r="I58" s="4">
        <v>3195002</v>
      </c>
    </row>
    <row r="59" spans="2:9" x14ac:dyDescent="0.3">
      <c r="B59" s="44">
        <v>45941</v>
      </c>
      <c r="C59" s="3" t="s">
        <v>416</v>
      </c>
      <c r="D59" s="3" t="s">
        <v>64</v>
      </c>
      <c r="E59" s="42">
        <v>4370907</v>
      </c>
      <c r="F59" s="3" t="s">
        <v>310</v>
      </c>
      <c r="G59" s="4">
        <v>3212402</v>
      </c>
      <c r="H59" s="4" t="s">
        <v>312</v>
      </c>
      <c r="I59" s="4">
        <v>3209107</v>
      </c>
    </row>
    <row r="60" spans="2:9" x14ac:dyDescent="0.3">
      <c r="B60" s="4"/>
      <c r="E60" s="42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64</v>
      </c>
      <c r="E61" s="42">
        <v>4370907</v>
      </c>
      <c r="F61" s="3" t="s">
        <v>342</v>
      </c>
      <c r="G61" s="4">
        <v>3196501</v>
      </c>
      <c r="H61" s="4" t="s">
        <v>349</v>
      </c>
      <c r="I61" s="4">
        <v>3202500</v>
      </c>
    </row>
    <row r="62" spans="2:9" x14ac:dyDescent="0.3">
      <c r="B62" s="44">
        <v>45948</v>
      </c>
      <c r="C62" s="3" t="s">
        <v>416</v>
      </c>
      <c r="D62" s="3" t="s">
        <v>64</v>
      </c>
      <c r="E62" s="42">
        <v>4370907</v>
      </c>
      <c r="F62" s="3" t="s">
        <v>312</v>
      </c>
      <c r="G62" s="4">
        <v>3209107</v>
      </c>
      <c r="H62" s="4" t="s">
        <v>432</v>
      </c>
      <c r="I62" s="4">
        <v>3195106</v>
      </c>
    </row>
    <row r="63" spans="2:9" x14ac:dyDescent="0.3">
      <c r="B63" s="44">
        <v>45948</v>
      </c>
      <c r="C63" s="3" t="s">
        <v>416</v>
      </c>
      <c r="D63" s="3" t="s">
        <v>64</v>
      </c>
      <c r="E63" s="42">
        <v>4370907</v>
      </c>
      <c r="F63" s="3" t="s">
        <v>316</v>
      </c>
      <c r="G63" s="4">
        <v>3069105</v>
      </c>
      <c r="H63" s="4" t="s">
        <v>318</v>
      </c>
      <c r="I63" s="4">
        <v>3037401</v>
      </c>
    </row>
    <row r="64" spans="2:9" x14ac:dyDescent="0.3">
      <c r="B64" s="44">
        <v>45948</v>
      </c>
      <c r="C64" s="3" t="s">
        <v>416</v>
      </c>
      <c r="D64" s="3" t="s">
        <v>64</v>
      </c>
      <c r="E64" s="42">
        <v>4370907</v>
      </c>
      <c r="F64" s="3" t="s">
        <v>343</v>
      </c>
      <c r="G64" s="4">
        <v>3195606</v>
      </c>
      <c r="H64" s="4" t="s">
        <v>354</v>
      </c>
      <c r="I64" s="4">
        <v>3199404</v>
      </c>
    </row>
    <row r="65" spans="2:9" x14ac:dyDescent="0.3">
      <c r="B65" s="44">
        <v>45948</v>
      </c>
      <c r="C65" s="3" t="s">
        <v>416</v>
      </c>
      <c r="D65" s="3" t="s">
        <v>64</v>
      </c>
      <c r="E65" s="42">
        <v>4370907</v>
      </c>
      <c r="F65" s="3" t="s">
        <v>337</v>
      </c>
      <c r="G65" s="4">
        <v>3209305</v>
      </c>
      <c r="H65" s="4" t="s">
        <v>310</v>
      </c>
      <c r="I65" s="4">
        <v>3212402</v>
      </c>
    </row>
    <row r="66" spans="2:9" x14ac:dyDescent="0.3">
      <c r="B66" s="44">
        <v>45948</v>
      </c>
      <c r="C66" s="3" t="s">
        <v>416</v>
      </c>
      <c r="D66" s="3" t="s">
        <v>64</v>
      </c>
      <c r="E66" s="42">
        <v>4370907</v>
      </c>
      <c r="F66" s="3" t="s">
        <v>355</v>
      </c>
      <c r="G66" s="4">
        <v>3195002</v>
      </c>
      <c r="H66" s="4" t="s">
        <v>372</v>
      </c>
      <c r="I66" s="4">
        <v>3207703</v>
      </c>
    </row>
    <row r="67" spans="2:9" x14ac:dyDescent="0.3">
      <c r="B67" s="4"/>
      <c r="E67" s="42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64</v>
      </c>
      <c r="E68" s="42">
        <v>4370907</v>
      </c>
      <c r="F68" s="3" t="s">
        <v>318</v>
      </c>
      <c r="G68" s="4">
        <v>3037401</v>
      </c>
      <c r="H68" s="4" t="s">
        <v>342</v>
      </c>
      <c r="I68" s="4">
        <v>3196501</v>
      </c>
    </row>
    <row r="69" spans="2:9" x14ac:dyDescent="0.3">
      <c r="B69" s="44">
        <v>45962</v>
      </c>
      <c r="C69" s="3" t="s">
        <v>416</v>
      </c>
      <c r="D69" s="3" t="s">
        <v>64</v>
      </c>
      <c r="E69" s="42">
        <v>4370907</v>
      </c>
      <c r="F69" s="3" t="s">
        <v>354</v>
      </c>
      <c r="G69" s="4">
        <v>3199404</v>
      </c>
      <c r="H69" s="4" t="s">
        <v>355</v>
      </c>
      <c r="I69" s="4">
        <v>3195002</v>
      </c>
    </row>
    <row r="70" spans="2:9" x14ac:dyDescent="0.3">
      <c r="B70" s="44">
        <v>45962</v>
      </c>
      <c r="C70" s="3" t="s">
        <v>416</v>
      </c>
      <c r="D70" s="3" t="s">
        <v>64</v>
      </c>
      <c r="E70" s="42">
        <v>4370907</v>
      </c>
      <c r="F70" s="3" t="s">
        <v>349</v>
      </c>
      <c r="G70" s="4">
        <v>3202500</v>
      </c>
      <c r="H70" s="4" t="s">
        <v>343</v>
      </c>
      <c r="I70" s="4">
        <v>3195606</v>
      </c>
    </row>
    <row r="71" spans="2:9" x14ac:dyDescent="0.3">
      <c r="B71" s="44">
        <v>45962</v>
      </c>
      <c r="C71" s="3" t="s">
        <v>416</v>
      </c>
      <c r="D71" s="3" t="s">
        <v>64</v>
      </c>
      <c r="E71" s="42">
        <v>4370907</v>
      </c>
      <c r="F71" s="3" t="s">
        <v>372</v>
      </c>
      <c r="G71" s="4">
        <v>3207703</v>
      </c>
      <c r="H71" s="4" t="s">
        <v>312</v>
      </c>
      <c r="I71" s="4">
        <v>3209107</v>
      </c>
    </row>
    <row r="72" spans="2:9" x14ac:dyDescent="0.3">
      <c r="B72" s="44">
        <v>45962</v>
      </c>
      <c r="C72" s="3" t="s">
        <v>416</v>
      </c>
      <c r="D72" s="3" t="s">
        <v>64</v>
      </c>
      <c r="E72" s="42">
        <v>4370907</v>
      </c>
      <c r="F72" s="3" t="s">
        <v>432</v>
      </c>
      <c r="G72" s="4">
        <v>3195106</v>
      </c>
      <c r="H72" s="4" t="s">
        <v>337</v>
      </c>
      <c r="I72" s="4">
        <v>3209305</v>
      </c>
    </row>
    <row r="73" spans="2:9" x14ac:dyDescent="0.3">
      <c r="B73" s="44">
        <v>45962</v>
      </c>
      <c r="C73" s="3" t="s">
        <v>416</v>
      </c>
      <c r="D73" s="3" t="s">
        <v>64</v>
      </c>
      <c r="E73" s="42">
        <v>4370907</v>
      </c>
      <c r="F73" s="3" t="s">
        <v>310</v>
      </c>
      <c r="G73" s="4">
        <v>3212402</v>
      </c>
      <c r="H73" s="4" t="s">
        <v>316</v>
      </c>
      <c r="I73" s="4">
        <v>3069105</v>
      </c>
    </row>
    <row r="74" spans="2:9" x14ac:dyDescent="0.3">
      <c r="B74" s="4"/>
      <c r="E74" s="42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64</v>
      </c>
      <c r="E75" s="42">
        <v>4370907</v>
      </c>
      <c r="F75" s="3" t="s">
        <v>312</v>
      </c>
      <c r="G75" s="4">
        <v>3209107</v>
      </c>
      <c r="H75" s="4" t="s">
        <v>354</v>
      </c>
      <c r="I75" s="4">
        <v>3199404</v>
      </c>
    </row>
    <row r="76" spans="2:9" x14ac:dyDescent="0.3">
      <c r="B76" s="44">
        <v>45969</v>
      </c>
      <c r="C76" s="3" t="s">
        <v>416</v>
      </c>
      <c r="D76" s="3" t="s">
        <v>64</v>
      </c>
      <c r="E76" s="42">
        <v>4370907</v>
      </c>
      <c r="F76" s="3" t="s">
        <v>316</v>
      </c>
      <c r="G76" s="4">
        <v>3069105</v>
      </c>
      <c r="H76" s="4" t="s">
        <v>432</v>
      </c>
      <c r="I76" s="4">
        <v>3195106</v>
      </c>
    </row>
    <row r="77" spans="2:9" x14ac:dyDescent="0.3">
      <c r="B77" s="44">
        <v>45969</v>
      </c>
      <c r="C77" s="3" t="s">
        <v>416</v>
      </c>
      <c r="D77" s="3" t="s">
        <v>64</v>
      </c>
      <c r="E77" s="42">
        <v>4370907</v>
      </c>
      <c r="F77" s="3" t="s">
        <v>343</v>
      </c>
      <c r="G77" s="4">
        <v>3195606</v>
      </c>
      <c r="H77" s="4" t="s">
        <v>342</v>
      </c>
      <c r="I77" s="4">
        <v>3196501</v>
      </c>
    </row>
    <row r="78" spans="2:9" x14ac:dyDescent="0.3">
      <c r="B78" s="44">
        <v>45969</v>
      </c>
      <c r="C78" s="3" t="s">
        <v>416</v>
      </c>
      <c r="D78" s="3" t="s">
        <v>64</v>
      </c>
      <c r="E78" s="42">
        <v>4370907</v>
      </c>
      <c r="F78" s="3" t="s">
        <v>337</v>
      </c>
      <c r="G78" s="4">
        <v>3209305</v>
      </c>
      <c r="H78" s="4" t="s">
        <v>372</v>
      </c>
      <c r="I78" s="4">
        <v>3207703</v>
      </c>
    </row>
    <row r="79" spans="2:9" x14ac:dyDescent="0.3">
      <c r="B79" s="44">
        <v>45969</v>
      </c>
      <c r="C79" s="3" t="s">
        <v>416</v>
      </c>
      <c r="D79" s="3" t="s">
        <v>64</v>
      </c>
      <c r="E79" s="42">
        <v>4370907</v>
      </c>
      <c r="F79" s="3" t="s">
        <v>355</v>
      </c>
      <c r="G79" s="4">
        <v>3195002</v>
      </c>
      <c r="H79" s="4" t="s">
        <v>349</v>
      </c>
      <c r="I79" s="4">
        <v>3202500</v>
      </c>
    </row>
    <row r="80" spans="2:9" x14ac:dyDescent="0.3">
      <c r="B80" s="44">
        <v>45969</v>
      </c>
      <c r="C80" s="3" t="s">
        <v>416</v>
      </c>
      <c r="D80" s="3" t="s">
        <v>64</v>
      </c>
      <c r="E80" s="42">
        <v>4370907</v>
      </c>
      <c r="F80" s="3" t="s">
        <v>310</v>
      </c>
      <c r="G80" s="4">
        <v>3212402</v>
      </c>
      <c r="H80" s="4" t="s">
        <v>318</v>
      </c>
      <c r="I80" s="4">
        <v>3037401</v>
      </c>
    </row>
    <row r="81" spans="2:9" x14ac:dyDescent="0.3">
      <c r="B81" s="4"/>
      <c r="E81" s="42"/>
      <c r="F81" s="3" t="s">
        <v>418</v>
      </c>
      <c r="G81" s="4" t="s">
        <v>418</v>
      </c>
      <c r="H81" s="4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64</v>
      </c>
      <c r="E82" s="42">
        <v>4370907</v>
      </c>
      <c r="F82" s="3" t="s">
        <v>342</v>
      </c>
      <c r="G82" s="4">
        <v>3196501</v>
      </c>
      <c r="H82" s="4" t="s">
        <v>355</v>
      </c>
      <c r="I82" s="4">
        <v>3195002</v>
      </c>
    </row>
    <row r="83" spans="2:9" x14ac:dyDescent="0.3">
      <c r="B83" s="44">
        <v>45976</v>
      </c>
      <c r="C83" s="3" t="s">
        <v>416</v>
      </c>
      <c r="D83" s="3" t="s">
        <v>64</v>
      </c>
      <c r="E83" s="42">
        <v>4370907</v>
      </c>
      <c r="F83" s="3" t="s">
        <v>318</v>
      </c>
      <c r="G83" s="4">
        <v>3037401</v>
      </c>
      <c r="H83" s="4" t="s">
        <v>343</v>
      </c>
      <c r="I83" s="4">
        <v>3195606</v>
      </c>
    </row>
    <row r="84" spans="2:9" x14ac:dyDescent="0.3">
      <c r="B84" s="44">
        <v>45976</v>
      </c>
      <c r="C84" s="3" t="s">
        <v>416</v>
      </c>
      <c r="D84" s="3" t="s">
        <v>64</v>
      </c>
      <c r="E84" s="42">
        <v>4370907</v>
      </c>
      <c r="F84" s="3" t="s">
        <v>354</v>
      </c>
      <c r="G84" s="4">
        <v>3199404</v>
      </c>
      <c r="H84" s="4" t="s">
        <v>337</v>
      </c>
      <c r="I84" s="4">
        <v>3209305</v>
      </c>
    </row>
    <row r="85" spans="2:9" x14ac:dyDescent="0.3">
      <c r="B85" s="44">
        <v>45976</v>
      </c>
      <c r="C85" s="3" t="s">
        <v>416</v>
      </c>
      <c r="D85" s="3" t="s">
        <v>64</v>
      </c>
      <c r="E85" s="42">
        <v>4370907</v>
      </c>
      <c r="F85" s="3" t="s">
        <v>349</v>
      </c>
      <c r="G85" s="4">
        <v>3202500</v>
      </c>
      <c r="H85" s="4" t="s">
        <v>312</v>
      </c>
      <c r="I85" s="4">
        <v>3209107</v>
      </c>
    </row>
    <row r="86" spans="2:9" x14ac:dyDescent="0.3">
      <c r="B86" s="44">
        <v>45976</v>
      </c>
      <c r="C86" s="3" t="s">
        <v>416</v>
      </c>
      <c r="D86" s="3" t="s">
        <v>64</v>
      </c>
      <c r="E86" s="42">
        <v>4370907</v>
      </c>
      <c r="F86" s="3" t="s">
        <v>372</v>
      </c>
      <c r="G86" s="4">
        <v>3207703</v>
      </c>
      <c r="H86" s="4" t="s">
        <v>316</v>
      </c>
      <c r="I86" s="4">
        <v>3069105</v>
      </c>
    </row>
    <row r="87" spans="2:9" x14ac:dyDescent="0.3">
      <c r="B87" s="44">
        <v>45976</v>
      </c>
      <c r="C87" s="3" t="s">
        <v>416</v>
      </c>
      <c r="D87" s="3" t="s">
        <v>64</v>
      </c>
      <c r="E87" s="42">
        <v>4370907</v>
      </c>
      <c r="F87" s="3" t="s">
        <v>432</v>
      </c>
      <c r="G87" s="4">
        <v>3195106</v>
      </c>
      <c r="H87" s="4" t="s">
        <v>310</v>
      </c>
      <c r="I87" s="4">
        <v>3212402</v>
      </c>
    </row>
    <row r="88" spans="2:9" x14ac:dyDescent="0.3">
      <c r="B88" s="4"/>
      <c r="E88" s="42"/>
      <c r="F88" s="3" t="s">
        <v>418</v>
      </c>
      <c r="G88" s="4" t="s">
        <v>418</v>
      </c>
      <c r="H88" s="4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64</v>
      </c>
      <c r="E89" s="42">
        <v>4370907</v>
      </c>
      <c r="F89" s="3" t="s">
        <v>312</v>
      </c>
      <c r="G89" s="4">
        <v>3209107</v>
      </c>
      <c r="H89" s="4" t="s">
        <v>342</v>
      </c>
      <c r="I89" s="4">
        <v>3196501</v>
      </c>
    </row>
    <row r="90" spans="2:9" x14ac:dyDescent="0.3">
      <c r="B90" s="44">
        <v>45983</v>
      </c>
      <c r="C90" s="3" t="s">
        <v>416</v>
      </c>
      <c r="D90" s="3" t="s">
        <v>64</v>
      </c>
      <c r="E90" s="42">
        <v>4370907</v>
      </c>
      <c r="F90" s="3" t="s">
        <v>316</v>
      </c>
      <c r="G90" s="4">
        <v>3069105</v>
      </c>
      <c r="H90" s="4" t="s">
        <v>354</v>
      </c>
      <c r="I90" s="4">
        <v>3199404</v>
      </c>
    </row>
    <row r="91" spans="2:9" x14ac:dyDescent="0.3">
      <c r="B91" s="44">
        <v>45983</v>
      </c>
      <c r="C91" s="3" t="s">
        <v>416</v>
      </c>
      <c r="D91" s="3" t="s">
        <v>64</v>
      </c>
      <c r="E91" s="42">
        <v>4370907</v>
      </c>
      <c r="F91" s="3" t="s">
        <v>337</v>
      </c>
      <c r="G91" s="4">
        <v>3209305</v>
      </c>
      <c r="H91" s="4" t="s">
        <v>349</v>
      </c>
      <c r="I91" s="4">
        <v>3202500</v>
      </c>
    </row>
    <row r="92" spans="2:9" x14ac:dyDescent="0.3">
      <c r="B92" s="44">
        <v>45983</v>
      </c>
      <c r="C92" s="3" t="s">
        <v>416</v>
      </c>
      <c r="D92" s="3" t="s">
        <v>64</v>
      </c>
      <c r="E92" s="42">
        <v>4370907</v>
      </c>
      <c r="F92" s="3" t="s">
        <v>355</v>
      </c>
      <c r="G92" s="4">
        <v>3195002</v>
      </c>
      <c r="H92" s="4" t="s">
        <v>343</v>
      </c>
      <c r="I92" s="4">
        <v>3195606</v>
      </c>
    </row>
    <row r="93" spans="2:9" x14ac:dyDescent="0.3">
      <c r="B93" s="44">
        <v>45983</v>
      </c>
      <c r="C93" s="3" t="s">
        <v>416</v>
      </c>
      <c r="D93" s="3" t="s">
        <v>64</v>
      </c>
      <c r="E93" s="42">
        <v>4370907</v>
      </c>
      <c r="F93" s="3" t="s">
        <v>432</v>
      </c>
      <c r="G93" s="4">
        <v>3195106</v>
      </c>
      <c r="H93" s="4" t="s">
        <v>318</v>
      </c>
      <c r="I93" s="4">
        <v>3037401</v>
      </c>
    </row>
    <row r="94" spans="2:9" x14ac:dyDescent="0.3">
      <c r="B94" s="44">
        <v>45983</v>
      </c>
      <c r="C94" s="3" t="s">
        <v>416</v>
      </c>
      <c r="D94" s="3" t="s">
        <v>64</v>
      </c>
      <c r="E94" s="42">
        <v>4370907</v>
      </c>
      <c r="F94" s="3" t="s">
        <v>310</v>
      </c>
      <c r="G94" s="4">
        <v>3212402</v>
      </c>
      <c r="H94" s="4" t="s">
        <v>372</v>
      </c>
      <c r="I94" s="4">
        <v>3207703</v>
      </c>
    </row>
    <row r="95" spans="2:9" x14ac:dyDescent="0.3">
      <c r="B95" s="4"/>
      <c r="E95" s="42"/>
      <c r="F95" s="3" t="s">
        <v>418</v>
      </c>
      <c r="G95" s="4" t="s">
        <v>418</v>
      </c>
      <c r="H95" s="4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64</v>
      </c>
      <c r="E96" s="42">
        <v>4370907</v>
      </c>
      <c r="F96" s="3" t="s">
        <v>342</v>
      </c>
      <c r="G96" s="4">
        <v>3196501</v>
      </c>
      <c r="H96" s="4" t="s">
        <v>337</v>
      </c>
      <c r="I96" s="4">
        <v>3209305</v>
      </c>
    </row>
    <row r="97" spans="2:9" x14ac:dyDescent="0.3">
      <c r="B97" s="44">
        <v>45990</v>
      </c>
      <c r="C97" s="3" t="s">
        <v>416</v>
      </c>
      <c r="D97" s="3" t="s">
        <v>64</v>
      </c>
      <c r="E97" s="42">
        <v>4370907</v>
      </c>
      <c r="F97" s="3" t="s">
        <v>318</v>
      </c>
      <c r="G97" s="4">
        <v>3037401</v>
      </c>
      <c r="H97" s="4" t="s">
        <v>355</v>
      </c>
      <c r="I97" s="4">
        <v>3195002</v>
      </c>
    </row>
    <row r="98" spans="2:9" x14ac:dyDescent="0.3">
      <c r="B98" s="44">
        <v>45990</v>
      </c>
      <c r="C98" s="3" t="s">
        <v>416</v>
      </c>
      <c r="D98" s="3" t="s">
        <v>64</v>
      </c>
      <c r="E98" s="42">
        <v>4370907</v>
      </c>
      <c r="F98" s="3" t="s">
        <v>354</v>
      </c>
      <c r="G98" s="4">
        <v>3199404</v>
      </c>
      <c r="H98" s="4" t="s">
        <v>310</v>
      </c>
      <c r="I98" s="4">
        <v>3212402</v>
      </c>
    </row>
    <row r="99" spans="2:9" x14ac:dyDescent="0.3">
      <c r="B99" s="44">
        <v>45990</v>
      </c>
      <c r="C99" s="3" t="s">
        <v>416</v>
      </c>
      <c r="D99" s="3" t="s">
        <v>64</v>
      </c>
      <c r="E99" s="42">
        <v>4370907</v>
      </c>
      <c r="F99" s="3" t="s">
        <v>349</v>
      </c>
      <c r="G99" s="4">
        <v>3202500</v>
      </c>
      <c r="H99" s="4" t="s">
        <v>316</v>
      </c>
      <c r="I99" s="4">
        <v>3069105</v>
      </c>
    </row>
    <row r="100" spans="2:9" x14ac:dyDescent="0.3">
      <c r="B100" s="44">
        <v>45990</v>
      </c>
      <c r="C100" s="3" t="s">
        <v>416</v>
      </c>
      <c r="D100" s="3" t="s">
        <v>64</v>
      </c>
      <c r="E100" s="42">
        <v>4370907</v>
      </c>
      <c r="F100" s="3" t="s">
        <v>372</v>
      </c>
      <c r="G100" s="4">
        <v>3207703</v>
      </c>
      <c r="H100" s="4" t="s">
        <v>432</v>
      </c>
      <c r="I100" s="4">
        <v>3195106</v>
      </c>
    </row>
    <row r="101" spans="2:9" x14ac:dyDescent="0.3">
      <c r="B101" s="44">
        <v>45990</v>
      </c>
      <c r="C101" s="3" t="s">
        <v>416</v>
      </c>
      <c r="D101" s="3" t="s">
        <v>64</v>
      </c>
      <c r="E101" s="42">
        <v>4370907</v>
      </c>
      <c r="F101" s="3" t="s">
        <v>343</v>
      </c>
      <c r="G101" s="4">
        <v>3195606</v>
      </c>
      <c r="H101" s="4" t="s">
        <v>312</v>
      </c>
      <c r="I101" s="4">
        <v>3209107</v>
      </c>
    </row>
    <row r="102" spans="2:9" x14ac:dyDescent="0.3">
      <c r="B102" s="4"/>
      <c r="E102" s="42"/>
      <c r="F102" s="3" t="s">
        <v>418</v>
      </c>
      <c r="G102" s="4" t="s">
        <v>418</v>
      </c>
      <c r="H102" s="4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64</v>
      </c>
      <c r="E103" s="42">
        <v>4370907</v>
      </c>
      <c r="F103" s="3" t="s">
        <v>342</v>
      </c>
      <c r="G103" s="4">
        <v>3196501</v>
      </c>
      <c r="H103" s="4" t="s">
        <v>316</v>
      </c>
      <c r="I103" s="4">
        <v>3069105</v>
      </c>
    </row>
    <row r="104" spans="2:9" x14ac:dyDescent="0.3">
      <c r="B104" s="44">
        <v>46032</v>
      </c>
      <c r="C104" s="3" t="s">
        <v>416</v>
      </c>
      <c r="D104" s="3" t="s">
        <v>64</v>
      </c>
      <c r="E104" s="42">
        <v>4370907</v>
      </c>
      <c r="F104" s="3" t="s">
        <v>318</v>
      </c>
      <c r="G104" s="4">
        <v>3037401</v>
      </c>
      <c r="H104" s="4" t="s">
        <v>372</v>
      </c>
      <c r="I104" s="4">
        <v>3207703</v>
      </c>
    </row>
    <row r="105" spans="2:9" x14ac:dyDescent="0.3">
      <c r="B105" s="44">
        <v>46032</v>
      </c>
      <c r="C105" s="3" t="s">
        <v>416</v>
      </c>
      <c r="D105" s="3" t="s">
        <v>64</v>
      </c>
      <c r="E105" s="42">
        <v>4370907</v>
      </c>
      <c r="F105" s="3" t="s">
        <v>354</v>
      </c>
      <c r="G105" s="4">
        <v>3199404</v>
      </c>
      <c r="H105" s="4" t="s">
        <v>432</v>
      </c>
      <c r="I105" s="4">
        <v>3195106</v>
      </c>
    </row>
    <row r="106" spans="2:9" x14ac:dyDescent="0.3">
      <c r="B106" s="44">
        <v>46032</v>
      </c>
      <c r="C106" s="3" t="s">
        <v>416</v>
      </c>
      <c r="D106" s="3" t="s">
        <v>64</v>
      </c>
      <c r="E106" s="42">
        <v>4370907</v>
      </c>
      <c r="F106" s="3" t="s">
        <v>349</v>
      </c>
      <c r="G106" s="4">
        <v>3202500</v>
      </c>
      <c r="H106" s="4" t="s">
        <v>310</v>
      </c>
      <c r="I106" s="4">
        <v>3212402</v>
      </c>
    </row>
    <row r="107" spans="2:9" x14ac:dyDescent="0.3">
      <c r="B107" s="44">
        <v>46032</v>
      </c>
      <c r="C107" s="3" t="s">
        <v>416</v>
      </c>
      <c r="D107" s="3" t="s">
        <v>64</v>
      </c>
      <c r="E107" s="42">
        <v>4370907</v>
      </c>
      <c r="F107" s="3" t="s">
        <v>343</v>
      </c>
      <c r="G107" s="4">
        <v>3195606</v>
      </c>
      <c r="H107" s="4" t="s">
        <v>337</v>
      </c>
      <c r="I107" s="4">
        <v>3209305</v>
      </c>
    </row>
    <row r="108" spans="2:9" x14ac:dyDescent="0.3">
      <c r="B108" s="44">
        <v>46032</v>
      </c>
      <c r="C108" s="3" t="s">
        <v>416</v>
      </c>
      <c r="D108" s="3" t="s">
        <v>64</v>
      </c>
      <c r="E108" s="42">
        <v>4370907</v>
      </c>
      <c r="F108" s="3" t="s">
        <v>355</v>
      </c>
      <c r="G108" s="4">
        <v>3195002</v>
      </c>
      <c r="H108" s="4" t="s">
        <v>312</v>
      </c>
      <c r="I108" s="4">
        <v>3209107</v>
      </c>
    </row>
    <row r="109" spans="2:9" x14ac:dyDescent="0.3">
      <c r="B109" s="4"/>
      <c r="E109" s="42"/>
      <c r="F109" s="3" t="s">
        <v>418</v>
      </c>
      <c r="G109" s="4" t="s">
        <v>418</v>
      </c>
      <c r="H109" s="4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64</v>
      </c>
      <c r="E110" s="42">
        <v>4370907</v>
      </c>
      <c r="F110" s="3" t="s">
        <v>312</v>
      </c>
      <c r="G110" s="4">
        <v>3209107</v>
      </c>
      <c r="H110" s="4" t="s">
        <v>318</v>
      </c>
      <c r="I110" s="4">
        <v>3037401</v>
      </c>
    </row>
    <row r="111" spans="2:9" x14ac:dyDescent="0.3">
      <c r="B111" s="44">
        <v>46039</v>
      </c>
      <c r="C111" s="3" t="s">
        <v>416</v>
      </c>
      <c r="D111" s="3" t="s">
        <v>64</v>
      </c>
      <c r="E111" s="42">
        <v>4370907</v>
      </c>
      <c r="F111" s="3" t="s">
        <v>372</v>
      </c>
      <c r="G111" s="4">
        <v>3207703</v>
      </c>
      <c r="H111" s="4" t="s">
        <v>354</v>
      </c>
      <c r="I111" s="4">
        <v>3199404</v>
      </c>
    </row>
    <row r="112" spans="2:9" x14ac:dyDescent="0.3">
      <c r="B112" s="44">
        <v>46039</v>
      </c>
      <c r="C112" s="3" t="s">
        <v>416</v>
      </c>
      <c r="D112" s="3" t="s">
        <v>64</v>
      </c>
      <c r="E112" s="42">
        <v>4370907</v>
      </c>
      <c r="F112" s="3" t="s">
        <v>316</v>
      </c>
      <c r="G112" s="4">
        <v>3069105</v>
      </c>
      <c r="H112" s="4" t="s">
        <v>343</v>
      </c>
      <c r="I112" s="4">
        <v>3195606</v>
      </c>
    </row>
    <row r="113" spans="2:9" x14ac:dyDescent="0.3">
      <c r="B113" s="44">
        <v>46039</v>
      </c>
      <c r="C113" s="3" t="s">
        <v>416</v>
      </c>
      <c r="D113" s="3" t="s">
        <v>64</v>
      </c>
      <c r="E113" s="42">
        <v>4370907</v>
      </c>
      <c r="F113" s="3" t="s">
        <v>337</v>
      </c>
      <c r="G113" s="4">
        <v>3209305</v>
      </c>
      <c r="H113" s="4" t="s">
        <v>355</v>
      </c>
      <c r="I113" s="4">
        <v>3195002</v>
      </c>
    </row>
    <row r="114" spans="2:9" x14ac:dyDescent="0.3">
      <c r="B114" s="44">
        <v>46039</v>
      </c>
      <c r="C114" s="3" t="s">
        <v>416</v>
      </c>
      <c r="D114" s="3" t="s">
        <v>64</v>
      </c>
      <c r="E114" s="42">
        <v>4370907</v>
      </c>
      <c r="F114" s="3" t="s">
        <v>432</v>
      </c>
      <c r="G114" s="4">
        <v>3195106</v>
      </c>
      <c r="H114" s="4" t="s">
        <v>349</v>
      </c>
      <c r="I114" s="4">
        <v>3202500</v>
      </c>
    </row>
    <row r="115" spans="2:9" x14ac:dyDescent="0.3">
      <c r="B115" s="44">
        <v>46039</v>
      </c>
      <c r="C115" s="3" t="s">
        <v>416</v>
      </c>
      <c r="D115" s="3" t="s">
        <v>64</v>
      </c>
      <c r="E115" s="42">
        <v>4370907</v>
      </c>
      <c r="F115" s="3" t="s">
        <v>310</v>
      </c>
      <c r="G115" s="4">
        <v>3212402</v>
      </c>
      <c r="H115" s="4" t="s">
        <v>342</v>
      </c>
      <c r="I115" s="4">
        <v>3196501</v>
      </c>
    </row>
    <row r="116" spans="2:9" x14ac:dyDescent="0.3">
      <c r="B116" s="4"/>
      <c r="E116" s="42"/>
      <c r="F116" s="3" t="s">
        <v>418</v>
      </c>
      <c r="G116" s="4" t="s">
        <v>418</v>
      </c>
      <c r="H116" s="4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64</v>
      </c>
      <c r="E117" s="42">
        <v>4370907</v>
      </c>
      <c r="F117" s="3" t="s">
        <v>342</v>
      </c>
      <c r="G117" s="4">
        <v>3196501</v>
      </c>
      <c r="H117" s="4" t="s">
        <v>432</v>
      </c>
      <c r="I117" s="4">
        <v>3195106</v>
      </c>
    </row>
    <row r="118" spans="2:9" x14ac:dyDescent="0.3">
      <c r="B118" s="44">
        <v>46046</v>
      </c>
      <c r="C118" s="3" t="s">
        <v>416</v>
      </c>
      <c r="D118" s="3" t="s">
        <v>64</v>
      </c>
      <c r="E118" s="42">
        <v>4370907</v>
      </c>
      <c r="F118" s="3" t="s">
        <v>312</v>
      </c>
      <c r="G118" s="4">
        <v>3209107</v>
      </c>
      <c r="H118" s="4" t="s">
        <v>337</v>
      </c>
      <c r="I118" s="4">
        <v>3209305</v>
      </c>
    </row>
    <row r="119" spans="2:9" x14ac:dyDescent="0.3">
      <c r="B119" s="44">
        <v>46046</v>
      </c>
      <c r="C119" s="3" t="s">
        <v>416</v>
      </c>
      <c r="D119" s="3" t="s">
        <v>64</v>
      </c>
      <c r="E119" s="42">
        <v>4370907</v>
      </c>
      <c r="F119" s="3" t="s">
        <v>354</v>
      </c>
      <c r="G119" s="4">
        <v>3199404</v>
      </c>
      <c r="H119" s="4" t="s">
        <v>318</v>
      </c>
      <c r="I119" s="4">
        <v>3037401</v>
      </c>
    </row>
    <row r="120" spans="2:9" x14ac:dyDescent="0.3">
      <c r="B120" s="44">
        <v>46046</v>
      </c>
      <c r="C120" s="3" t="s">
        <v>416</v>
      </c>
      <c r="D120" s="3" t="s">
        <v>64</v>
      </c>
      <c r="E120" s="42">
        <v>4370907</v>
      </c>
      <c r="F120" s="3" t="s">
        <v>349</v>
      </c>
      <c r="G120" s="4">
        <v>3202500</v>
      </c>
      <c r="H120" s="4" t="s">
        <v>372</v>
      </c>
      <c r="I120" s="4">
        <v>3207703</v>
      </c>
    </row>
    <row r="121" spans="2:9" x14ac:dyDescent="0.3">
      <c r="B121" s="44">
        <v>46046</v>
      </c>
      <c r="C121" s="3" t="s">
        <v>416</v>
      </c>
      <c r="D121" s="3" t="s">
        <v>64</v>
      </c>
      <c r="E121" s="42">
        <v>4370907</v>
      </c>
      <c r="F121" s="3" t="s">
        <v>343</v>
      </c>
      <c r="G121" s="4">
        <v>3195606</v>
      </c>
      <c r="H121" s="4" t="s">
        <v>310</v>
      </c>
      <c r="I121" s="4">
        <v>3212402</v>
      </c>
    </row>
    <row r="122" spans="2:9" x14ac:dyDescent="0.3">
      <c r="B122" s="44">
        <v>46046</v>
      </c>
      <c r="C122" s="3" t="s">
        <v>416</v>
      </c>
      <c r="D122" s="3" t="s">
        <v>64</v>
      </c>
      <c r="E122" s="42">
        <v>4370907</v>
      </c>
      <c r="F122" s="3" t="s">
        <v>355</v>
      </c>
      <c r="G122" s="4">
        <v>3195002</v>
      </c>
      <c r="H122" s="4" t="s">
        <v>316</v>
      </c>
      <c r="I122" s="4">
        <v>3069105</v>
      </c>
    </row>
    <row r="123" spans="2:9" x14ac:dyDescent="0.3">
      <c r="B123" s="4"/>
      <c r="E123" s="42"/>
      <c r="F123" s="3" t="s">
        <v>418</v>
      </c>
      <c r="G123" s="4" t="s">
        <v>418</v>
      </c>
      <c r="H123" s="4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64</v>
      </c>
      <c r="E124" s="42">
        <v>4370907</v>
      </c>
      <c r="F124" s="3" t="s">
        <v>318</v>
      </c>
      <c r="G124" s="4">
        <v>3037401</v>
      </c>
      <c r="H124" s="4" t="s">
        <v>337</v>
      </c>
      <c r="I124" s="4">
        <v>3209305</v>
      </c>
    </row>
    <row r="125" spans="2:9" x14ac:dyDescent="0.3">
      <c r="B125" s="44">
        <v>46053</v>
      </c>
      <c r="C125" s="3" t="s">
        <v>416</v>
      </c>
      <c r="D125" s="3" t="s">
        <v>64</v>
      </c>
      <c r="E125" s="42">
        <v>4370907</v>
      </c>
      <c r="F125" s="3" t="s">
        <v>354</v>
      </c>
      <c r="G125" s="4">
        <v>3199404</v>
      </c>
      <c r="H125" s="4" t="s">
        <v>349</v>
      </c>
      <c r="I125" s="4">
        <v>3202500</v>
      </c>
    </row>
    <row r="126" spans="2:9" x14ac:dyDescent="0.3">
      <c r="B126" s="44">
        <v>46053</v>
      </c>
      <c r="C126" s="3" t="s">
        <v>416</v>
      </c>
      <c r="D126" s="3" t="s">
        <v>64</v>
      </c>
      <c r="E126" s="42">
        <v>4370907</v>
      </c>
      <c r="F126" s="3" t="s">
        <v>372</v>
      </c>
      <c r="G126" s="4">
        <v>3207703</v>
      </c>
      <c r="H126" s="4" t="s">
        <v>342</v>
      </c>
      <c r="I126" s="4">
        <v>3196501</v>
      </c>
    </row>
    <row r="127" spans="2:9" x14ac:dyDescent="0.3">
      <c r="B127" s="44">
        <v>46053</v>
      </c>
      <c r="C127" s="3" t="s">
        <v>416</v>
      </c>
      <c r="D127" s="3" t="s">
        <v>64</v>
      </c>
      <c r="E127" s="42">
        <v>4370907</v>
      </c>
      <c r="F127" s="3" t="s">
        <v>316</v>
      </c>
      <c r="G127" s="4">
        <v>3069105</v>
      </c>
      <c r="H127" s="4" t="s">
        <v>312</v>
      </c>
      <c r="I127" s="4">
        <v>3209107</v>
      </c>
    </row>
    <row r="128" spans="2:9" x14ac:dyDescent="0.3">
      <c r="B128" s="44">
        <v>46053</v>
      </c>
      <c r="C128" s="3" t="s">
        <v>416</v>
      </c>
      <c r="D128" s="3" t="s">
        <v>64</v>
      </c>
      <c r="E128" s="42">
        <v>4370907</v>
      </c>
      <c r="F128" s="3" t="s">
        <v>432</v>
      </c>
      <c r="G128" s="4">
        <v>3195106</v>
      </c>
      <c r="H128" s="4" t="s">
        <v>343</v>
      </c>
      <c r="I128" s="4">
        <v>3195606</v>
      </c>
    </row>
    <row r="129" spans="2:9" x14ac:dyDescent="0.3">
      <c r="B129" s="44">
        <v>46053</v>
      </c>
      <c r="C129" s="3" t="s">
        <v>416</v>
      </c>
      <c r="D129" s="3" t="s">
        <v>64</v>
      </c>
      <c r="E129" s="42">
        <v>4370907</v>
      </c>
      <c r="F129" s="3" t="s">
        <v>310</v>
      </c>
      <c r="G129" s="4">
        <v>3212402</v>
      </c>
      <c r="H129" s="4" t="s">
        <v>355</v>
      </c>
      <c r="I129" s="4">
        <v>3195002</v>
      </c>
    </row>
    <row r="130" spans="2:9" x14ac:dyDescent="0.3">
      <c r="B130" s="4"/>
      <c r="E130" s="42"/>
      <c r="F130" s="3" t="s">
        <v>418</v>
      </c>
      <c r="G130" s="4" t="s">
        <v>418</v>
      </c>
      <c r="H130" s="4" t="s">
        <v>418</v>
      </c>
      <c r="I130" s="4" t="s">
        <v>418</v>
      </c>
    </row>
    <row r="131" spans="2:9" x14ac:dyDescent="0.3">
      <c r="B131" s="44">
        <v>46060</v>
      </c>
      <c r="C131" s="3" t="s">
        <v>416</v>
      </c>
      <c r="D131" s="3" t="s">
        <v>64</v>
      </c>
      <c r="E131" s="42">
        <v>4370907</v>
      </c>
      <c r="F131" s="3" t="s">
        <v>342</v>
      </c>
      <c r="G131" s="4">
        <v>3196501</v>
      </c>
      <c r="H131" s="4" t="s">
        <v>354</v>
      </c>
      <c r="I131" s="4">
        <v>3199404</v>
      </c>
    </row>
    <row r="132" spans="2:9" x14ac:dyDescent="0.3">
      <c r="B132" s="44">
        <v>46060</v>
      </c>
      <c r="C132" s="3" t="s">
        <v>416</v>
      </c>
      <c r="D132" s="3" t="s">
        <v>64</v>
      </c>
      <c r="E132" s="42">
        <v>4370907</v>
      </c>
      <c r="F132" s="3" t="s">
        <v>312</v>
      </c>
      <c r="G132" s="4">
        <v>3209107</v>
      </c>
      <c r="H132" s="4" t="s">
        <v>310</v>
      </c>
      <c r="I132" s="4">
        <v>3212402</v>
      </c>
    </row>
    <row r="133" spans="2:9" x14ac:dyDescent="0.3">
      <c r="B133" s="44">
        <v>46060</v>
      </c>
      <c r="C133" s="3" t="s">
        <v>416</v>
      </c>
      <c r="D133" s="3" t="s">
        <v>64</v>
      </c>
      <c r="E133" s="42">
        <v>4370907</v>
      </c>
      <c r="F133" s="3" t="s">
        <v>349</v>
      </c>
      <c r="G133" s="4">
        <v>3202500</v>
      </c>
      <c r="H133" s="4" t="s">
        <v>318</v>
      </c>
      <c r="I133" s="4">
        <v>3037401</v>
      </c>
    </row>
    <row r="134" spans="2:9" x14ac:dyDescent="0.3">
      <c r="B134" s="44">
        <v>46060</v>
      </c>
      <c r="C134" s="3" t="s">
        <v>416</v>
      </c>
      <c r="D134" s="3" t="s">
        <v>64</v>
      </c>
      <c r="E134" s="42">
        <v>4370907</v>
      </c>
      <c r="F134" s="3" t="s">
        <v>343</v>
      </c>
      <c r="G134" s="4">
        <v>3195606</v>
      </c>
      <c r="H134" s="4" t="s">
        <v>372</v>
      </c>
      <c r="I134" s="4">
        <v>3207703</v>
      </c>
    </row>
    <row r="135" spans="2:9" x14ac:dyDescent="0.3">
      <c r="B135" s="44">
        <v>46060</v>
      </c>
      <c r="C135" s="3" t="s">
        <v>416</v>
      </c>
      <c r="D135" s="3" t="s">
        <v>64</v>
      </c>
      <c r="E135" s="42">
        <v>4370907</v>
      </c>
      <c r="F135" s="3" t="s">
        <v>337</v>
      </c>
      <c r="G135" s="4">
        <v>3209305</v>
      </c>
      <c r="H135" s="4" t="s">
        <v>316</v>
      </c>
      <c r="I135" s="4">
        <v>3069105</v>
      </c>
    </row>
    <row r="136" spans="2:9" x14ac:dyDescent="0.3">
      <c r="B136" s="44">
        <v>46060</v>
      </c>
      <c r="C136" s="3" t="s">
        <v>416</v>
      </c>
      <c r="D136" s="3" t="s">
        <v>64</v>
      </c>
      <c r="E136" s="42">
        <v>4370907</v>
      </c>
      <c r="F136" s="3" t="s">
        <v>355</v>
      </c>
      <c r="G136" s="4">
        <v>3195002</v>
      </c>
      <c r="H136" s="4" t="s">
        <v>432</v>
      </c>
      <c r="I136" s="4">
        <v>3195106</v>
      </c>
    </row>
    <row r="137" spans="2:9" x14ac:dyDescent="0.3">
      <c r="B137" s="4"/>
      <c r="E137" s="42"/>
      <c r="F137" s="3" t="s">
        <v>418</v>
      </c>
      <c r="G137" s="4" t="s">
        <v>418</v>
      </c>
      <c r="H137" s="4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64</v>
      </c>
      <c r="E138" s="42">
        <v>4370907</v>
      </c>
      <c r="F138" s="3" t="s">
        <v>318</v>
      </c>
      <c r="G138" s="4">
        <v>3037401</v>
      </c>
      <c r="H138" s="4" t="s">
        <v>316</v>
      </c>
      <c r="I138" s="4">
        <v>3069105</v>
      </c>
    </row>
    <row r="139" spans="2:9" x14ac:dyDescent="0.3">
      <c r="B139" s="44">
        <v>46074</v>
      </c>
      <c r="C139" s="3" t="s">
        <v>416</v>
      </c>
      <c r="D139" s="3" t="s">
        <v>64</v>
      </c>
      <c r="E139" s="42">
        <v>4370907</v>
      </c>
      <c r="F139" s="3" t="s">
        <v>354</v>
      </c>
      <c r="G139" s="4">
        <v>3199404</v>
      </c>
      <c r="H139" s="4" t="s">
        <v>343</v>
      </c>
      <c r="I139" s="4">
        <v>3195606</v>
      </c>
    </row>
    <row r="140" spans="2:9" x14ac:dyDescent="0.3">
      <c r="B140" s="44">
        <v>46074</v>
      </c>
      <c r="C140" s="3" t="s">
        <v>416</v>
      </c>
      <c r="D140" s="3" t="s">
        <v>64</v>
      </c>
      <c r="E140" s="42">
        <v>4370907</v>
      </c>
      <c r="F140" s="3" t="s">
        <v>349</v>
      </c>
      <c r="G140" s="4">
        <v>3202500</v>
      </c>
      <c r="H140" s="4" t="s">
        <v>342</v>
      </c>
      <c r="I140" s="4">
        <v>3196501</v>
      </c>
    </row>
    <row r="141" spans="2:9" x14ac:dyDescent="0.3">
      <c r="B141" s="44">
        <v>46074</v>
      </c>
      <c r="C141" s="3" t="s">
        <v>416</v>
      </c>
      <c r="D141" s="3" t="s">
        <v>64</v>
      </c>
      <c r="E141" s="42">
        <v>4370907</v>
      </c>
      <c r="F141" s="3" t="s">
        <v>372</v>
      </c>
      <c r="G141" s="4">
        <v>3207703</v>
      </c>
      <c r="H141" s="4" t="s">
        <v>355</v>
      </c>
      <c r="I141" s="4">
        <v>3195002</v>
      </c>
    </row>
    <row r="142" spans="2:9" x14ac:dyDescent="0.3">
      <c r="B142" s="44">
        <v>46074</v>
      </c>
      <c r="C142" s="3" t="s">
        <v>416</v>
      </c>
      <c r="D142" s="3" t="s">
        <v>64</v>
      </c>
      <c r="E142" s="42">
        <v>4370907</v>
      </c>
      <c r="F142" s="3" t="s">
        <v>432</v>
      </c>
      <c r="G142" s="4">
        <v>3195106</v>
      </c>
      <c r="H142" s="4" t="s">
        <v>312</v>
      </c>
      <c r="I142" s="4">
        <v>3209107</v>
      </c>
    </row>
    <row r="143" spans="2:9" x14ac:dyDescent="0.3">
      <c r="B143" s="44">
        <v>46074</v>
      </c>
      <c r="C143" s="3" t="s">
        <v>416</v>
      </c>
      <c r="D143" s="3" t="s">
        <v>64</v>
      </c>
      <c r="E143" s="42">
        <v>4370907</v>
      </c>
      <c r="F143" s="3" t="s">
        <v>310</v>
      </c>
      <c r="G143" s="4">
        <v>3212402</v>
      </c>
      <c r="H143" s="4" t="s">
        <v>337</v>
      </c>
      <c r="I143" s="4">
        <v>3209305</v>
      </c>
    </row>
    <row r="144" spans="2:9" x14ac:dyDescent="0.3">
      <c r="B144" s="4"/>
      <c r="E144" s="42"/>
      <c r="F144" s="3" t="s">
        <v>418</v>
      </c>
      <c r="G144" s="4" t="s">
        <v>418</v>
      </c>
      <c r="H144" s="4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64</v>
      </c>
      <c r="E145" s="42">
        <v>4370907</v>
      </c>
      <c r="F145" s="3" t="s">
        <v>342</v>
      </c>
      <c r="G145" s="4">
        <v>3196501</v>
      </c>
      <c r="H145" s="4" t="s">
        <v>318</v>
      </c>
      <c r="I145" s="4">
        <v>3037401</v>
      </c>
    </row>
    <row r="146" spans="2:9" x14ac:dyDescent="0.3">
      <c r="B146" s="44">
        <v>46081</v>
      </c>
      <c r="C146" s="3" t="s">
        <v>416</v>
      </c>
      <c r="D146" s="3" t="s">
        <v>64</v>
      </c>
      <c r="E146" s="42">
        <v>4370907</v>
      </c>
      <c r="F146" s="3" t="s">
        <v>312</v>
      </c>
      <c r="G146" s="4">
        <v>3209107</v>
      </c>
      <c r="H146" s="4" t="s">
        <v>372</v>
      </c>
      <c r="I146" s="4">
        <v>3207703</v>
      </c>
    </row>
    <row r="147" spans="2:9" x14ac:dyDescent="0.3">
      <c r="B147" s="44">
        <v>46081</v>
      </c>
      <c r="C147" s="3" t="s">
        <v>416</v>
      </c>
      <c r="D147" s="3" t="s">
        <v>64</v>
      </c>
      <c r="E147" s="42">
        <v>4370907</v>
      </c>
      <c r="F147" s="3" t="s">
        <v>316</v>
      </c>
      <c r="G147" s="4">
        <v>3069105</v>
      </c>
      <c r="H147" s="4" t="s">
        <v>310</v>
      </c>
      <c r="I147" s="4">
        <v>3212402</v>
      </c>
    </row>
    <row r="148" spans="2:9" x14ac:dyDescent="0.3">
      <c r="B148" s="44">
        <v>46081</v>
      </c>
      <c r="C148" s="3" t="s">
        <v>416</v>
      </c>
      <c r="D148" s="3" t="s">
        <v>64</v>
      </c>
      <c r="E148" s="42">
        <v>4370907</v>
      </c>
      <c r="F148" s="3" t="s">
        <v>343</v>
      </c>
      <c r="G148" s="4">
        <v>3195606</v>
      </c>
      <c r="H148" s="4" t="s">
        <v>349</v>
      </c>
      <c r="I148" s="4">
        <v>3202500</v>
      </c>
    </row>
    <row r="149" spans="2:9" x14ac:dyDescent="0.3">
      <c r="B149" s="44">
        <v>46081</v>
      </c>
      <c r="C149" s="3" t="s">
        <v>416</v>
      </c>
      <c r="D149" s="3" t="s">
        <v>64</v>
      </c>
      <c r="E149" s="42">
        <v>4370907</v>
      </c>
      <c r="F149" s="3" t="s">
        <v>337</v>
      </c>
      <c r="G149" s="4">
        <v>3209305</v>
      </c>
      <c r="H149" s="4" t="s">
        <v>432</v>
      </c>
      <c r="I149" s="4">
        <v>3195106</v>
      </c>
    </row>
    <row r="150" spans="2:9" x14ac:dyDescent="0.3">
      <c r="B150" s="44">
        <v>46081</v>
      </c>
      <c r="C150" s="3" t="s">
        <v>416</v>
      </c>
      <c r="D150" s="3" t="s">
        <v>64</v>
      </c>
      <c r="E150" s="42">
        <v>4370907</v>
      </c>
      <c r="F150" s="3" t="s">
        <v>355</v>
      </c>
      <c r="G150" s="4">
        <v>3195002</v>
      </c>
      <c r="H150" s="4" t="s">
        <v>354</v>
      </c>
      <c r="I150" s="4">
        <v>3199404</v>
      </c>
    </row>
    <row r="151" spans="2:9" x14ac:dyDescent="0.3">
      <c r="B151" s="4"/>
      <c r="E151" s="42"/>
      <c r="F151" s="3" t="s">
        <v>418</v>
      </c>
      <c r="G151" s="4" t="s">
        <v>418</v>
      </c>
      <c r="H151" s="4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64</v>
      </c>
      <c r="E152" s="42">
        <v>4370907</v>
      </c>
      <c r="F152" s="3" t="s">
        <v>342</v>
      </c>
      <c r="G152" s="4">
        <v>3196501</v>
      </c>
      <c r="H152" s="4" t="s">
        <v>343</v>
      </c>
      <c r="I152" s="4">
        <v>3195606</v>
      </c>
    </row>
    <row r="153" spans="2:9" x14ac:dyDescent="0.3">
      <c r="B153" s="44">
        <v>46088</v>
      </c>
      <c r="C153" s="3" t="s">
        <v>416</v>
      </c>
      <c r="D153" s="3" t="s">
        <v>64</v>
      </c>
      <c r="E153" s="42">
        <v>4370907</v>
      </c>
      <c r="F153" s="3" t="s">
        <v>318</v>
      </c>
      <c r="G153" s="4">
        <v>3037401</v>
      </c>
      <c r="H153" s="4" t="s">
        <v>310</v>
      </c>
      <c r="I153" s="4">
        <v>3212402</v>
      </c>
    </row>
    <row r="154" spans="2:9" x14ac:dyDescent="0.3">
      <c r="B154" s="44">
        <v>46088</v>
      </c>
      <c r="C154" s="3" t="s">
        <v>416</v>
      </c>
      <c r="D154" s="3" t="s">
        <v>64</v>
      </c>
      <c r="E154" s="42">
        <v>4370907</v>
      </c>
      <c r="F154" s="3" t="s">
        <v>354</v>
      </c>
      <c r="G154" s="4">
        <v>3199404</v>
      </c>
      <c r="H154" s="4" t="s">
        <v>312</v>
      </c>
      <c r="I154" s="4">
        <v>3209107</v>
      </c>
    </row>
    <row r="155" spans="2:9" x14ac:dyDescent="0.3">
      <c r="B155" s="44">
        <v>46088</v>
      </c>
      <c r="C155" s="3" t="s">
        <v>416</v>
      </c>
      <c r="D155" s="3" t="s">
        <v>64</v>
      </c>
      <c r="E155" s="42">
        <v>4370907</v>
      </c>
      <c r="F155" s="3" t="s">
        <v>349</v>
      </c>
      <c r="G155" s="4">
        <v>3202500</v>
      </c>
      <c r="H155" s="4" t="s">
        <v>355</v>
      </c>
      <c r="I155" s="4">
        <v>3195002</v>
      </c>
    </row>
    <row r="156" spans="2:9" x14ac:dyDescent="0.3">
      <c r="B156" s="44">
        <v>46088</v>
      </c>
      <c r="C156" s="3" t="s">
        <v>416</v>
      </c>
      <c r="D156" s="3" t="s">
        <v>64</v>
      </c>
      <c r="E156" s="42">
        <v>4370907</v>
      </c>
      <c r="F156" s="3" t="s">
        <v>372</v>
      </c>
      <c r="G156" s="4">
        <v>3207703</v>
      </c>
      <c r="H156" s="4" t="s">
        <v>337</v>
      </c>
      <c r="I156" s="4">
        <v>3209305</v>
      </c>
    </row>
    <row r="157" spans="2:9" x14ac:dyDescent="0.3">
      <c r="B157" s="44">
        <v>46088</v>
      </c>
      <c r="C157" s="3" t="s">
        <v>416</v>
      </c>
      <c r="D157" s="3" t="s">
        <v>64</v>
      </c>
      <c r="E157" s="42">
        <v>4370907</v>
      </c>
      <c r="F157" s="3" t="s">
        <v>432</v>
      </c>
      <c r="G157" s="4">
        <v>3195106</v>
      </c>
      <c r="H157" s="4" t="s">
        <v>316</v>
      </c>
      <c r="I157" s="4">
        <v>3069105</v>
      </c>
    </row>
    <row r="158" spans="2:9" x14ac:dyDescent="0.3">
      <c r="B158" s="4"/>
      <c r="E158" s="42"/>
      <c r="F158" s="3" t="s">
        <v>418</v>
      </c>
      <c r="G158" s="4" t="s">
        <v>418</v>
      </c>
      <c r="H158" s="4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64</v>
      </c>
      <c r="E159" s="42">
        <v>4370907</v>
      </c>
      <c r="F159" s="3" t="s">
        <v>312</v>
      </c>
      <c r="G159" s="4">
        <v>3209107</v>
      </c>
      <c r="H159" s="4" t="s">
        <v>349</v>
      </c>
      <c r="I159" s="4">
        <v>3202500</v>
      </c>
    </row>
    <row r="160" spans="2:9" x14ac:dyDescent="0.3">
      <c r="B160" s="44">
        <v>46095</v>
      </c>
      <c r="C160" s="3" t="s">
        <v>416</v>
      </c>
      <c r="D160" s="3" t="s">
        <v>64</v>
      </c>
      <c r="E160" s="42">
        <v>4370907</v>
      </c>
      <c r="F160" s="3" t="s">
        <v>316</v>
      </c>
      <c r="G160" s="4">
        <v>3069105</v>
      </c>
      <c r="H160" s="4" t="s">
        <v>372</v>
      </c>
      <c r="I160" s="4">
        <v>3207703</v>
      </c>
    </row>
    <row r="161" spans="2:9" x14ac:dyDescent="0.3">
      <c r="B161" s="44">
        <v>46095</v>
      </c>
      <c r="C161" s="3" t="s">
        <v>416</v>
      </c>
      <c r="D161" s="3" t="s">
        <v>64</v>
      </c>
      <c r="E161" s="42">
        <v>4370907</v>
      </c>
      <c r="F161" s="3" t="s">
        <v>343</v>
      </c>
      <c r="G161" s="4">
        <v>3195606</v>
      </c>
      <c r="H161" s="4" t="s">
        <v>318</v>
      </c>
      <c r="I161" s="4">
        <v>3037401</v>
      </c>
    </row>
    <row r="162" spans="2:9" x14ac:dyDescent="0.3">
      <c r="B162" s="44">
        <v>46095</v>
      </c>
      <c r="C162" s="3" t="s">
        <v>416</v>
      </c>
      <c r="D162" s="3" t="s">
        <v>64</v>
      </c>
      <c r="E162" s="42">
        <v>4370907</v>
      </c>
      <c r="F162" s="3" t="s">
        <v>337</v>
      </c>
      <c r="G162" s="4">
        <v>3209305</v>
      </c>
      <c r="H162" s="4" t="s">
        <v>354</v>
      </c>
      <c r="I162" s="4">
        <v>3199404</v>
      </c>
    </row>
    <row r="163" spans="2:9" x14ac:dyDescent="0.3">
      <c r="B163" s="44">
        <v>46095</v>
      </c>
      <c r="C163" s="3" t="s">
        <v>416</v>
      </c>
      <c r="D163" s="3" t="s">
        <v>64</v>
      </c>
      <c r="E163" s="42">
        <v>4370907</v>
      </c>
      <c r="F163" s="3" t="s">
        <v>355</v>
      </c>
      <c r="G163" s="4">
        <v>3195002</v>
      </c>
      <c r="H163" s="4" t="s">
        <v>342</v>
      </c>
      <c r="I163" s="4">
        <v>3196501</v>
      </c>
    </row>
    <row r="164" spans="2:9" x14ac:dyDescent="0.3">
      <c r="B164" s="44">
        <v>46095</v>
      </c>
      <c r="C164" s="3" t="s">
        <v>416</v>
      </c>
      <c r="D164" s="3" t="s">
        <v>64</v>
      </c>
      <c r="E164" s="42">
        <v>4370907</v>
      </c>
      <c r="F164" s="3" t="s">
        <v>310</v>
      </c>
      <c r="G164" s="4">
        <v>3212402</v>
      </c>
      <c r="H164" s="4" t="s">
        <v>432</v>
      </c>
      <c r="I164" s="4">
        <v>3195106</v>
      </c>
    </row>
    <row r="165" spans="2:9" x14ac:dyDescent="0.3">
      <c r="B165" s="4"/>
      <c r="E165" s="42"/>
      <c r="F165" s="3" t="s">
        <v>418</v>
      </c>
      <c r="G165" s="4" t="s">
        <v>418</v>
      </c>
      <c r="H165" s="4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64</v>
      </c>
      <c r="E166" s="42">
        <v>4370907</v>
      </c>
      <c r="F166" s="3" t="s">
        <v>342</v>
      </c>
      <c r="G166" s="4">
        <v>3196501</v>
      </c>
      <c r="H166" s="4" t="s">
        <v>312</v>
      </c>
      <c r="I166" s="4">
        <v>3209107</v>
      </c>
    </row>
    <row r="167" spans="2:9" x14ac:dyDescent="0.3">
      <c r="B167" s="44">
        <v>46102</v>
      </c>
      <c r="C167" s="3" t="s">
        <v>416</v>
      </c>
      <c r="D167" s="3" t="s">
        <v>64</v>
      </c>
      <c r="E167" s="42">
        <v>4370907</v>
      </c>
      <c r="F167" s="3" t="s">
        <v>318</v>
      </c>
      <c r="G167" s="4">
        <v>3037401</v>
      </c>
      <c r="H167" s="4" t="s">
        <v>432</v>
      </c>
      <c r="I167" s="4">
        <v>3195106</v>
      </c>
    </row>
    <row r="168" spans="2:9" x14ac:dyDescent="0.3">
      <c r="B168" s="44">
        <v>46102</v>
      </c>
      <c r="C168" s="3" t="s">
        <v>416</v>
      </c>
      <c r="D168" s="3" t="s">
        <v>64</v>
      </c>
      <c r="E168" s="42">
        <v>4370907</v>
      </c>
      <c r="F168" s="3" t="s">
        <v>354</v>
      </c>
      <c r="G168" s="4">
        <v>3199404</v>
      </c>
      <c r="H168" s="4" t="s">
        <v>316</v>
      </c>
      <c r="I168" s="4">
        <v>3069105</v>
      </c>
    </row>
    <row r="169" spans="2:9" x14ac:dyDescent="0.3">
      <c r="B169" s="44">
        <v>46102</v>
      </c>
      <c r="C169" s="3" t="s">
        <v>416</v>
      </c>
      <c r="D169" s="3" t="s">
        <v>64</v>
      </c>
      <c r="E169" s="42">
        <v>4370907</v>
      </c>
      <c r="F169" s="3" t="s">
        <v>349</v>
      </c>
      <c r="G169" s="4">
        <v>3202500</v>
      </c>
      <c r="H169" s="4" t="s">
        <v>337</v>
      </c>
      <c r="I169" s="4">
        <v>3209305</v>
      </c>
    </row>
    <row r="170" spans="2:9" x14ac:dyDescent="0.3">
      <c r="B170" s="44">
        <v>46102</v>
      </c>
      <c r="C170" s="3" t="s">
        <v>416</v>
      </c>
      <c r="D170" s="3" t="s">
        <v>64</v>
      </c>
      <c r="E170" s="42">
        <v>4370907</v>
      </c>
      <c r="F170" s="3" t="s">
        <v>372</v>
      </c>
      <c r="G170" s="4">
        <v>3207703</v>
      </c>
      <c r="H170" s="4" t="s">
        <v>310</v>
      </c>
      <c r="I170" s="4">
        <v>3212402</v>
      </c>
    </row>
    <row r="171" spans="2:9" x14ac:dyDescent="0.3">
      <c r="B171" s="44">
        <v>46102</v>
      </c>
      <c r="C171" s="3" t="s">
        <v>416</v>
      </c>
      <c r="D171" s="3" t="s">
        <v>64</v>
      </c>
      <c r="E171" s="42">
        <v>4370907</v>
      </c>
      <c r="F171" s="3" t="s">
        <v>343</v>
      </c>
      <c r="G171" s="4">
        <v>3195606</v>
      </c>
      <c r="H171" s="4" t="s">
        <v>355</v>
      </c>
      <c r="I171" s="4">
        <v>3195002</v>
      </c>
    </row>
    <row r="172" spans="2:9" x14ac:dyDescent="0.3">
      <c r="B172" s="4"/>
      <c r="E172" s="42"/>
      <c r="F172" s="3" t="s">
        <v>418</v>
      </c>
      <c r="G172" s="4" t="s">
        <v>418</v>
      </c>
      <c r="H172" s="4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64</v>
      </c>
      <c r="E173" s="42">
        <v>4370907</v>
      </c>
      <c r="F173" s="3" t="s">
        <v>312</v>
      </c>
      <c r="G173" s="4">
        <v>3209107</v>
      </c>
      <c r="H173" s="4" t="s">
        <v>343</v>
      </c>
      <c r="I173" s="4">
        <v>3195606</v>
      </c>
    </row>
    <row r="174" spans="2:9" x14ac:dyDescent="0.3">
      <c r="B174" s="44">
        <v>46109</v>
      </c>
      <c r="C174" s="3" t="s">
        <v>416</v>
      </c>
      <c r="D174" s="3" t="s">
        <v>64</v>
      </c>
      <c r="E174" s="42">
        <v>4370907</v>
      </c>
      <c r="F174" s="3" t="s">
        <v>316</v>
      </c>
      <c r="G174" s="4">
        <v>3069105</v>
      </c>
      <c r="H174" s="4" t="s">
        <v>349</v>
      </c>
      <c r="I174" s="4">
        <v>3202500</v>
      </c>
    </row>
    <row r="175" spans="2:9" x14ac:dyDescent="0.3">
      <c r="B175" s="44">
        <v>46109</v>
      </c>
      <c r="C175" s="3" t="s">
        <v>416</v>
      </c>
      <c r="D175" s="3" t="s">
        <v>64</v>
      </c>
      <c r="E175" s="42">
        <v>4370907</v>
      </c>
      <c r="F175" s="3" t="s">
        <v>337</v>
      </c>
      <c r="G175" s="4">
        <v>3209305</v>
      </c>
      <c r="H175" s="4" t="s">
        <v>342</v>
      </c>
      <c r="I175" s="4">
        <v>3196501</v>
      </c>
    </row>
    <row r="176" spans="2:9" x14ac:dyDescent="0.3">
      <c r="B176" s="44">
        <v>46109</v>
      </c>
      <c r="C176" s="3" t="s">
        <v>416</v>
      </c>
      <c r="D176" s="3" t="s">
        <v>64</v>
      </c>
      <c r="E176" s="42">
        <v>4370907</v>
      </c>
      <c r="F176" s="3" t="s">
        <v>355</v>
      </c>
      <c r="G176" s="4">
        <v>3195002</v>
      </c>
      <c r="H176" s="4" t="s">
        <v>318</v>
      </c>
      <c r="I176" s="4">
        <v>3037401</v>
      </c>
    </row>
    <row r="177" spans="2:9" x14ac:dyDescent="0.3">
      <c r="B177" s="44">
        <v>46109</v>
      </c>
      <c r="C177" s="3" t="s">
        <v>416</v>
      </c>
      <c r="D177" s="3" t="s">
        <v>64</v>
      </c>
      <c r="E177" s="42">
        <v>4370907</v>
      </c>
      <c r="F177" s="3" t="s">
        <v>432</v>
      </c>
      <c r="G177" s="4">
        <v>3195106</v>
      </c>
      <c r="H177" s="4" t="s">
        <v>372</v>
      </c>
      <c r="I177" s="4">
        <v>3207703</v>
      </c>
    </row>
    <row r="178" spans="2:9" x14ac:dyDescent="0.3">
      <c r="B178" s="44">
        <v>46109</v>
      </c>
      <c r="C178" s="3" t="s">
        <v>416</v>
      </c>
      <c r="D178" s="3" t="s">
        <v>64</v>
      </c>
      <c r="E178" s="42">
        <v>4370907</v>
      </c>
      <c r="F178" s="3" t="s">
        <v>310</v>
      </c>
      <c r="G178" s="4">
        <v>3212402</v>
      </c>
      <c r="H178" s="4" t="s">
        <v>354</v>
      </c>
      <c r="I178" s="4">
        <v>3199404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4194" priority="272"/>
  </conditionalFormatting>
  <conditionalFormatting sqref="B10 B12:B15 B17:B18 B20:B21">
    <cfRule type="duplicateValues" dxfId="4193" priority="2132"/>
  </conditionalFormatting>
  <conditionalFormatting sqref="I33">
    <cfRule type="duplicateValues" dxfId="4192" priority="267"/>
  </conditionalFormatting>
  <conditionalFormatting sqref="I34">
    <cfRule type="duplicateValues" dxfId="4191" priority="146"/>
  </conditionalFormatting>
  <conditionalFormatting sqref="I35">
    <cfRule type="duplicateValues" dxfId="4190" priority="167"/>
  </conditionalFormatting>
  <conditionalFormatting sqref="I36">
    <cfRule type="duplicateValues" dxfId="4189" priority="229"/>
  </conditionalFormatting>
  <conditionalFormatting sqref="I37">
    <cfRule type="duplicateValues" dxfId="4188" priority="188"/>
  </conditionalFormatting>
  <conditionalFormatting sqref="I38">
    <cfRule type="duplicateValues" dxfId="4187" priority="208"/>
  </conditionalFormatting>
  <conditionalFormatting sqref="I40">
    <cfRule type="duplicateValues" dxfId="4186" priority="124"/>
  </conditionalFormatting>
  <conditionalFormatting sqref="I41">
    <cfRule type="duplicateValues" dxfId="4185" priority="266"/>
  </conditionalFormatting>
  <conditionalFormatting sqref="I42">
    <cfRule type="duplicateValues" dxfId="4184" priority="81"/>
  </conditionalFormatting>
  <conditionalFormatting sqref="I43">
    <cfRule type="duplicateValues" dxfId="4183" priority="60"/>
  </conditionalFormatting>
  <conditionalFormatting sqref="I44">
    <cfRule type="duplicateValues" dxfId="4182" priority="39"/>
  </conditionalFormatting>
  <conditionalFormatting sqref="I45">
    <cfRule type="duplicateValues" dxfId="4181" priority="102"/>
  </conditionalFormatting>
  <conditionalFormatting sqref="I47">
    <cfRule type="duplicateValues" dxfId="4180" priority="206"/>
  </conditionalFormatting>
  <conditionalFormatting sqref="I48">
    <cfRule type="duplicateValues" dxfId="4179" priority="122"/>
  </conditionalFormatting>
  <conditionalFormatting sqref="I49">
    <cfRule type="duplicateValues" dxfId="4178" priority="123"/>
  </conditionalFormatting>
  <conditionalFormatting sqref="I50">
    <cfRule type="duplicateValues" dxfId="4177" priority="186"/>
  </conditionalFormatting>
  <conditionalFormatting sqref="I51">
    <cfRule type="duplicateValues" dxfId="4176" priority="144"/>
  </conditionalFormatting>
  <conditionalFormatting sqref="I52">
    <cfRule type="duplicateValues" dxfId="4175" priority="165"/>
  </conditionalFormatting>
  <conditionalFormatting sqref="I54">
    <cfRule type="duplicateValues" dxfId="4174" priority="100"/>
  </conditionalFormatting>
  <conditionalFormatting sqref="I55">
    <cfRule type="duplicateValues" dxfId="4173" priority="37"/>
  </conditionalFormatting>
  <conditionalFormatting sqref="I56">
    <cfRule type="duplicateValues" dxfId="4172" priority="226"/>
  </conditionalFormatting>
  <conditionalFormatting sqref="I57">
    <cfRule type="duplicateValues" dxfId="4171" priority="264"/>
  </conditionalFormatting>
  <conditionalFormatting sqref="I58">
    <cfRule type="duplicateValues" dxfId="4170" priority="79"/>
  </conditionalFormatting>
  <conditionalFormatting sqref="I59">
    <cfRule type="duplicateValues" dxfId="4169" priority="58"/>
  </conditionalFormatting>
  <conditionalFormatting sqref="I61">
    <cfRule type="duplicateValues" dxfId="4168" priority="163"/>
  </conditionalFormatting>
  <conditionalFormatting sqref="I62">
    <cfRule type="duplicateValues" dxfId="4167" priority="184"/>
  </conditionalFormatting>
  <conditionalFormatting sqref="I63">
    <cfRule type="duplicateValues" dxfId="4166" priority="244"/>
  </conditionalFormatting>
  <conditionalFormatting sqref="I64">
    <cfRule type="duplicateValues" dxfId="4165" priority="142"/>
  </conditionalFormatting>
  <conditionalFormatting sqref="I65">
    <cfRule type="duplicateValues" dxfId="4164" priority="99"/>
  </conditionalFormatting>
  <conditionalFormatting sqref="I66">
    <cfRule type="duplicateValues" dxfId="4163" priority="120"/>
  </conditionalFormatting>
  <conditionalFormatting sqref="I68">
    <cfRule type="duplicateValues" dxfId="4162" priority="35"/>
  </conditionalFormatting>
  <conditionalFormatting sqref="I69">
    <cfRule type="duplicateValues" dxfId="4161" priority="77"/>
  </conditionalFormatting>
  <conditionalFormatting sqref="I70">
    <cfRule type="duplicateValues" dxfId="4160" priority="56"/>
  </conditionalFormatting>
  <conditionalFormatting sqref="I71">
    <cfRule type="duplicateValues" dxfId="4159" priority="203"/>
  </conditionalFormatting>
  <conditionalFormatting sqref="I72">
    <cfRule type="duplicateValues" dxfId="4158" priority="224"/>
  </conditionalFormatting>
  <conditionalFormatting sqref="I73">
    <cfRule type="duplicateValues" dxfId="4157" priority="262"/>
  </conditionalFormatting>
  <conditionalFormatting sqref="I75">
    <cfRule type="duplicateValues" dxfId="4156" priority="118"/>
  </conditionalFormatting>
  <conditionalFormatting sqref="I76">
    <cfRule type="duplicateValues" dxfId="4155" priority="140"/>
  </conditionalFormatting>
  <conditionalFormatting sqref="I77">
    <cfRule type="duplicateValues" dxfId="4154" priority="161"/>
  </conditionalFormatting>
  <conditionalFormatting sqref="I78">
    <cfRule type="duplicateValues" dxfId="4153" priority="242"/>
  </conditionalFormatting>
  <conditionalFormatting sqref="I79">
    <cfRule type="duplicateValues" dxfId="4152" priority="97"/>
  </conditionalFormatting>
  <conditionalFormatting sqref="I80">
    <cfRule type="duplicateValues" dxfId="4151" priority="34"/>
  </conditionalFormatting>
  <conditionalFormatting sqref="I82">
    <cfRule type="duplicateValues" dxfId="4150" priority="54"/>
  </conditionalFormatting>
  <conditionalFormatting sqref="I83">
    <cfRule type="duplicateValues" dxfId="4149" priority="222"/>
  </conditionalFormatting>
  <conditionalFormatting sqref="I84">
    <cfRule type="duplicateValues" dxfId="4148" priority="260"/>
  </conditionalFormatting>
  <conditionalFormatting sqref="I85">
    <cfRule type="duplicateValues" dxfId="4147" priority="181"/>
  </conditionalFormatting>
  <conditionalFormatting sqref="I86">
    <cfRule type="duplicateValues" dxfId="4146" priority="201"/>
  </conditionalFormatting>
  <conditionalFormatting sqref="I87">
    <cfRule type="duplicateValues" dxfId="4145" priority="75"/>
  </conditionalFormatting>
  <conditionalFormatting sqref="I89">
    <cfRule type="duplicateValues" dxfId="4144" priority="32"/>
  </conditionalFormatting>
  <conditionalFormatting sqref="I90">
    <cfRule type="duplicateValues" dxfId="4143" priority="95"/>
  </conditionalFormatting>
  <conditionalFormatting sqref="I91">
    <cfRule type="duplicateValues" dxfId="4142" priority="116"/>
  </conditionalFormatting>
  <conditionalFormatting sqref="I92">
    <cfRule type="duplicateValues" dxfId="4141" priority="138"/>
  </conditionalFormatting>
  <conditionalFormatting sqref="I93">
    <cfRule type="duplicateValues" dxfId="4140" priority="240"/>
  </conditionalFormatting>
  <conditionalFormatting sqref="I94">
    <cfRule type="duplicateValues" dxfId="4139" priority="53"/>
  </conditionalFormatting>
  <conditionalFormatting sqref="I96">
    <cfRule type="duplicateValues" dxfId="4138" priority="73"/>
  </conditionalFormatting>
  <conditionalFormatting sqref="I97">
    <cfRule type="duplicateValues" dxfId="4137" priority="179"/>
  </conditionalFormatting>
  <conditionalFormatting sqref="I98">
    <cfRule type="duplicateValues" dxfId="4136" priority="200"/>
  </conditionalFormatting>
  <conditionalFormatting sqref="I99">
    <cfRule type="duplicateValues" dxfId="4135" priority="158"/>
  </conditionalFormatting>
  <conditionalFormatting sqref="I100">
    <cfRule type="duplicateValues" dxfId="4134" priority="220"/>
  </conditionalFormatting>
  <conditionalFormatting sqref="I101">
    <cfRule type="duplicateValues" dxfId="4133" priority="18"/>
  </conditionalFormatting>
  <conditionalFormatting sqref="I103">
    <cfRule type="duplicateValues" dxfId="4132" priority="136"/>
  </conditionalFormatting>
  <conditionalFormatting sqref="I104">
    <cfRule type="duplicateValues" dxfId="4131" priority="157"/>
  </conditionalFormatting>
  <conditionalFormatting sqref="I105">
    <cfRule type="duplicateValues" dxfId="4130" priority="178"/>
  </conditionalFormatting>
  <conditionalFormatting sqref="I106">
    <cfRule type="duplicateValues" dxfId="4129" priority="257"/>
  </conditionalFormatting>
  <conditionalFormatting sqref="I107">
    <cfRule type="duplicateValues" dxfId="4128" priority="199"/>
  </conditionalFormatting>
  <conditionalFormatting sqref="I108">
    <cfRule type="duplicateValues" dxfId="4127" priority="219"/>
  </conditionalFormatting>
  <conditionalFormatting sqref="I110">
    <cfRule type="duplicateValues" dxfId="4126" priority="237"/>
  </conditionalFormatting>
  <conditionalFormatting sqref="I111">
    <cfRule type="duplicateValues" dxfId="4125" priority="71"/>
  </conditionalFormatting>
  <conditionalFormatting sqref="I112">
    <cfRule type="duplicateValues" dxfId="4124" priority="50"/>
  </conditionalFormatting>
  <conditionalFormatting sqref="I113">
    <cfRule type="duplicateValues" dxfId="4123" priority="29"/>
  </conditionalFormatting>
  <conditionalFormatting sqref="I114">
    <cfRule type="duplicateValues" dxfId="4122" priority="92"/>
  </conditionalFormatting>
  <conditionalFormatting sqref="I115">
    <cfRule type="duplicateValues" dxfId="4121" priority="113"/>
  </conditionalFormatting>
  <conditionalFormatting sqref="I117">
    <cfRule type="duplicateValues" dxfId="4120" priority="218"/>
  </conditionalFormatting>
  <conditionalFormatting sqref="I118">
    <cfRule type="duplicateValues" dxfId="4119" priority="17"/>
  </conditionalFormatting>
  <conditionalFormatting sqref="I119">
    <cfRule type="duplicateValues" dxfId="4118" priority="134"/>
  </conditionalFormatting>
  <conditionalFormatting sqref="I120">
    <cfRule type="duplicateValues" dxfId="4117" priority="197"/>
  </conditionalFormatting>
  <conditionalFormatting sqref="I121">
    <cfRule type="duplicateValues" dxfId="4116" priority="155"/>
  </conditionalFormatting>
  <conditionalFormatting sqref="I122">
    <cfRule type="duplicateValues" dxfId="4115" priority="176"/>
  </conditionalFormatting>
  <conditionalFormatting sqref="I124">
    <cfRule type="duplicateValues" dxfId="4114" priority="216"/>
  </conditionalFormatting>
  <conditionalFormatting sqref="I125">
    <cfRule type="duplicateValues" dxfId="4113" priority="90"/>
  </conditionalFormatting>
  <conditionalFormatting sqref="I126">
    <cfRule type="duplicateValues" dxfId="4112" priority="255"/>
  </conditionalFormatting>
  <conditionalFormatting sqref="I127">
    <cfRule type="duplicateValues" dxfId="4111" priority="69"/>
  </conditionalFormatting>
  <conditionalFormatting sqref="I128">
    <cfRule type="duplicateValues" dxfId="4110" priority="48"/>
  </conditionalFormatting>
  <conditionalFormatting sqref="I129">
    <cfRule type="duplicateValues" dxfId="4109" priority="27"/>
  </conditionalFormatting>
  <conditionalFormatting sqref="I131">
    <cfRule type="duplicateValues" dxfId="4108" priority="174"/>
  </conditionalFormatting>
  <conditionalFormatting sqref="I132">
    <cfRule type="duplicateValues" dxfId="4107" priority="195"/>
  </conditionalFormatting>
  <conditionalFormatting sqref="I133">
    <cfRule type="duplicateValues" dxfId="4106" priority="16"/>
  </conditionalFormatting>
  <conditionalFormatting sqref="I134">
    <cfRule type="duplicateValues" dxfId="4105" priority="153"/>
  </conditionalFormatting>
  <conditionalFormatting sqref="I135">
    <cfRule type="duplicateValues" dxfId="4104" priority="110"/>
  </conditionalFormatting>
  <conditionalFormatting sqref="I136">
    <cfRule type="duplicateValues" dxfId="4103" priority="133"/>
  </conditionalFormatting>
  <conditionalFormatting sqref="I138">
    <cfRule type="duplicateValues" dxfId="4102" priority="194"/>
  </conditionalFormatting>
  <conditionalFormatting sqref="I139">
    <cfRule type="duplicateValues" dxfId="4101" priority="46"/>
  </conditionalFormatting>
  <conditionalFormatting sqref="I140">
    <cfRule type="duplicateValues" dxfId="4100" priority="25"/>
  </conditionalFormatting>
  <conditionalFormatting sqref="I141">
    <cfRule type="duplicateValues" dxfId="4099" priority="214"/>
  </conditionalFormatting>
  <conditionalFormatting sqref="I142">
    <cfRule type="duplicateValues" dxfId="4098" priority="253"/>
  </conditionalFormatting>
  <conditionalFormatting sqref="I143">
    <cfRule type="duplicateValues" dxfId="4097" priority="67"/>
  </conditionalFormatting>
  <conditionalFormatting sqref="I145">
    <cfRule type="duplicateValues" dxfId="4096" priority="130"/>
  </conditionalFormatting>
  <conditionalFormatting sqref="I146">
    <cfRule type="duplicateValues" dxfId="4095" priority="151"/>
  </conditionalFormatting>
  <conditionalFormatting sqref="I147">
    <cfRule type="duplicateValues" dxfId="4094" priority="172"/>
  </conditionalFormatting>
  <conditionalFormatting sqref="I148">
    <cfRule type="duplicateValues" dxfId="4093" priority="108"/>
  </conditionalFormatting>
  <conditionalFormatting sqref="I149">
    <cfRule type="duplicateValues" dxfId="4092" priority="233"/>
  </conditionalFormatting>
  <conditionalFormatting sqref="I150">
    <cfRule type="duplicateValues" dxfId="4091" priority="87"/>
  </conditionalFormatting>
  <conditionalFormatting sqref="I152">
    <cfRule type="duplicateValues" dxfId="4090" priority="171"/>
  </conditionalFormatting>
  <conditionalFormatting sqref="I153">
    <cfRule type="duplicateValues" dxfId="4089" priority="251"/>
  </conditionalFormatting>
  <conditionalFormatting sqref="I154">
    <cfRule type="duplicateValues" dxfId="4088" priority="65"/>
  </conditionalFormatting>
  <conditionalFormatting sqref="I155">
    <cfRule type="duplicateValues" dxfId="4087" priority="192"/>
  </conditionalFormatting>
  <conditionalFormatting sqref="I156">
    <cfRule type="duplicateValues" dxfId="4086" priority="212"/>
  </conditionalFormatting>
  <conditionalFormatting sqref="I157">
    <cfRule type="duplicateValues" dxfId="4085" priority="44"/>
  </conditionalFormatting>
  <conditionalFormatting sqref="I159">
    <cfRule type="duplicateValues" dxfId="4084" priority="85"/>
  </conditionalFormatting>
  <conditionalFormatting sqref="I160">
    <cfRule type="duplicateValues" dxfId="4083" priority="106"/>
  </conditionalFormatting>
  <conditionalFormatting sqref="I161">
    <cfRule type="duplicateValues" dxfId="4082" priority="128"/>
  </conditionalFormatting>
  <conditionalFormatting sqref="I162">
    <cfRule type="duplicateValues" dxfId="4081" priority="149"/>
  </conditionalFormatting>
  <conditionalFormatting sqref="I163">
    <cfRule type="duplicateValues" dxfId="4080" priority="22"/>
  </conditionalFormatting>
  <conditionalFormatting sqref="I164">
    <cfRule type="duplicateValues" dxfId="4079" priority="231"/>
  </conditionalFormatting>
  <conditionalFormatting sqref="I166">
    <cfRule type="duplicateValues" dxfId="4078" priority="148"/>
  </conditionalFormatting>
  <conditionalFormatting sqref="I167">
    <cfRule type="duplicateValues" dxfId="4077" priority="190"/>
  </conditionalFormatting>
  <conditionalFormatting sqref="I168">
    <cfRule type="duplicateValues" dxfId="4076" priority="210"/>
  </conditionalFormatting>
  <conditionalFormatting sqref="I169">
    <cfRule type="duplicateValues" dxfId="4075" priority="169"/>
  </conditionalFormatting>
  <conditionalFormatting sqref="I170">
    <cfRule type="duplicateValues" dxfId="4074" priority="249"/>
  </conditionalFormatting>
  <conditionalFormatting sqref="I171">
    <cfRule type="duplicateValues" dxfId="4073" priority="63"/>
  </conditionalFormatting>
  <conditionalFormatting sqref="I173">
    <cfRule type="duplicateValues" dxfId="4072" priority="41"/>
  </conditionalFormatting>
  <conditionalFormatting sqref="I174">
    <cfRule type="duplicateValues" dxfId="4071" priority="20"/>
  </conditionalFormatting>
  <conditionalFormatting sqref="I175">
    <cfRule type="duplicateValues" dxfId="4070" priority="83"/>
  </conditionalFormatting>
  <conditionalFormatting sqref="I176">
    <cfRule type="duplicateValues" dxfId="4069" priority="104"/>
  </conditionalFormatting>
  <conditionalFormatting sqref="I177">
    <cfRule type="duplicateValues" dxfId="4068" priority="126"/>
  </conditionalFormatting>
  <conditionalFormatting sqref="I178">
    <cfRule type="duplicateValues" dxfId="4067" priority="230"/>
  </conditionalFormatting>
  <conditionalFormatting sqref="I5:I8">
    <cfRule type="duplicateValues" dxfId="4066" priority="2129"/>
  </conditionalFormatting>
  <conditionalFormatting sqref="I26:I31">
    <cfRule type="duplicateValues" dxfId="4065" priority="12"/>
  </conditionalFormatting>
  <conditionalFormatting sqref="K3:K4 K7:K8">
    <cfRule type="duplicateValues" dxfId="4064" priority="2131"/>
  </conditionalFormatting>
  <conditionalFormatting sqref="K5">
    <cfRule type="duplicateValues" dxfId="4063" priority="270"/>
  </conditionalFormatting>
  <conditionalFormatting sqref="I10:L21">
    <cfRule type="cellIs" dxfId="4062" priority="7" operator="lessThan">
      <formula>5</formula>
    </cfRule>
    <cfRule type="cellIs" dxfId="4061" priority="8" operator="greaterThan">
      <formula>6</formula>
    </cfRule>
  </conditionalFormatting>
  <conditionalFormatting sqref="J10:J21">
    <cfRule type="containsText" dxfId="4060" priority="11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4059" priority="10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4058" priority="9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4057" priority="6" operator="containsText" text="c'[Fixtures All.xlsx]Women Filtered'!$F$2">
      <formula>NOT(ISERROR(SEARCH("c'[Fixtures All.xlsx]Women Filtered'!$F$2",J10)))</formula>
    </cfRule>
  </conditionalFormatting>
  <hyperlinks>
    <hyperlink ref="K3" location="Contents!A1" display="Back to Contents" xr:uid="{5962BAC8-8A06-44A5-A062-1B78F2B84C62}"/>
    <hyperlink ref="K5:K6" location="'All Fixtures'!A1" display="See all NW Fixtures" xr:uid="{5212F96A-437E-408C-9694-6097808D284F}"/>
  </hyperlinks>
  <pageMargins left="0.7" right="0.7" top="0.75" bottom="0.75" header="0.3" footer="0.3"/>
  <ignoredErrors>
    <ignoredError sqref="J10:J21" formula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35B62-C406-481A-96DC-8315510E5D13}">
  <dimension ref="A2:AQ180"/>
  <sheetViews>
    <sheetView workbookViewId="0"/>
  </sheetViews>
  <sheetFormatPr defaultRowHeight="14.4" x14ac:dyDescent="0.3"/>
  <cols>
    <col min="1" max="1" width="4.109375" style="47" customWidth="1"/>
    <col min="2" max="2" width="26" style="3" customWidth="1"/>
    <col min="3" max="3" width="27.6640625" style="3" customWidth="1"/>
    <col min="4" max="4" width="34.21875" style="3" customWidth="1"/>
    <col min="5" max="5" width="15.77734375" style="3" customWidth="1"/>
    <col min="6" max="6" width="26.44140625" style="3" customWidth="1"/>
    <col min="7" max="7" width="13.44140625" style="4" customWidth="1"/>
    <col min="8" max="8" width="26.44140625" style="3" customWidth="1"/>
    <col min="9" max="9" width="8.88671875" style="4"/>
    <col min="10" max="10" width="8.44140625" style="3" customWidth="1"/>
    <col min="11" max="11" width="17.77734375" style="51" customWidth="1"/>
    <col min="12" max="43" width="8.88671875" style="3"/>
  </cols>
  <sheetData>
    <row r="2" spans="1:43" ht="15" thickBot="1" x14ac:dyDescent="0.35"/>
    <row r="3" spans="1:43" ht="37.200000000000003" thickBot="1" x14ac:dyDescent="0.75">
      <c r="E3" s="16" t="s">
        <v>65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ht="15" customHeight="1" x14ac:dyDescent="0.4">
      <c r="B9" s="21" t="s">
        <v>85</v>
      </c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43" s="76" customFormat="1" ht="15" customHeight="1" x14ac:dyDescent="0.3">
      <c r="A10" s="47">
        <f>COUNTIF(F$26:H$178,"Bolton 2 (W)")</f>
        <v>22</v>
      </c>
      <c r="B10" s="105" t="s">
        <v>451</v>
      </c>
      <c r="C10" s="74">
        <v>3211309</v>
      </c>
      <c r="D10" s="57">
        <f>COUNTIF(F$26:I$178,"3211309")</f>
        <v>22</v>
      </c>
      <c r="E10" s="47"/>
      <c r="F10" s="57">
        <f>COUNTIF(F$26:F$178,"Bolton 2 (W)")</f>
        <v>11</v>
      </c>
      <c r="G10" s="57"/>
      <c r="H10" s="57">
        <f>COUNTIF(H$26:H$178,"Bolton 2 (W)")</f>
        <v>11</v>
      </c>
      <c r="I10" s="57">
        <f>COUNTIF(F$26:F$101,"Bolton 2 (W)")</f>
        <v>6</v>
      </c>
      <c r="J10" s="57">
        <f>COUNTIF(F$102:F$178,"Bolton 2 (W)")</f>
        <v>5</v>
      </c>
      <c r="K10" s="57">
        <f>COUNTIF(H$26:H$101,"Bolton 2 (W)")</f>
        <v>5</v>
      </c>
      <c r="L10" s="57">
        <f>COUNTIF(H$102:H$178,"Bolton 2 (W)")</f>
        <v>6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s="76" customFormat="1" ht="15" customHeight="1" x14ac:dyDescent="0.3">
      <c r="A11" s="47">
        <f>COUNTIF(F$26:H$178,"Bowdon 6 (W)")</f>
        <v>22</v>
      </c>
      <c r="B11" s="15" t="s">
        <v>320</v>
      </c>
      <c r="C11" s="74">
        <v>3210602</v>
      </c>
      <c r="D11" s="57">
        <f>COUNTIF(F$26:I$178,"3210602")</f>
        <v>22</v>
      </c>
      <c r="E11" s="47"/>
      <c r="F11" s="57">
        <f>COUNTIF(F$26:F$178,"Bowdon 6 (W)")</f>
        <v>11</v>
      </c>
      <c r="G11" s="57"/>
      <c r="H11" s="57">
        <f>COUNTIF(H$26:H$178,"Bowdon 6 (W)")</f>
        <v>11</v>
      </c>
      <c r="I11" s="57">
        <f>COUNTIF(F$26:F$101,"Bowdon 6 (W)")</f>
        <v>6</v>
      </c>
      <c r="J11" s="57">
        <f>COUNTIF(F$102:F$178,"Bowdon 6 (W)")</f>
        <v>5</v>
      </c>
      <c r="K11" s="57">
        <f>COUNTIF(H$26:H$101,"Bowdon 6 (W)")</f>
        <v>5</v>
      </c>
      <c r="L11" s="57">
        <f>COUNTIF(H$102:H$178,"Bowdon 6 (W)")</f>
        <v>6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s="76" customFormat="1" ht="15" customHeight="1" x14ac:dyDescent="0.3">
      <c r="A12" s="47">
        <f>COUNTIF(F$26:H$178,"City of Manchester 3 (W)")</f>
        <v>22</v>
      </c>
      <c r="B12" s="4" t="s">
        <v>356</v>
      </c>
      <c r="C12" s="74">
        <v>3208608</v>
      </c>
      <c r="D12" s="57">
        <f>COUNTIF(F$26:I$178,"3208608")</f>
        <v>22</v>
      </c>
      <c r="E12" s="47"/>
      <c r="F12" s="57">
        <f>COUNTIF(F$26:F$178,"City of Manchester 3 (W)")</f>
        <v>11</v>
      </c>
      <c r="G12" s="47"/>
      <c r="H12" s="57">
        <f>COUNTIF(H$26:H$178,"City of Manchester 3 (W)")</f>
        <v>11</v>
      </c>
      <c r="I12" s="57">
        <f>COUNTIF(F$26:F$101,"City of Manchester 3 (W)")</f>
        <v>6</v>
      </c>
      <c r="J12" s="57">
        <f>COUNTIF(F$102:F$178,"City of Manchester 3 (W)")</f>
        <v>5</v>
      </c>
      <c r="K12" s="57">
        <f>COUNTIF(H$26:H$101,"City of Manchester 3 (W)")</f>
        <v>5</v>
      </c>
      <c r="L12" s="57">
        <f>COUNTIF(H$102:H$178,"City of Manchester 3 (W)")</f>
        <v>6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s="76" customFormat="1" ht="15" customHeight="1" x14ac:dyDescent="0.3">
      <c r="A13" s="47">
        <f>COUNTIF(F$26:H$178,"Didsbury Greys 3 (W)")</f>
        <v>22</v>
      </c>
      <c r="B13" s="105" t="s">
        <v>357</v>
      </c>
      <c r="C13" s="74">
        <v>3206704</v>
      </c>
      <c r="D13" s="57">
        <f>COUNTIF(F$26:I$178,"3206704")</f>
        <v>22</v>
      </c>
      <c r="E13" s="47"/>
      <c r="F13" s="57">
        <f>COUNTIF(F$26:F$178,"Didsbury Greys 3 (W)")</f>
        <v>11</v>
      </c>
      <c r="G13" s="57"/>
      <c r="H13" s="57">
        <f>COUNTIF(H$26:H$178,"Didsbury Greys 3 (W)")</f>
        <v>11</v>
      </c>
      <c r="I13" s="57">
        <f>COUNTIF(F$26:F$101,"Didsbury Greys 3 (W)")</f>
        <v>6</v>
      </c>
      <c r="J13" s="57">
        <f>COUNTIF(F$102:F$178,"Didsbury Greys 3 (W)")</f>
        <v>5</v>
      </c>
      <c r="K13" s="57">
        <f>COUNTIF(H$26:H$101,"Didsbury Greys 3 (W)")</f>
        <v>5</v>
      </c>
      <c r="L13" s="57">
        <f>COUNTIF(H$102:H$178,"Didsbury Greys 3 (W)")</f>
        <v>6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s="76" customFormat="1" ht="15" customHeight="1" x14ac:dyDescent="0.3">
      <c r="A14" s="47">
        <f>COUNTIF(F$26:H$178,"Didsbury Northern 6 (W)")</f>
        <v>22</v>
      </c>
      <c r="B14" s="105" t="s">
        <v>358</v>
      </c>
      <c r="C14" s="74">
        <v>3206402</v>
      </c>
      <c r="D14" s="57">
        <f>COUNTIF(F$26:I$178,"3206402")</f>
        <v>22</v>
      </c>
      <c r="E14" s="47"/>
      <c r="F14" s="57">
        <f>COUNTIF(F$26:F$178,"Didsbury Northern 6 (W)")</f>
        <v>11</v>
      </c>
      <c r="G14" s="57"/>
      <c r="H14" s="57">
        <f>COUNTIF(H$26:H$178,"Didsbury Northern 6 (W)")</f>
        <v>11</v>
      </c>
      <c r="I14" s="57">
        <f>COUNTIF(F$26:F$101,"Didsbury Northern 6 (W)")</f>
        <v>5</v>
      </c>
      <c r="J14" s="57">
        <f>COUNTIF(F$102:F$178,"Didsbury Northern 6 (W)")</f>
        <v>6</v>
      </c>
      <c r="K14" s="57">
        <f>COUNTIF(H$26:H$101,"Didsbury Northern 6 (W)")</f>
        <v>6</v>
      </c>
      <c r="L14" s="57">
        <f>COUNTIF(H$102:H$178,"Didsbury Northern 6 (W)")</f>
        <v>5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s="76" customFormat="1" ht="15" customHeight="1" x14ac:dyDescent="0.3">
      <c r="A15" s="47">
        <f>COUNTIF(F$26:H$178,"Glossop 1 (W)")</f>
        <v>22</v>
      </c>
      <c r="B15" s="105" t="s">
        <v>359</v>
      </c>
      <c r="C15" s="74">
        <v>3204602</v>
      </c>
      <c r="D15" s="57">
        <f>COUNTIF(F$26:I$178,"3204602")</f>
        <v>22</v>
      </c>
      <c r="E15" s="47"/>
      <c r="F15" s="57">
        <f>COUNTIF(F$26:F$178,"Glossop 1 (W)")</f>
        <v>11</v>
      </c>
      <c r="G15" s="57"/>
      <c r="H15" s="57">
        <f>COUNTIF(H$26:H$178,"Glossop 1 (W)")</f>
        <v>11</v>
      </c>
      <c r="I15" s="57">
        <f>COUNTIF(F$26:F$101,"Glossop 1 (W)")</f>
        <v>5</v>
      </c>
      <c r="J15" s="57">
        <f>COUNTIF(F$102:F$178,"Glossop 1 (W)")</f>
        <v>6</v>
      </c>
      <c r="K15" s="57">
        <f>COUNTIF(H$26:H$101,"Glossop 1 (W)")</f>
        <v>6</v>
      </c>
      <c r="L15" s="57">
        <f>COUNTIF(H$102:H$178,"Glossop 1 (W)")</f>
        <v>5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s="76" customFormat="1" ht="15" customHeight="1" x14ac:dyDescent="0.3">
      <c r="A16" s="47">
        <f>COUNTIF(F$26:H$178,"Manchester Moss Park 2 (W)")</f>
        <v>22</v>
      </c>
      <c r="B16" s="15" t="s">
        <v>325</v>
      </c>
      <c r="C16" s="74">
        <v>3201501</v>
      </c>
      <c r="D16" s="57">
        <f>COUNTIF(F$26:I$178,"3201501")</f>
        <v>22</v>
      </c>
      <c r="E16" s="47"/>
      <c r="F16" s="57">
        <f>COUNTIF(F$26:F$178,"Manchester Moss Park 2 (W)")</f>
        <v>11</v>
      </c>
      <c r="G16" s="57"/>
      <c r="H16" s="57">
        <f>COUNTIF(H$26:H$178,"Manchester Moss Park 2 (W)")</f>
        <v>11</v>
      </c>
      <c r="I16" s="57">
        <f>COUNTIF(F$26:F$101,"Manchester Moss Park 2 (W)")</f>
        <v>6</v>
      </c>
      <c r="J16" s="57">
        <f>COUNTIF(F$102:F$178,"Manchester Moss Park 2 (W)")</f>
        <v>5</v>
      </c>
      <c r="K16" s="57">
        <f>COUNTIF(H$26:H$101,"Manchester Moss Park 2 (W)")</f>
        <v>5</v>
      </c>
      <c r="L16" s="57">
        <f>COUNTIF(H$102:H$178,"Manchester Moss Park 2 (W)")</f>
        <v>6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s="76" customFormat="1" x14ac:dyDescent="0.3">
      <c r="A17" s="47">
        <f>COUNTIF(F$26:H$178,"Oldham 2 (W)")</f>
        <v>22</v>
      </c>
      <c r="B17" s="15" t="s">
        <v>326</v>
      </c>
      <c r="C17" s="74">
        <v>3199904</v>
      </c>
      <c r="D17" s="57">
        <f>COUNTIF(F$26:I$178,"3199904")</f>
        <v>22</v>
      </c>
      <c r="E17" s="47"/>
      <c r="F17" s="57">
        <f>COUNTIF(F$26:F$178,"Oldham 2 (W)")</f>
        <v>11</v>
      </c>
      <c r="G17" s="57"/>
      <c r="H17" s="57">
        <f>COUNTIF(H$26:H$178,"Oldham 2 (W)")</f>
        <v>11</v>
      </c>
      <c r="I17" s="57">
        <f>COUNTIF(F$26:F$101,"Oldham 2 (W)")</f>
        <v>6</v>
      </c>
      <c r="J17" s="57">
        <f>COUNTIF(F$102:F$178,"Oldham 2 (W)")</f>
        <v>5</v>
      </c>
      <c r="K17" s="57">
        <f>COUNTIF(H$26:H$101,"Oldham 2 (W)")</f>
        <v>5</v>
      </c>
      <c r="L17" s="57">
        <f>COUNTIF(H$102:H$178,"Oldham 2 (W)")</f>
        <v>6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s="76" customFormat="1" x14ac:dyDescent="0.3">
      <c r="A18" s="47">
        <f>COUNTIF(F$26:H$178,"Rochdale 1 (W)")</f>
        <v>22</v>
      </c>
      <c r="B18" s="105" t="s">
        <v>452</v>
      </c>
      <c r="C18" s="74">
        <v>3198207</v>
      </c>
      <c r="D18" s="57">
        <f>COUNTIF(F$26:I$178,"3198207")</f>
        <v>22</v>
      </c>
      <c r="E18" s="47"/>
      <c r="F18" s="57">
        <f>COUNTIF(F$26:F$178,"Rochdale 1 (W)")</f>
        <v>11</v>
      </c>
      <c r="G18" s="57"/>
      <c r="H18" s="57">
        <f>COUNTIF(H$26:H$178,"Rochdale 1 (W)")</f>
        <v>11</v>
      </c>
      <c r="I18" s="57">
        <f>COUNTIF(F$26:F$101,"Rochdale 1 (W)")</f>
        <v>5</v>
      </c>
      <c r="J18" s="57">
        <f>COUNTIF(F$102:F$178,"Rochdale 1 (W)")</f>
        <v>6</v>
      </c>
      <c r="K18" s="57">
        <f>COUNTIF(H$26:H$101,"Rochdale 1 (W)")</f>
        <v>6</v>
      </c>
      <c r="L18" s="57">
        <f>COUNTIF(H$102:H$178,"Rochdale 1 (W)")</f>
        <v>5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s="76" customFormat="1" x14ac:dyDescent="0.3">
      <c r="A19" s="47">
        <f>COUNTIF(F$26:H$178,"Sale 2 (W)")</f>
        <v>22</v>
      </c>
      <c r="B19" s="15" t="s">
        <v>327</v>
      </c>
      <c r="C19" s="74">
        <v>3198603</v>
      </c>
      <c r="D19" s="57">
        <f>COUNTIF(F$26:I$178,"3198603")</f>
        <v>22</v>
      </c>
      <c r="E19" s="47"/>
      <c r="F19" s="57">
        <f>COUNTIF(F$26:F$178,"Sale 2 (W)")</f>
        <v>11</v>
      </c>
      <c r="G19" s="57"/>
      <c r="H19" s="57">
        <f>COUNTIF(H$26:H$178,"Sale 2 (W)")</f>
        <v>11</v>
      </c>
      <c r="I19" s="57">
        <f>COUNTIF(F$26:F$101,"Sale 2 (W)")</f>
        <v>5</v>
      </c>
      <c r="J19" s="57">
        <f>COUNTIF(F$102:F$178,"Sale 2 (W)")</f>
        <v>6</v>
      </c>
      <c r="K19" s="57">
        <f>COUNTIF(H$26:H$101,"Sale 2 (W)")</f>
        <v>6</v>
      </c>
      <c r="L19" s="57">
        <f>COUNTIF(H$102:H$178,"Sale 2 (W)")</f>
        <v>5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s="76" customFormat="1" x14ac:dyDescent="0.3">
      <c r="A20" s="47">
        <f>COUNTIF(F$26:H$178,"Stockport Bramhall 2 (W)")</f>
        <v>22</v>
      </c>
      <c r="B20" s="105" t="s">
        <v>290</v>
      </c>
      <c r="C20" s="74">
        <v>3197500</v>
      </c>
      <c r="D20" s="57">
        <f>COUNTIF(F$26:I$178,"3197500")</f>
        <v>22</v>
      </c>
      <c r="E20" s="47"/>
      <c r="F20" s="57">
        <f>COUNTIF(F$26:F$178,"Stockport Bramhall 2 (W)")</f>
        <v>11</v>
      </c>
      <c r="G20" s="57"/>
      <c r="H20" s="57">
        <f>COUNTIF(H$26:H$178,"Stockport Bramhall 2 (W)")</f>
        <v>11</v>
      </c>
      <c r="I20" s="57">
        <f>COUNTIF(F$26:F$101,"Stockport Bramhall 2 (W)")</f>
        <v>5</v>
      </c>
      <c r="J20" s="57">
        <f>COUNTIF(F$102:F$178,"Stockport Bramhall 2 (W)")</f>
        <v>6</v>
      </c>
      <c r="K20" s="57">
        <f>COUNTIF(H$26:H$101,"Stockport Bramhall 2 (W)")</f>
        <v>6</v>
      </c>
      <c r="L20" s="57">
        <f>COUNTIF(H$102:H$178,"Stockport Bramhall 2 (W)")</f>
        <v>5</v>
      </c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s="76" customFormat="1" x14ac:dyDescent="0.3">
      <c r="A21" s="47">
        <f>COUNTIF(F$26:H$178,"Timperley 5 (W)")</f>
        <v>22</v>
      </c>
      <c r="B21" s="15" t="s">
        <v>363</v>
      </c>
      <c r="C21" s="74">
        <v>3196907</v>
      </c>
      <c r="D21" s="57">
        <f>COUNTIF(F$26:I$178,"3196907")</f>
        <v>22</v>
      </c>
      <c r="E21" s="47"/>
      <c r="F21" s="57">
        <f>COUNTIF(F$26:F$178,"Timperley 5 (W)")</f>
        <v>11</v>
      </c>
      <c r="G21" s="57"/>
      <c r="H21" s="57">
        <f>COUNTIF(H$26:H$178,"Timperley 5 (W)")</f>
        <v>11</v>
      </c>
      <c r="I21" s="57">
        <f>COUNTIF(F$26:F$101,"Timperley 5 (W)")</f>
        <v>5</v>
      </c>
      <c r="J21" s="57">
        <f>COUNTIF(F$102:F$178,"Timperley 5 (W)")</f>
        <v>6</v>
      </c>
      <c r="K21" s="57">
        <f>COUNTIF(H$26:H$101,"Timperley 5 (W)")</f>
        <v>6</v>
      </c>
      <c r="L21" s="57">
        <f>COUNTIF(H$102:H$178,"Timperley 5 (W)")</f>
        <v>5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3" spans="1:43" ht="21" x14ac:dyDescent="0.4">
      <c r="B23" s="22" t="s">
        <v>93</v>
      </c>
    </row>
    <row r="24" spans="1:43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43" x14ac:dyDescent="0.3">
      <c r="B25" s="40"/>
      <c r="C25" s="14"/>
      <c r="D25" s="14"/>
      <c r="E25" s="14"/>
      <c r="F25" s="14"/>
      <c r="G25" s="14"/>
      <c r="H25" s="13"/>
      <c r="I25" s="14"/>
    </row>
    <row r="26" spans="1:43" x14ac:dyDescent="0.3">
      <c r="B26" s="44">
        <v>45913</v>
      </c>
      <c r="C26" s="3" t="s">
        <v>416</v>
      </c>
      <c r="D26" s="3" t="s">
        <v>65</v>
      </c>
      <c r="E26" s="101"/>
      <c r="F26" s="15" t="s">
        <v>327</v>
      </c>
      <c r="G26" s="74">
        <v>3198603</v>
      </c>
      <c r="H26" s="4" t="s">
        <v>359</v>
      </c>
      <c r="I26" s="4">
        <v>3204602</v>
      </c>
    </row>
    <row r="27" spans="1:43" x14ac:dyDescent="0.3">
      <c r="B27" s="44">
        <v>45913</v>
      </c>
      <c r="C27" s="3" t="s">
        <v>416</v>
      </c>
      <c r="D27" s="3" t="s">
        <v>65</v>
      </c>
      <c r="E27" s="101"/>
      <c r="F27" s="3" t="s">
        <v>320</v>
      </c>
      <c r="G27" s="4">
        <v>3210602</v>
      </c>
      <c r="H27" s="4" t="s">
        <v>326</v>
      </c>
      <c r="I27" s="4">
        <v>3199904</v>
      </c>
    </row>
    <row r="28" spans="1:43" x14ac:dyDescent="0.3">
      <c r="B28" s="44">
        <v>45913</v>
      </c>
      <c r="C28" s="3" t="s">
        <v>416</v>
      </c>
      <c r="D28" s="3" t="s">
        <v>65</v>
      </c>
      <c r="E28" s="101"/>
      <c r="F28" s="3" t="s">
        <v>357</v>
      </c>
      <c r="G28" s="4">
        <v>3206704</v>
      </c>
      <c r="H28" s="4" t="s">
        <v>358</v>
      </c>
      <c r="I28" s="4">
        <v>3206402</v>
      </c>
    </row>
    <row r="29" spans="1:43" x14ac:dyDescent="0.3">
      <c r="B29" s="44">
        <v>45913</v>
      </c>
      <c r="C29" s="3" t="s">
        <v>416</v>
      </c>
      <c r="D29" s="3" t="s">
        <v>65</v>
      </c>
      <c r="E29" s="101"/>
      <c r="F29" s="3" t="s">
        <v>451</v>
      </c>
      <c r="G29" s="4">
        <v>3211309</v>
      </c>
      <c r="H29" s="4" t="s">
        <v>363</v>
      </c>
      <c r="I29" s="4">
        <v>3196907</v>
      </c>
    </row>
    <row r="30" spans="1:43" x14ac:dyDescent="0.3">
      <c r="B30" s="44">
        <v>45913</v>
      </c>
      <c r="C30" s="3" t="s">
        <v>416</v>
      </c>
      <c r="D30" s="3" t="s">
        <v>65</v>
      </c>
      <c r="E30" s="101"/>
      <c r="F30" s="3" t="s">
        <v>356</v>
      </c>
      <c r="G30" s="4">
        <v>3208608</v>
      </c>
      <c r="H30" s="4" t="s">
        <v>452</v>
      </c>
      <c r="I30" s="4">
        <v>3198207</v>
      </c>
    </row>
    <row r="31" spans="1:43" x14ac:dyDescent="0.3">
      <c r="B31" s="44">
        <v>45913</v>
      </c>
      <c r="C31" s="3" t="s">
        <v>416</v>
      </c>
      <c r="D31" s="3" t="s">
        <v>65</v>
      </c>
      <c r="E31" s="101"/>
      <c r="F31" s="3" t="s">
        <v>325</v>
      </c>
      <c r="G31" s="4">
        <v>3201501</v>
      </c>
      <c r="H31" s="4" t="s">
        <v>290</v>
      </c>
      <c r="I31" s="4">
        <v>3197500</v>
      </c>
    </row>
    <row r="32" spans="1:43" x14ac:dyDescent="0.3"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65</v>
      </c>
      <c r="E33" s="101"/>
      <c r="F33" s="3" t="s">
        <v>358</v>
      </c>
      <c r="G33" s="4">
        <v>3206402</v>
      </c>
      <c r="H33" s="4" t="s">
        <v>325</v>
      </c>
      <c r="I33" s="4">
        <v>3201501</v>
      </c>
    </row>
    <row r="34" spans="2:9" x14ac:dyDescent="0.3">
      <c r="B34" s="44">
        <v>45920</v>
      </c>
      <c r="C34" s="3" t="s">
        <v>416</v>
      </c>
      <c r="D34" s="3" t="s">
        <v>65</v>
      </c>
      <c r="E34" s="101"/>
      <c r="F34" s="3" t="s">
        <v>326</v>
      </c>
      <c r="G34" s="4">
        <v>3199904</v>
      </c>
      <c r="H34" s="15" t="s">
        <v>327</v>
      </c>
      <c r="I34" s="74">
        <v>3198603</v>
      </c>
    </row>
    <row r="35" spans="2:9" x14ac:dyDescent="0.3">
      <c r="B35" s="44">
        <v>45920</v>
      </c>
      <c r="C35" s="3" t="s">
        <v>416</v>
      </c>
      <c r="D35" s="3" t="s">
        <v>65</v>
      </c>
      <c r="E35" s="101"/>
      <c r="F35" s="3" t="s">
        <v>452</v>
      </c>
      <c r="G35" s="4">
        <v>3198207</v>
      </c>
      <c r="H35" s="4" t="s">
        <v>320</v>
      </c>
      <c r="I35" s="4">
        <v>3210602</v>
      </c>
    </row>
    <row r="36" spans="2:9" x14ac:dyDescent="0.3">
      <c r="B36" s="44">
        <v>45920</v>
      </c>
      <c r="C36" s="3" t="s">
        <v>416</v>
      </c>
      <c r="D36" s="3" t="s">
        <v>65</v>
      </c>
      <c r="E36" s="101"/>
      <c r="F36" s="3" t="s">
        <v>290</v>
      </c>
      <c r="G36" s="4">
        <v>3197500</v>
      </c>
      <c r="H36" s="4" t="s">
        <v>356</v>
      </c>
      <c r="I36" s="4">
        <v>3208608</v>
      </c>
    </row>
    <row r="37" spans="2:9" x14ac:dyDescent="0.3">
      <c r="B37" s="44">
        <v>45920</v>
      </c>
      <c r="C37" s="3" t="s">
        <v>416</v>
      </c>
      <c r="D37" s="3" t="s">
        <v>65</v>
      </c>
      <c r="E37" s="101"/>
      <c r="F37" s="3" t="s">
        <v>363</v>
      </c>
      <c r="G37" s="4">
        <v>3196907</v>
      </c>
      <c r="H37" s="4" t="s">
        <v>357</v>
      </c>
      <c r="I37" s="4">
        <v>3206704</v>
      </c>
    </row>
    <row r="38" spans="2:9" x14ac:dyDescent="0.3">
      <c r="B38" s="44">
        <v>45920</v>
      </c>
      <c r="C38" s="3" t="s">
        <v>416</v>
      </c>
      <c r="D38" s="3" t="s">
        <v>65</v>
      </c>
      <c r="E38" s="101"/>
      <c r="F38" s="3" t="s">
        <v>359</v>
      </c>
      <c r="G38" s="4">
        <v>3204602</v>
      </c>
      <c r="H38" s="4" t="s">
        <v>451</v>
      </c>
      <c r="I38" s="4">
        <v>3211309</v>
      </c>
    </row>
    <row r="39" spans="2:9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65</v>
      </c>
      <c r="E40" s="101"/>
      <c r="F40" s="3" t="s">
        <v>326</v>
      </c>
      <c r="G40" s="4">
        <v>3199904</v>
      </c>
      <c r="H40" s="4" t="s">
        <v>452</v>
      </c>
      <c r="I40" s="4">
        <v>3198207</v>
      </c>
    </row>
    <row r="41" spans="2:9" x14ac:dyDescent="0.3">
      <c r="B41" s="44">
        <v>45927</v>
      </c>
      <c r="C41" s="3" t="s">
        <v>416</v>
      </c>
      <c r="D41" s="3" t="s">
        <v>65</v>
      </c>
      <c r="E41" s="101"/>
      <c r="F41" s="3" t="s">
        <v>320</v>
      </c>
      <c r="G41" s="4">
        <v>3210602</v>
      </c>
      <c r="H41" s="4" t="s">
        <v>290</v>
      </c>
      <c r="I41" s="4">
        <v>3197500</v>
      </c>
    </row>
    <row r="42" spans="2:9" x14ac:dyDescent="0.3">
      <c r="B42" s="44">
        <v>45927</v>
      </c>
      <c r="C42" s="3" t="s">
        <v>416</v>
      </c>
      <c r="D42" s="3" t="s">
        <v>65</v>
      </c>
      <c r="E42" s="101"/>
      <c r="F42" s="3" t="s">
        <v>357</v>
      </c>
      <c r="G42" s="4">
        <v>3206704</v>
      </c>
      <c r="H42" s="4" t="s">
        <v>359</v>
      </c>
      <c r="I42" s="4">
        <v>3204602</v>
      </c>
    </row>
    <row r="43" spans="2:9" x14ac:dyDescent="0.3">
      <c r="B43" s="44">
        <v>45927</v>
      </c>
      <c r="C43" s="3" t="s">
        <v>416</v>
      </c>
      <c r="D43" s="3" t="s">
        <v>65</v>
      </c>
      <c r="E43" s="101"/>
      <c r="F43" s="3" t="s">
        <v>451</v>
      </c>
      <c r="G43" s="4">
        <v>3211309</v>
      </c>
      <c r="H43" s="15" t="s">
        <v>327</v>
      </c>
      <c r="I43" s="74">
        <v>3198603</v>
      </c>
    </row>
    <row r="44" spans="2:9" x14ac:dyDescent="0.3">
      <c r="B44" s="44">
        <v>45927</v>
      </c>
      <c r="C44" s="3" t="s">
        <v>416</v>
      </c>
      <c r="D44" s="3" t="s">
        <v>65</v>
      </c>
      <c r="E44" s="101"/>
      <c r="F44" s="3" t="s">
        <v>356</v>
      </c>
      <c r="G44" s="4">
        <v>3208608</v>
      </c>
      <c r="H44" s="4" t="s">
        <v>358</v>
      </c>
      <c r="I44" s="4">
        <v>3206402</v>
      </c>
    </row>
    <row r="45" spans="2:9" x14ac:dyDescent="0.3">
      <c r="B45" s="44">
        <v>45927</v>
      </c>
      <c r="C45" s="3" t="s">
        <v>416</v>
      </c>
      <c r="D45" s="3" t="s">
        <v>65</v>
      </c>
      <c r="E45" s="101"/>
      <c r="F45" s="3" t="s">
        <v>325</v>
      </c>
      <c r="G45" s="4">
        <v>3201501</v>
      </c>
      <c r="H45" s="4" t="s">
        <v>363</v>
      </c>
      <c r="I45" s="4">
        <v>3196907</v>
      </c>
    </row>
    <row r="46" spans="2:9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65</v>
      </c>
      <c r="E47" s="101"/>
      <c r="F47" s="3" t="s">
        <v>358</v>
      </c>
      <c r="G47" s="4">
        <v>3206402</v>
      </c>
      <c r="H47" s="4" t="s">
        <v>320</v>
      </c>
      <c r="I47" s="4">
        <v>3210602</v>
      </c>
    </row>
    <row r="48" spans="2:9" x14ac:dyDescent="0.3">
      <c r="B48" s="44">
        <v>45934</v>
      </c>
      <c r="C48" s="3" t="s">
        <v>416</v>
      </c>
      <c r="D48" s="3" t="s">
        <v>65</v>
      </c>
      <c r="E48" s="101"/>
      <c r="F48" s="15" t="s">
        <v>327</v>
      </c>
      <c r="G48" s="74">
        <v>3198603</v>
      </c>
      <c r="H48" s="4" t="s">
        <v>357</v>
      </c>
      <c r="I48" s="4">
        <v>3206704</v>
      </c>
    </row>
    <row r="49" spans="2:9" x14ac:dyDescent="0.3">
      <c r="B49" s="44">
        <v>45934</v>
      </c>
      <c r="C49" s="3" t="s">
        <v>416</v>
      </c>
      <c r="D49" s="3" t="s">
        <v>65</v>
      </c>
      <c r="E49" s="101"/>
      <c r="F49" s="3" t="s">
        <v>290</v>
      </c>
      <c r="G49" s="4">
        <v>3197500</v>
      </c>
      <c r="H49" s="4" t="s">
        <v>452</v>
      </c>
      <c r="I49" s="4">
        <v>3198207</v>
      </c>
    </row>
    <row r="50" spans="2:9" x14ac:dyDescent="0.3">
      <c r="B50" s="44">
        <v>45934</v>
      </c>
      <c r="C50" s="3" t="s">
        <v>416</v>
      </c>
      <c r="D50" s="3" t="s">
        <v>65</v>
      </c>
      <c r="E50" s="101"/>
      <c r="F50" s="3" t="s">
        <v>363</v>
      </c>
      <c r="G50" s="4">
        <v>3196907</v>
      </c>
      <c r="H50" s="4" t="s">
        <v>356</v>
      </c>
      <c r="I50" s="4">
        <v>3208608</v>
      </c>
    </row>
    <row r="51" spans="2:9" x14ac:dyDescent="0.3">
      <c r="B51" s="44">
        <v>45934</v>
      </c>
      <c r="C51" s="3" t="s">
        <v>416</v>
      </c>
      <c r="D51" s="3" t="s">
        <v>65</v>
      </c>
      <c r="E51" s="101"/>
      <c r="F51" s="3" t="s">
        <v>451</v>
      </c>
      <c r="G51" s="4">
        <v>3211309</v>
      </c>
      <c r="H51" s="4" t="s">
        <v>326</v>
      </c>
      <c r="I51" s="4">
        <v>3199904</v>
      </c>
    </row>
    <row r="52" spans="2:9" x14ac:dyDescent="0.3">
      <c r="B52" s="44">
        <v>45934</v>
      </c>
      <c r="C52" s="3" t="s">
        <v>416</v>
      </c>
      <c r="D52" s="3" t="s">
        <v>65</v>
      </c>
      <c r="E52" s="101"/>
      <c r="F52" s="3" t="s">
        <v>359</v>
      </c>
      <c r="G52" s="4">
        <v>3204602</v>
      </c>
      <c r="H52" s="4" t="s">
        <v>325</v>
      </c>
      <c r="I52" s="4">
        <v>3201501</v>
      </c>
    </row>
    <row r="53" spans="2:9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65</v>
      </c>
      <c r="E54" s="101"/>
      <c r="F54" s="3" t="s">
        <v>326</v>
      </c>
      <c r="G54" s="4">
        <v>3199904</v>
      </c>
      <c r="H54" s="4" t="s">
        <v>290</v>
      </c>
      <c r="I54" s="4">
        <v>3197500</v>
      </c>
    </row>
    <row r="55" spans="2:9" x14ac:dyDescent="0.3">
      <c r="B55" s="44">
        <v>45941</v>
      </c>
      <c r="C55" s="3" t="s">
        <v>416</v>
      </c>
      <c r="D55" s="3" t="s">
        <v>65</v>
      </c>
      <c r="E55" s="101"/>
      <c r="F55" s="3" t="s">
        <v>452</v>
      </c>
      <c r="G55" s="4">
        <v>3198207</v>
      </c>
      <c r="H55" s="4" t="s">
        <v>358</v>
      </c>
      <c r="I55" s="4">
        <v>3206402</v>
      </c>
    </row>
    <row r="56" spans="2:9" x14ac:dyDescent="0.3">
      <c r="B56" s="44">
        <v>45941</v>
      </c>
      <c r="C56" s="3" t="s">
        <v>416</v>
      </c>
      <c r="D56" s="3" t="s">
        <v>65</v>
      </c>
      <c r="E56" s="101"/>
      <c r="F56" s="3" t="s">
        <v>320</v>
      </c>
      <c r="G56" s="4">
        <v>3210602</v>
      </c>
      <c r="H56" s="4" t="s">
        <v>363</v>
      </c>
      <c r="I56" s="4">
        <v>3196907</v>
      </c>
    </row>
    <row r="57" spans="2:9" x14ac:dyDescent="0.3">
      <c r="B57" s="44">
        <v>45941</v>
      </c>
      <c r="C57" s="3" t="s">
        <v>416</v>
      </c>
      <c r="D57" s="3" t="s">
        <v>65</v>
      </c>
      <c r="E57" s="101"/>
      <c r="F57" s="3" t="s">
        <v>357</v>
      </c>
      <c r="G57" s="4">
        <v>3206704</v>
      </c>
      <c r="H57" s="4" t="s">
        <v>451</v>
      </c>
      <c r="I57" s="4">
        <v>3211309</v>
      </c>
    </row>
    <row r="58" spans="2:9" x14ac:dyDescent="0.3">
      <c r="B58" s="44">
        <v>45941</v>
      </c>
      <c r="C58" s="3" t="s">
        <v>416</v>
      </c>
      <c r="D58" s="3" t="s">
        <v>65</v>
      </c>
      <c r="E58" s="101"/>
      <c r="F58" s="3" t="s">
        <v>356</v>
      </c>
      <c r="G58" s="4">
        <v>3208608</v>
      </c>
      <c r="H58" s="4" t="s">
        <v>359</v>
      </c>
      <c r="I58" s="4">
        <v>3204602</v>
      </c>
    </row>
    <row r="59" spans="2:9" x14ac:dyDescent="0.3">
      <c r="B59" s="44">
        <v>45941</v>
      </c>
      <c r="C59" s="3" t="s">
        <v>416</v>
      </c>
      <c r="D59" s="3" t="s">
        <v>65</v>
      </c>
      <c r="E59" s="101"/>
      <c r="F59" s="3" t="s">
        <v>325</v>
      </c>
      <c r="G59" s="4">
        <v>3201501</v>
      </c>
      <c r="H59" s="15" t="s">
        <v>327</v>
      </c>
      <c r="I59" s="74">
        <v>3198603</v>
      </c>
    </row>
    <row r="60" spans="2:9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65</v>
      </c>
      <c r="E61" s="101"/>
      <c r="F61" s="3" t="s">
        <v>358</v>
      </c>
      <c r="G61" s="4">
        <v>3206402</v>
      </c>
      <c r="H61" s="4" t="s">
        <v>290</v>
      </c>
      <c r="I61" s="4">
        <v>3197500</v>
      </c>
    </row>
    <row r="62" spans="2:9" x14ac:dyDescent="0.3">
      <c r="B62" s="44">
        <v>45948</v>
      </c>
      <c r="C62" s="3" t="s">
        <v>416</v>
      </c>
      <c r="D62" s="3" t="s">
        <v>65</v>
      </c>
      <c r="E62" s="101"/>
      <c r="F62" s="15" t="s">
        <v>327</v>
      </c>
      <c r="G62" s="74">
        <v>3198603</v>
      </c>
      <c r="H62" s="4" t="s">
        <v>356</v>
      </c>
      <c r="I62" s="4">
        <v>3208608</v>
      </c>
    </row>
    <row r="63" spans="2:9" x14ac:dyDescent="0.3">
      <c r="B63" s="44">
        <v>45948</v>
      </c>
      <c r="C63" s="3" t="s">
        <v>416</v>
      </c>
      <c r="D63" s="3" t="s">
        <v>65</v>
      </c>
      <c r="E63" s="101"/>
      <c r="F63" s="3" t="s">
        <v>357</v>
      </c>
      <c r="G63" s="4">
        <v>3206704</v>
      </c>
      <c r="H63" s="4" t="s">
        <v>326</v>
      </c>
      <c r="I63" s="4">
        <v>3199904</v>
      </c>
    </row>
    <row r="64" spans="2:9" x14ac:dyDescent="0.3">
      <c r="B64" s="44">
        <v>45948</v>
      </c>
      <c r="C64" s="3" t="s">
        <v>416</v>
      </c>
      <c r="D64" s="3" t="s">
        <v>65</v>
      </c>
      <c r="E64" s="101"/>
      <c r="F64" s="3" t="s">
        <v>363</v>
      </c>
      <c r="G64" s="4">
        <v>3196907</v>
      </c>
      <c r="H64" s="4" t="s">
        <v>452</v>
      </c>
      <c r="I64" s="4">
        <v>3198207</v>
      </c>
    </row>
    <row r="65" spans="2:9" x14ac:dyDescent="0.3">
      <c r="B65" s="44">
        <v>45948</v>
      </c>
      <c r="C65" s="3" t="s">
        <v>416</v>
      </c>
      <c r="D65" s="3" t="s">
        <v>65</v>
      </c>
      <c r="E65" s="101"/>
      <c r="F65" s="3" t="s">
        <v>451</v>
      </c>
      <c r="G65" s="4">
        <v>3211309</v>
      </c>
      <c r="H65" s="4" t="s">
        <v>325</v>
      </c>
      <c r="I65" s="4">
        <v>3201501</v>
      </c>
    </row>
    <row r="66" spans="2:9" x14ac:dyDescent="0.3">
      <c r="B66" s="44">
        <v>45948</v>
      </c>
      <c r="C66" s="3" t="s">
        <v>416</v>
      </c>
      <c r="D66" s="3" t="s">
        <v>65</v>
      </c>
      <c r="E66" s="101"/>
      <c r="F66" s="3" t="s">
        <v>359</v>
      </c>
      <c r="G66" s="4">
        <v>3204602</v>
      </c>
      <c r="H66" s="4" t="s">
        <v>320</v>
      </c>
      <c r="I66" s="4">
        <v>3210602</v>
      </c>
    </row>
    <row r="67" spans="2:9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65</v>
      </c>
      <c r="E68" s="101"/>
      <c r="F68" s="3" t="s">
        <v>326</v>
      </c>
      <c r="G68" s="4">
        <v>3199904</v>
      </c>
      <c r="H68" s="4" t="s">
        <v>358</v>
      </c>
      <c r="I68" s="4">
        <v>3206402</v>
      </c>
    </row>
    <row r="69" spans="2:9" x14ac:dyDescent="0.3">
      <c r="B69" s="44">
        <v>45962</v>
      </c>
      <c r="C69" s="3" t="s">
        <v>416</v>
      </c>
      <c r="D69" s="3" t="s">
        <v>65</v>
      </c>
      <c r="E69" s="101"/>
      <c r="F69" s="3" t="s">
        <v>452</v>
      </c>
      <c r="G69" s="4">
        <v>3198207</v>
      </c>
      <c r="H69" s="4" t="s">
        <v>359</v>
      </c>
      <c r="I69" s="4">
        <v>3204602</v>
      </c>
    </row>
    <row r="70" spans="2:9" x14ac:dyDescent="0.3">
      <c r="B70" s="44">
        <v>45962</v>
      </c>
      <c r="C70" s="3" t="s">
        <v>416</v>
      </c>
      <c r="D70" s="3" t="s">
        <v>65</v>
      </c>
      <c r="E70" s="101"/>
      <c r="F70" s="3" t="s">
        <v>290</v>
      </c>
      <c r="G70" s="4">
        <v>3197500</v>
      </c>
      <c r="H70" s="4" t="s">
        <v>363</v>
      </c>
      <c r="I70" s="4">
        <v>3196907</v>
      </c>
    </row>
    <row r="71" spans="2:9" x14ac:dyDescent="0.3">
      <c r="B71" s="44">
        <v>45962</v>
      </c>
      <c r="C71" s="3" t="s">
        <v>416</v>
      </c>
      <c r="D71" s="3" t="s">
        <v>65</v>
      </c>
      <c r="E71" s="101"/>
      <c r="F71" s="3" t="s">
        <v>320</v>
      </c>
      <c r="G71" s="4">
        <v>3210602</v>
      </c>
      <c r="H71" s="15" t="s">
        <v>327</v>
      </c>
      <c r="I71" s="74">
        <v>3198603</v>
      </c>
    </row>
    <row r="72" spans="2:9" x14ac:dyDescent="0.3">
      <c r="B72" s="44">
        <v>45962</v>
      </c>
      <c r="C72" s="3" t="s">
        <v>416</v>
      </c>
      <c r="D72" s="3" t="s">
        <v>65</v>
      </c>
      <c r="E72" s="101"/>
      <c r="F72" s="3" t="s">
        <v>356</v>
      </c>
      <c r="G72" s="4">
        <v>3208608</v>
      </c>
      <c r="H72" s="4" t="s">
        <v>451</v>
      </c>
      <c r="I72" s="4">
        <v>3211309</v>
      </c>
    </row>
    <row r="73" spans="2:9" x14ac:dyDescent="0.3">
      <c r="B73" s="44">
        <v>45962</v>
      </c>
      <c r="C73" s="3" t="s">
        <v>416</v>
      </c>
      <c r="D73" s="3" t="s">
        <v>65</v>
      </c>
      <c r="E73" s="101"/>
      <c r="F73" s="3" t="s">
        <v>325</v>
      </c>
      <c r="G73" s="4">
        <v>3201501</v>
      </c>
      <c r="H73" s="4" t="s">
        <v>357</v>
      </c>
      <c r="I73" s="4">
        <v>3206704</v>
      </c>
    </row>
    <row r="74" spans="2:9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65</v>
      </c>
      <c r="E75" s="101"/>
      <c r="F75" s="15" t="s">
        <v>327</v>
      </c>
      <c r="G75" s="74">
        <v>3198603</v>
      </c>
      <c r="H75" s="4" t="s">
        <v>452</v>
      </c>
      <c r="I75" s="4">
        <v>3198207</v>
      </c>
    </row>
    <row r="76" spans="2:9" x14ac:dyDescent="0.3">
      <c r="B76" s="44">
        <v>45969</v>
      </c>
      <c r="C76" s="3" t="s">
        <v>416</v>
      </c>
      <c r="D76" s="3" t="s">
        <v>65</v>
      </c>
      <c r="E76" s="101"/>
      <c r="F76" s="3" t="s">
        <v>357</v>
      </c>
      <c r="G76" s="4">
        <v>3206704</v>
      </c>
      <c r="H76" s="4" t="s">
        <v>356</v>
      </c>
      <c r="I76" s="4">
        <v>3208608</v>
      </c>
    </row>
    <row r="77" spans="2:9" x14ac:dyDescent="0.3">
      <c r="B77" s="44">
        <v>45969</v>
      </c>
      <c r="C77" s="3" t="s">
        <v>416</v>
      </c>
      <c r="D77" s="3" t="s">
        <v>65</v>
      </c>
      <c r="E77" s="101"/>
      <c r="F77" s="3" t="s">
        <v>363</v>
      </c>
      <c r="G77" s="4">
        <v>3196907</v>
      </c>
      <c r="H77" s="4" t="s">
        <v>358</v>
      </c>
      <c r="I77" s="4">
        <v>3206402</v>
      </c>
    </row>
    <row r="78" spans="2:9" x14ac:dyDescent="0.3">
      <c r="B78" s="44">
        <v>45969</v>
      </c>
      <c r="C78" s="3" t="s">
        <v>416</v>
      </c>
      <c r="D78" s="3" t="s">
        <v>65</v>
      </c>
      <c r="E78" s="101"/>
      <c r="F78" s="3" t="s">
        <v>451</v>
      </c>
      <c r="G78" s="4">
        <v>3211309</v>
      </c>
      <c r="H78" s="4" t="s">
        <v>320</v>
      </c>
      <c r="I78" s="4">
        <v>3210602</v>
      </c>
    </row>
    <row r="79" spans="2:9" x14ac:dyDescent="0.3">
      <c r="B79" s="44">
        <v>45969</v>
      </c>
      <c r="C79" s="3" t="s">
        <v>416</v>
      </c>
      <c r="D79" s="3" t="s">
        <v>65</v>
      </c>
      <c r="E79" s="101"/>
      <c r="F79" s="3" t="s">
        <v>359</v>
      </c>
      <c r="G79" s="4">
        <v>3204602</v>
      </c>
      <c r="H79" s="4" t="s">
        <v>290</v>
      </c>
      <c r="I79" s="4">
        <v>3197500</v>
      </c>
    </row>
    <row r="80" spans="2:9" x14ac:dyDescent="0.3">
      <c r="B80" s="44">
        <v>45969</v>
      </c>
      <c r="C80" s="3" t="s">
        <v>416</v>
      </c>
      <c r="D80" s="3" t="s">
        <v>65</v>
      </c>
      <c r="E80" s="101"/>
      <c r="F80" s="3" t="s">
        <v>325</v>
      </c>
      <c r="G80" s="4">
        <v>3201501</v>
      </c>
      <c r="H80" s="4" t="s">
        <v>326</v>
      </c>
      <c r="I80" s="4">
        <v>3199904</v>
      </c>
    </row>
    <row r="81" spans="2:9" x14ac:dyDescent="0.3">
      <c r="B81" s="4"/>
      <c r="E81" s="101"/>
      <c r="F81" s="3" t="s">
        <v>418</v>
      </c>
      <c r="G81" s="4" t="s">
        <v>418</v>
      </c>
      <c r="H81" s="4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65</v>
      </c>
      <c r="E82" s="101"/>
      <c r="F82" s="3" t="s">
        <v>358</v>
      </c>
      <c r="G82" s="4">
        <v>3206402</v>
      </c>
      <c r="H82" s="4" t="s">
        <v>359</v>
      </c>
      <c r="I82" s="4">
        <v>3204602</v>
      </c>
    </row>
    <row r="83" spans="2:9" x14ac:dyDescent="0.3">
      <c r="B83" s="44">
        <v>45976</v>
      </c>
      <c r="C83" s="3" t="s">
        <v>416</v>
      </c>
      <c r="D83" s="3" t="s">
        <v>65</v>
      </c>
      <c r="E83" s="101"/>
      <c r="F83" s="3" t="s">
        <v>326</v>
      </c>
      <c r="G83" s="4">
        <v>3199904</v>
      </c>
      <c r="H83" s="4" t="s">
        <v>363</v>
      </c>
      <c r="I83" s="4">
        <v>3196907</v>
      </c>
    </row>
    <row r="84" spans="2:9" x14ac:dyDescent="0.3">
      <c r="B84" s="44">
        <v>45976</v>
      </c>
      <c r="C84" s="3" t="s">
        <v>416</v>
      </c>
      <c r="D84" s="3" t="s">
        <v>65</v>
      </c>
      <c r="E84" s="101"/>
      <c r="F84" s="3" t="s">
        <v>452</v>
      </c>
      <c r="G84" s="4">
        <v>3198207</v>
      </c>
      <c r="H84" s="4" t="s">
        <v>451</v>
      </c>
      <c r="I84" s="4">
        <v>3211309</v>
      </c>
    </row>
    <row r="85" spans="2:9" x14ac:dyDescent="0.3">
      <c r="B85" s="44">
        <v>45976</v>
      </c>
      <c r="C85" s="3" t="s">
        <v>416</v>
      </c>
      <c r="D85" s="3" t="s">
        <v>65</v>
      </c>
      <c r="E85" s="101"/>
      <c r="F85" s="3" t="s">
        <v>290</v>
      </c>
      <c r="G85" s="4">
        <v>3197500</v>
      </c>
      <c r="H85" s="15" t="s">
        <v>327</v>
      </c>
      <c r="I85" s="74">
        <v>3198603</v>
      </c>
    </row>
    <row r="86" spans="2:9" x14ac:dyDescent="0.3">
      <c r="B86" s="44">
        <v>45976</v>
      </c>
      <c r="C86" s="3" t="s">
        <v>416</v>
      </c>
      <c r="D86" s="3" t="s">
        <v>65</v>
      </c>
      <c r="E86" s="101"/>
      <c r="F86" s="3" t="s">
        <v>320</v>
      </c>
      <c r="G86" s="4">
        <v>3210602</v>
      </c>
      <c r="H86" s="4" t="s">
        <v>357</v>
      </c>
      <c r="I86" s="4">
        <v>3206704</v>
      </c>
    </row>
    <row r="87" spans="2:9" x14ac:dyDescent="0.3">
      <c r="B87" s="44">
        <v>45976</v>
      </c>
      <c r="C87" s="3" t="s">
        <v>416</v>
      </c>
      <c r="D87" s="3" t="s">
        <v>65</v>
      </c>
      <c r="E87" s="101"/>
      <c r="F87" s="3" t="s">
        <v>356</v>
      </c>
      <c r="G87" s="4">
        <v>3208608</v>
      </c>
      <c r="H87" s="4" t="s">
        <v>325</v>
      </c>
      <c r="I87" s="4">
        <v>3201501</v>
      </c>
    </row>
    <row r="88" spans="2:9" x14ac:dyDescent="0.3">
      <c r="B88" s="4"/>
      <c r="E88" s="101"/>
      <c r="F88" s="3" t="s">
        <v>418</v>
      </c>
      <c r="G88" s="4" t="s">
        <v>418</v>
      </c>
      <c r="H88" s="4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65</v>
      </c>
      <c r="E89" s="101"/>
      <c r="F89" s="15" t="s">
        <v>327</v>
      </c>
      <c r="G89" s="74">
        <v>3198603</v>
      </c>
      <c r="H89" s="4" t="s">
        <v>358</v>
      </c>
      <c r="I89" s="4">
        <v>3206402</v>
      </c>
    </row>
    <row r="90" spans="2:9" x14ac:dyDescent="0.3">
      <c r="B90" s="44">
        <v>45983</v>
      </c>
      <c r="C90" s="3" t="s">
        <v>416</v>
      </c>
      <c r="D90" s="3" t="s">
        <v>65</v>
      </c>
      <c r="E90" s="101"/>
      <c r="F90" s="3" t="s">
        <v>357</v>
      </c>
      <c r="G90" s="4">
        <v>3206704</v>
      </c>
      <c r="H90" s="4" t="s">
        <v>452</v>
      </c>
      <c r="I90" s="4">
        <v>3198207</v>
      </c>
    </row>
    <row r="91" spans="2:9" x14ac:dyDescent="0.3">
      <c r="B91" s="44">
        <v>45983</v>
      </c>
      <c r="C91" s="3" t="s">
        <v>416</v>
      </c>
      <c r="D91" s="3" t="s">
        <v>65</v>
      </c>
      <c r="E91" s="101"/>
      <c r="F91" s="3" t="s">
        <v>451</v>
      </c>
      <c r="G91" s="4">
        <v>3211309</v>
      </c>
      <c r="H91" s="4" t="s">
        <v>290</v>
      </c>
      <c r="I91" s="4">
        <v>3197500</v>
      </c>
    </row>
    <row r="92" spans="2:9" x14ac:dyDescent="0.3">
      <c r="B92" s="44">
        <v>45983</v>
      </c>
      <c r="C92" s="3" t="s">
        <v>416</v>
      </c>
      <c r="D92" s="3" t="s">
        <v>65</v>
      </c>
      <c r="E92" s="101"/>
      <c r="F92" s="3" t="s">
        <v>359</v>
      </c>
      <c r="G92" s="4">
        <v>3204602</v>
      </c>
      <c r="H92" s="4" t="s">
        <v>363</v>
      </c>
      <c r="I92" s="4">
        <v>3196907</v>
      </c>
    </row>
    <row r="93" spans="2:9" x14ac:dyDescent="0.3">
      <c r="B93" s="44">
        <v>45983</v>
      </c>
      <c r="C93" s="3" t="s">
        <v>416</v>
      </c>
      <c r="D93" s="3" t="s">
        <v>65</v>
      </c>
      <c r="E93" s="101"/>
      <c r="F93" s="3" t="s">
        <v>356</v>
      </c>
      <c r="G93" s="4">
        <v>3208608</v>
      </c>
      <c r="H93" s="4" t="s">
        <v>326</v>
      </c>
      <c r="I93" s="4">
        <v>3199904</v>
      </c>
    </row>
    <row r="94" spans="2:9" x14ac:dyDescent="0.3">
      <c r="B94" s="44">
        <v>45983</v>
      </c>
      <c r="C94" s="3" t="s">
        <v>416</v>
      </c>
      <c r="D94" s="3" t="s">
        <v>65</v>
      </c>
      <c r="E94" s="101"/>
      <c r="F94" s="3" t="s">
        <v>325</v>
      </c>
      <c r="G94" s="4">
        <v>3201501</v>
      </c>
      <c r="H94" s="4" t="s">
        <v>320</v>
      </c>
      <c r="I94" s="4">
        <v>3210602</v>
      </c>
    </row>
    <row r="95" spans="2:9" x14ac:dyDescent="0.3">
      <c r="B95" s="4"/>
      <c r="E95" s="101"/>
      <c r="F95" s="3" t="s">
        <v>418</v>
      </c>
      <c r="G95" s="4" t="s">
        <v>418</v>
      </c>
      <c r="H95" s="4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65</v>
      </c>
      <c r="E96" s="101"/>
      <c r="F96" s="3" t="s">
        <v>358</v>
      </c>
      <c r="G96" s="4">
        <v>3206402</v>
      </c>
      <c r="H96" s="4" t="s">
        <v>451</v>
      </c>
      <c r="I96" s="4">
        <v>3211309</v>
      </c>
    </row>
    <row r="97" spans="2:9" x14ac:dyDescent="0.3">
      <c r="B97" s="44">
        <v>45990</v>
      </c>
      <c r="C97" s="3" t="s">
        <v>416</v>
      </c>
      <c r="D97" s="3" t="s">
        <v>65</v>
      </c>
      <c r="E97" s="101"/>
      <c r="F97" s="3" t="s">
        <v>326</v>
      </c>
      <c r="G97" s="4">
        <v>3199904</v>
      </c>
      <c r="H97" s="4" t="s">
        <v>359</v>
      </c>
      <c r="I97" s="4">
        <v>3204602</v>
      </c>
    </row>
    <row r="98" spans="2:9" x14ac:dyDescent="0.3">
      <c r="B98" s="44">
        <v>45990</v>
      </c>
      <c r="C98" s="3" t="s">
        <v>416</v>
      </c>
      <c r="D98" s="3" t="s">
        <v>65</v>
      </c>
      <c r="E98" s="101"/>
      <c r="F98" s="3" t="s">
        <v>452</v>
      </c>
      <c r="G98" s="4">
        <v>3198207</v>
      </c>
      <c r="H98" s="4" t="s">
        <v>325</v>
      </c>
      <c r="I98" s="4">
        <v>3201501</v>
      </c>
    </row>
    <row r="99" spans="2:9" x14ac:dyDescent="0.3">
      <c r="B99" s="44">
        <v>45990</v>
      </c>
      <c r="C99" s="3" t="s">
        <v>416</v>
      </c>
      <c r="D99" s="3" t="s">
        <v>65</v>
      </c>
      <c r="E99" s="101"/>
      <c r="F99" s="3" t="s">
        <v>290</v>
      </c>
      <c r="G99" s="4">
        <v>3197500</v>
      </c>
      <c r="H99" s="4" t="s">
        <v>357</v>
      </c>
      <c r="I99" s="4">
        <v>3206704</v>
      </c>
    </row>
    <row r="100" spans="2:9" x14ac:dyDescent="0.3">
      <c r="B100" s="44">
        <v>45990</v>
      </c>
      <c r="C100" s="3" t="s">
        <v>416</v>
      </c>
      <c r="D100" s="3" t="s">
        <v>65</v>
      </c>
      <c r="E100" s="101"/>
      <c r="F100" s="3" t="s">
        <v>320</v>
      </c>
      <c r="G100" s="4">
        <v>3210602</v>
      </c>
      <c r="H100" s="4" t="s">
        <v>356</v>
      </c>
      <c r="I100" s="4">
        <v>3208608</v>
      </c>
    </row>
    <row r="101" spans="2:9" x14ac:dyDescent="0.3">
      <c r="B101" s="44">
        <v>45990</v>
      </c>
      <c r="C101" s="3" t="s">
        <v>416</v>
      </c>
      <c r="D101" s="3" t="s">
        <v>65</v>
      </c>
      <c r="E101" s="101"/>
      <c r="F101" s="3" t="s">
        <v>363</v>
      </c>
      <c r="G101" s="4">
        <v>3196907</v>
      </c>
      <c r="H101" s="15" t="s">
        <v>327</v>
      </c>
      <c r="I101" s="74">
        <v>3198603</v>
      </c>
    </row>
    <row r="102" spans="2:9" x14ac:dyDescent="0.3">
      <c r="B102" s="4"/>
      <c r="E102" s="101"/>
      <c r="F102" s="3" t="s">
        <v>418</v>
      </c>
      <c r="G102" s="4" t="s">
        <v>418</v>
      </c>
      <c r="H102" s="4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65</v>
      </c>
      <c r="E103" s="101"/>
      <c r="F103" s="3" t="s">
        <v>358</v>
      </c>
      <c r="G103" s="4">
        <v>3206402</v>
      </c>
      <c r="H103" s="4" t="s">
        <v>357</v>
      </c>
      <c r="I103" s="4">
        <v>3206704</v>
      </c>
    </row>
    <row r="104" spans="2:9" x14ac:dyDescent="0.3">
      <c r="B104" s="44">
        <v>46032</v>
      </c>
      <c r="C104" s="3" t="s">
        <v>416</v>
      </c>
      <c r="D104" s="3" t="s">
        <v>65</v>
      </c>
      <c r="E104" s="101"/>
      <c r="F104" s="3" t="s">
        <v>326</v>
      </c>
      <c r="G104" s="4">
        <v>3199904</v>
      </c>
      <c r="H104" s="4" t="s">
        <v>320</v>
      </c>
      <c r="I104" s="4">
        <v>3210602</v>
      </c>
    </row>
    <row r="105" spans="2:9" x14ac:dyDescent="0.3">
      <c r="B105" s="44">
        <v>46032</v>
      </c>
      <c r="C105" s="3" t="s">
        <v>416</v>
      </c>
      <c r="D105" s="3" t="s">
        <v>65</v>
      </c>
      <c r="E105" s="101"/>
      <c r="F105" s="3" t="s">
        <v>452</v>
      </c>
      <c r="G105" s="4">
        <v>3198207</v>
      </c>
      <c r="H105" s="4" t="s">
        <v>356</v>
      </c>
      <c r="I105" s="4">
        <v>3208608</v>
      </c>
    </row>
    <row r="106" spans="2:9" x14ac:dyDescent="0.3">
      <c r="B106" s="44">
        <v>46032</v>
      </c>
      <c r="C106" s="3" t="s">
        <v>416</v>
      </c>
      <c r="D106" s="3" t="s">
        <v>65</v>
      </c>
      <c r="E106" s="101"/>
      <c r="F106" s="3" t="s">
        <v>290</v>
      </c>
      <c r="G106" s="4">
        <v>3197500</v>
      </c>
      <c r="H106" s="4" t="s">
        <v>325</v>
      </c>
      <c r="I106" s="4">
        <v>3201501</v>
      </c>
    </row>
    <row r="107" spans="2:9" x14ac:dyDescent="0.3">
      <c r="B107" s="44">
        <v>46032</v>
      </c>
      <c r="C107" s="3" t="s">
        <v>416</v>
      </c>
      <c r="D107" s="3" t="s">
        <v>65</v>
      </c>
      <c r="E107" s="101"/>
      <c r="F107" s="3" t="s">
        <v>363</v>
      </c>
      <c r="G107" s="4">
        <v>3196907</v>
      </c>
      <c r="H107" s="4" t="s">
        <v>451</v>
      </c>
      <c r="I107" s="4">
        <v>3211309</v>
      </c>
    </row>
    <row r="108" spans="2:9" x14ac:dyDescent="0.3">
      <c r="B108" s="44">
        <v>46032</v>
      </c>
      <c r="C108" s="3" t="s">
        <v>416</v>
      </c>
      <c r="D108" s="3" t="s">
        <v>65</v>
      </c>
      <c r="E108" s="101"/>
      <c r="F108" s="3" t="s">
        <v>359</v>
      </c>
      <c r="G108" s="4">
        <v>3204602</v>
      </c>
      <c r="H108" s="15" t="s">
        <v>327</v>
      </c>
      <c r="I108" s="74">
        <v>3198603</v>
      </c>
    </row>
    <row r="109" spans="2:9" x14ac:dyDescent="0.3">
      <c r="B109" s="4"/>
      <c r="E109" s="101"/>
      <c r="F109" s="3" t="s">
        <v>418</v>
      </c>
      <c r="G109" s="4" t="s">
        <v>418</v>
      </c>
      <c r="H109" s="4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65</v>
      </c>
      <c r="E110" s="101"/>
      <c r="F110" s="15" t="s">
        <v>327</v>
      </c>
      <c r="G110" s="74">
        <v>3198603</v>
      </c>
      <c r="H110" s="4" t="s">
        <v>326</v>
      </c>
      <c r="I110" s="4">
        <v>3199904</v>
      </c>
    </row>
    <row r="111" spans="2:9" x14ac:dyDescent="0.3">
      <c r="B111" s="44">
        <v>46039</v>
      </c>
      <c r="C111" s="3" t="s">
        <v>416</v>
      </c>
      <c r="D111" s="3" t="s">
        <v>65</v>
      </c>
      <c r="E111" s="101"/>
      <c r="F111" s="3" t="s">
        <v>320</v>
      </c>
      <c r="G111" s="4">
        <v>3210602</v>
      </c>
      <c r="H111" s="4" t="s">
        <v>452</v>
      </c>
      <c r="I111" s="4">
        <v>3198207</v>
      </c>
    </row>
    <row r="112" spans="2:9" x14ac:dyDescent="0.3">
      <c r="B112" s="44">
        <v>46039</v>
      </c>
      <c r="C112" s="3" t="s">
        <v>416</v>
      </c>
      <c r="D112" s="3" t="s">
        <v>65</v>
      </c>
      <c r="E112" s="101"/>
      <c r="F112" s="3" t="s">
        <v>357</v>
      </c>
      <c r="G112" s="4">
        <v>3206704</v>
      </c>
      <c r="H112" s="4" t="s">
        <v>363</v>
      </c>
      <c r="I112" s="4">
        <v>3196907</v>
      </c>
    </row>
    <row r="113" spans="2:9" x14ac:dyDescent="0.3">
      <c r="B113" s="44">
        <v>46039</v>
      </c>
      <c r="C113" s="3" t="s">
        <v>416</v>
      </c>
      <c r="D113" s="3" t="s">
        <v>65</v>
      </c>
      <c r="E113" s="101"/>
      <c r="F113" s="3" t="s">
        <v>451</v>
      </c>
      <c r="G113" s="4">
        <v>3211309</v>
      </c>
      <c r="H113" s="4" t="s">
        <v>359</v>
      </c>
      <c r="I113" s="4">
        <v>3204602</v>
      </c>
    </row>
    <row r="114" spans="2:9" x14ac:dyDescent="0.3">
      <c r="B114" s="44">
        <v>46039</v>
      </c>
      <c r="C114" s="3" t="s">
        <v>416</v>
      </c>
      <c r="D114" s="3" t="s">
        <v>65</v>
      </c>
      <c r="E114" s="101"/>
      <c r="F114" s="3" t="s">
        <v>356</v>
      </c>
      <c r="G114" s="4">
        <v>3208608</v>
      </c>
      <c r="H114" s="4" t="s">
        <v>290</v>
      </c>
      <c r="I114" s="4">
        <v>3197500</v>
      </c>
    </row>
    <row r="115" spans="2:9" x14ac:dyDescent="0.3">
      <c r="B115" s="44">
        <v>46039</v>
      </c>
      <c r="C115" s="3" t="s">
        <v>416</v>
      </c>
      <c r="D115" s="3" t="s">
        <v>65</v>
      </c>
      <c r="E115" s="101"/>
      <c r="F115" s="3" t="s">
        <v>325</v>
      </c>
      <c r="G115" s="4">
        <v>3201501</v>
      </c>
      <c r="H115" s="4" t="s">
        <v>358</v>
      </c>
      <c r="I115" s="4">
        <v>3206402</v>
      </c>
    </row>
    <row r="116" spans="2:9" x14ac:dyDescent="0.3">
      <c r="B116" s="4"/>
      <c r="E116" s="101"/>
      <c r="F116" s="3" t="s">
        <v>418</v>
      </c>
      <c r="G116" s="4" t="s">
        <v>418</v>
      </c>
      <c r="H116" s="4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65</v>
      </c>
      <c r="E117" s="101"/>
      <c r="F117" s="3" t="s">
        <v>358</v>
      </c>
      <c r="G117" s="4">
        <v>3206402</v>
      </c>
      <c r="H117" s="4" t="s">
        <v>356</v>
      </c>
      <c r="I117" s="4">
        <v>3208608</v>
      </c>
    </row>
    <row r="118" spans="2:9" x14ac:dyDescent="0.3">
      <c r="B118" s="44">
        <v>46046</v>
      </c>
      <c r="C118" s="3" t="s">
        <v>416</v>
      </c>
      <c r="D118" s="3" t="s">
        <v>65</v>
      </c>
      <c r="E118" s="101"/>
      <c r="F118" s="15" t="s">
        <v>327</v>
      </c>
      <c r="G118" s="74">
        <v>3198603</v>
      </c>
      <c r="H118" s="4" t="s">
        <v>451</v>
      </c>
      <c r="I118" s="4">
        <v>3211309</v>
      </c>
    </row>
    <row r="119" spans="2:9" x14ac:dyDescent="0.3">
      <c r="B119" s="44">
        <v>46046</v>
      </c>
      <c r="C119" s="3" t="s">
        <v>416</v>
      </c>
      <c r="D119" s="3" t="s">
        <v>65</v>
      </c>
      <c r="E119" s="101"/>
      <c r="F119" s="3" t="s">
        <v>452</v>
      </c>
      <c r="G119" s="4">
        <v>3198207</v>
      </c>
      <c r="H119" s="4" t="s">
        <v>326</v>
      </c>
      <c r="I119" s="4">
        <v>3199904</v>
      </c>
    </row>
    <row r="120" spans="2:9" x14ac:dyDescent="0.3">
      <c r="B120" s="44">
        <v>46046</v>
      </c>
      <c r="C120" s="3" t="s">
        <v>416</v>
      </c>
      <c r="D120" s="3" t="s">
        <v>65</v>
      </c>
      <c r="E120" s="101"/>
      <c r="F120" s="3" t="s">
        <v>290</v>
      </c>
      <c r="G120" s="4">
        <v>3197500</v>
      </c>
      <c r="H120" s="4" t="s">
        <v>320</v>
      </c>
      <c r="I120" s="4">
        <v>3210602</v>
      </c>
    </row>
    <row r="121" spans="2:9" x14ac:dyDescent="0.3">
      <c r="B121" s="44">
        <v>46046</v>
      </c>
      <c r="C121" s="3" t="s">
        <v>416</v>
      </c>
      <c r="D121" s="3" t="s">
        <v>65</v>
      </c>
      <c r="E121" s="101"/>
      <c r="F121" s="3" t="s">
        <v>363</v>
      </c>
      <c r="G121" s="4">
        <v>3196907</v>
      </c>
      <c r="H121" s="4" t="s">
        <v>325</v>
      </c>
      <c r="I121" s="4">
        <v>3201501</v>
      </c>
    </row>
    <row r="122" spans="2:9" x14ac:dyDescent="0.3">
      <c r="B122" s="44">
        <v>46046</v>
      </c>
      <c r="C122" s="3" t="s">
        <v>416</v>
      </c>
      <c r="D122" s="3" t="s">
        <v>65</v>
      </c>
      <c r="E122" s="101"/>
      <c r="F122" s="3" t="s">
        <v>359</v>
      </c>
      <c r="G122" s="4">
        <v>3204602</v>
      </c>
      <c r="H122" s="4" t="s">
        <v>357</v>
      </c>
      <c r="I122" s="4">
        <v>3206704</v>
      </c>
    </row>
    <row r="123" spans="2:9" x14ac:dyDescent="0.3">
      <c r="B123" s="4"/>
      <c r="E123" s="101"/>
      <c r="F123" s="3" t="s">
        <v>418</v>
      </c>
      <c r="G123" s="4" t="s">
        <v>418</v>
      </c>
      <c r="H123" s="4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65</v>
      </c>
      <c r="E124" s="101"/>
      <c r="F124" s="3" t="s">
        <v>326</v>
      </c>
      <c r="G124" s="4">
        <v>3199904</v>
      </c>
      <c r="H124" s="4" t="s">
        <v>451</v>
      </c>
      <c r="I124" s="4">
        <v>3211309</v>
      </c>
    </row>
    <row r="125" spans="2:9" x14ac:dyDescent="0.3">
      <c r="B125" s="44">
        <v>46053</v>
      </c>
      <c r="C125" s="3" t="s">
        <v>416</v>
      </c>
      <c r="D125" s="3" t="s">
        <v>65</v>
      </c>
      <c r="E125" s="101"/>
      <c r="F125" s="3" t="s">
        <v>452</v>
      </c>
      <c r="G125" s="4">
        <v>3198207</v>
      </c>
      <c r="H125" s="4" t="s">
        <v>290</v>
      </c>
      <c r="I125" s="4">
        <v>3197500</v>
      </c>
    </row>
    <row r="126" spans="2:9" x14ac:dyDescent="0.3">
      <c r="B126" s="44">
        <v>46053</v>
      </c>
      <c r="C126" s="3" t="s">
        <v>416</v>
      </c>
      <c r="D126" s="3" t="s">
        <v>65</v>
      </c>
      <c r="E126" s="101"/>
      <c r="F126" s="3" t="s">
        <v>320</v>
      </c>
      <c r="G126" s="4">
        <v>3210602</v>
      </c>
      <c r="H126" s="4" t="s">
        <v>358</v>
      </c>
      <c r="I126" s="4">
        <v>3206402</v>
      </c>
    </row>
    <row r="127" spans="2:9" x14ac:dyDescent="0.3">
      <c r="B127" s="44">
        <v>46053</v>
      </c>
      <c r="C127" s="3" t="s">
        <v>416</v>
      </c>
      <c r="D127" s="3" t="s">
        <v>65</v>
      </c>
      <c r="E127" s="101"/>
      <c r="F127" s="3" t="s">
        <v>357</v>
      </c>
      <c r="G127" s="4">
        <v>3206704</v>
      </c>
      <c r="H127" s="15" t="s">
        <v>327</v>
      </c>
      <c r="I127" s="74">
        <v>3198603</v>
      </c>
    </row>
    <row r="128" spans="2:9" x14ac:dyDescent="0.3">
      <c r="B128" s="44">
        <v>46053</v>
      </c>
      <c r="C128" s="3" t="s">
        <v>416</v>
      </c>
      <c r="D128" s="3" t="s">
        <v>65</v>
      </c>
      <c r="E128" s="101"/>
      <c r="F128" s="3" t="s">
        <v>356</v>
      </c>
      <c r="G128" s="4">
        <v>3208608</v>
      </c>
      <c r="H128" s="4" t="s">
        <v>363</v>
      </c>
      <c r="I128" s="4">
        <v>3196907</v>
      </c>
    </row>
    <row r="129" spans="2:9" x14ac:dyDescent="0.3">
      <c r="B129" s="44">
        <v>46053</v>
      </c>
      <c r="C129" s="3" t="s">
        <v>416</v>
      </c>
      <c r="D129" s="3" t="s">
        <v>65</v>
      </c>
      <c r="E129" s="101"/>
      <c r="F129" s="3" t="s">
        <v>325</v>
      </c>
      <c r="G129" s="4">
        <v>3201501</v>
      </c>
      <c r="H129" s="4" t="s">
        <v>359</v>
      </c>
      <c r="I129" s="4">
        <v>3204602</v>
      </c>
    </row>
    <row r="130" spans="2:9" x14ac:dyDescent="0.3">
      <c r="B130" s="4"/>
      <c r="E130" s="101"/>
      <c r="F130" s="3" t="s">
        <v>418</v>
      </c>
      <c r="G130" s="4" t="s">
        <v>418</v>
      </c>
      <c r="H130" s="4" t="s">
        <v>418</v>
      </c>
      <c r="I130" s="4" t="s">
        <v>418</v>
      </c>
    </row>
    <row r="131" spans="2:9" x14ac:dyDescent="0.3">
      <c r="B131" s="44">
        <v>46060</v>
      </c>
      <c r="C131" s="3" t="s">
        <v>416</v>
      </c>
      <c r="D131" s="3" t="s">
        <v>65</v>
      </c>
      <c r="E131" s="101"/>
      <c r="F131" s="3" t="s">
        <v>358</v>
      </c>
      <c r="G131" s="4">
        <v>3206402</v>
      </c>
      <c r="H131" s="4" t="s">
        <v>452</v>
      </c>
      <c r="I131" s="4">
        <v>3198207</v>
      </c>
    </row>
    <row r="132" spans="2:9" x14ac:dyDescent="0.3">
      <c r="B132" s="44">
        <v>46060</v>
      </c>
      <c r="C132" s="3" t="s">
        <v>416</v>
      </c>
      <c r="D132" s="3" t="s">
        <v>65</v>
      </c>
      <c r="E132" s="101"/>
      <c r="F132" s="15" t="s">
        <v>327</v>
      </c>
      <c r="G132" s="74">
        <v>3198603</v>
      </c>
      <c r="H132" s="4" t="s">
        <v>325</v>
      </c>
      <c r="I132" s="4">
        <v>3201501</v>
      </c>
    </row>
    <row r="133" spans="2:9" x14ac:dyDescent="0.3">
      <c r="B133" s="44">
        <v>46060</v>
      </c>
      <c r="C133" s="3" t="s">
        <v>416</v>
      </c>
      <c r="D133" s="3" t="s">
        <v>65</v>
      </c>
      <c r="E133" s="101"/>
      <c r="F133" s="3" t="s">
        <v>290</v>
      </c>
      <c r="G133" s="4">
        <v>3197500</v>
      </c>
      <c r="H133" s="4" t="s">
        <v>326</v>
      </c>
      <c r="I133" s="4">
        <v>3199904</v>
      </c>
    </row>
    <row r="134" spans="2:9" x14ac:dyDescent="0.3">
      <c r="B134" s="44">
        <v>46060</v>
      </c>
      <c r="C134" s="3" t="s">
        <v>416</v>
      </c>
      <c r="D134" s="3" t="s">
        <v>65</v>
      </c>
      <c r="E134" s="101"/>
      <c r="F134" s="3" t="s">
        <v>363</v>
      </c>
      <c r="G134" s="4">
        <v>3196907</v>
      </c>
      <c r="H134" s="4" t="s">
        <v>320</v>
      </c>
      <c r="I134" s="4">
        <v>3210602</v>
      </c>
    </row>
    <row r="135" spans="2:9" x14ac:dyDescent="0.3">
      <c r="B135" s="44">
        <v>46060</v>
      </c>
      <c r="C135" s="3" t="s">
        <v>416</v>
      </c>
      <c r="D135" s="3" t="s">
        <v>65</v>
      </c>
      <c r="E135" s="101"/>
      <c r="F135" s="3" t="s">
        <v>451</v>
      </c>
      <c r="G135" s="4">
        <v>3211309</v>
      </c>
      <c r="H135" s="4" t="s">
        <v>357</v>
      </c>
      <c r="I135" s="4">
        <v>3206704</v>
      </c>
    </row>
    <row r="136" spans="2:9" x14ac:dyDescent="0.3">
      <c r="B136" s="44">
        <v>46060</v>
      </c>
      <c r="C136" s="3" t="s">
        <v>416</v>
      </c>
      <c r="D136" s="3" t="s">
        <v>65</v>
      </c>
      <c r="E136" s="101"/>
      <c r="F136" s="3" t="s">
        <v>359</v>
      </c>
      <c r="G136" s="4">
        <v>3204602</v>
      </c>
      <c r="H136" s="4" t="s">
        <v>356</v>
      </c>
      <c r="I136" s="4">
        <v>3208608</v>
      </c>
    </row>
    <row r="137" spans="2:9" x14ac:dyDescent="0.3">
      <c r="B137" s="4"/>
      <c r="E137" s="101"/>
      <c r="F137" s="3" t="s">
        <v>418</v>
      </c>
      <c r="G137" s="4" t="s">
        <v>418</v>
      </c>
      <c r="H137" s="4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65</v>
      </c>
      <c r="E138" s="101"/>
      <c r="F138" s="3" t="s">
        <v>326</v>
      </c>
      <c r="G138" s="4">
        <v>3199904</v>
      </c>
      <c r="H138" s="4" t="s">
        <v>357</v>
      </c>
      <c r="I138" s="4">
        <v>3206704</v>
      </c>
    </row>
    <row r="139" spans="2:9" x14ac:dyDescent="0.3">
      <c r="B139" s="44">
        <v>46074</v>
      </c>
      <c r="C139" s="3" t="s">
        <v>416</v>
      </c>
      <c r="D139" s="3" t="s">
        <v>65</v>
      </c>
      <c r="E139" s="101"/>
      <c r="F139" s="3" t="s">
        <v>452</v>
      </c>
      <c r="G139" s="4">
        <v>3198207</v>
      </c>
      <c r="H139" s="4" t="s">
        <v>363</v>
      </c>
      <c r="I139" s="4">
        <v>3196907</v>
      </c>
    </row>
    <row r="140" spans="2:9" x14ac:dyDescent="0.3">
      <c r="B140" s="44">
        <v>46074</v>
      </c>
      <c r="C140" s="3" t="s">
        <v>416</v>
      </c>
      <c r="D140" s="3" t="s">
        <v>65</v>
      </c>
      <c r="E140" s="101"/>
      <c r="F140" s="3" t="s">
        <v>290</v>
      </c>
      <c r="G140" s="4">
        <v>3197500</v>
      </c>
      <c r="H140" s="4" t="s">
        <v>358</v>
      </c>
      <c r="I140" s="4">
        <v>3206402</v>
      </c>
    </row>
    <row r="141" spans="2:9" x14ac:dyDescent="0.3">
      <c r="B141" s="44">
        <v>46074</v>
      </c>
      <c r="C141" s="3" t="s">
        <v>416</v>
      </c>
      <c r="D141" s="3" t="s">
        <v>65</v>
      </c>
      <c r="E141" s="101"/>
      <c r="F141" s="3" t="s">
        <v>320</v>
      </c>
      <c r="G141" s="4">
        <v>3210602</v>
      </c>
      <c r="H141" s="4" t="s">
        <v>359</v>
      </c>
      <c r="I141" s="4">
        <v>3204602</v>
      </c>
    </row>
    <row r="142" spans="2:9" x14ac:dyDescent="0.3">
      <c r="B142" s="44">
        <v>46074</v>
      </c>
      <c r="C142" s="3" t="s">
        <v>416</v>
      </c>
      <c r="D142" s="3" t="s">
        <v>65</v>
      </c>
      <c r="E142" s="101"/>
      <c r="F142" s="3" t="s">
        <v>356</v>
      </c>
      <c r="G142" s="4">
        <v>3208608</v>
      </c>
      <c r="H142" s="15" t="s">
        <v>327</v>
      </c>
      <c r="I142" s="74">
        <v>3198603</v>
      </c>
    </row>
    <row r="143" spans="2:9" x14ac:dyDescent="0.3">
      <c r="B143" s="44">
        <v>46074</v>
      </c>
      <c r="C143" s="3" t="s">
        <v>416</v>
      </c>
      <c r="D143" s="3" t="s">
        <v>65</v>
      </c>
      <c r="E143" s="101"/>
      <c r="F143" s="3" t="s">
        <v>325</v>
      </c>
      <c r="G143" s="4">
        <v>3201501</v>
      </c>
      <c r="H143" s="4" t="s">
        <v>451</v>
      </c>
      <c r="I143" s="4">
        <v>3211309</v>
      </c>
    </row>
    <row r="144" spans="2:9" x14ac:dyDescent="0.3">
      <c r="B144" s="4"/>
      <c r="E144" s="101"/>
      <c r="F144" s="3" t="s">
        <v>418</v>
      </c>
      <c r="G144" s="4" t="s">
        <v>418</v>
      </c>
      <c r="H144" s="4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65</v>
      </c>
      <c r="E145" s="101"/>
      <c r="F145" s="3" t="s">
        <v>358</v>
      </c>
      <c r="G145" s="4">
        <v>3206402</v>
      </c>
      <c r="H145" s="4" t="s">
        <v>326</v>
      </c>
      <c r="I145" s="4">
        <v>3199904</v>
      </c>
    </row>
    <row r="146" spans="2:9" x14ac:dyDescent="0.3">
      <c r="B146" s="44">
        <v>46081</v>
      </c>
      <c r="C146" s="3" t="s">
        <v>416</v>
      </c>
      <c r="D146" s="3" t="s">
        <v>65</v>
      </c>
      <c r="E146" s="101"/>
      <c r="F146" s="15" t="s">
        <v>327</v>
      </c>
      <c r="G146" s="74">
        <v>3198603</v>
      </c>
      <c r="H146" s="4" t="s">
        <v>320</v>
      </c>
      <c r="I146" s="4">
        <v>3210602</v>
      </c>
    </row>
    <row r="147" spans="2:9" x14ac:dyDescent="0.3">
      <c r="B147" s="44">
        <v>46081</v>
      </c>
      <c r="C147" s="3" t="s">
        <v>416</v>
      </c>
      <c r="D147" s="3" t="s">
        <v>65</v>
      </c>
      <c r="E147" s="101"/>
      <c r="F147" s="3" t="s">
        <v>357</v>
      </c>
      <c r="G147" s="4">
        <v>3206704</v>
      </c>
      <c r="H147" s="4" t="s">
        <v>325</v>
      </c>
      <c r="I147" s="4">
        <v>3201501</v>
      </c>
    </row>
    <row r="148" spans="2:9" x14ac:dyDescent="0.3">
      <c r="B148" s="44">
        <v>46081</v>
      </c>
      <c r="C148" s="3" t="s">
        <v>416</v>
      </c>
      <c r="D148" s="3" t="s">
        <v>65</v>
      </c>
      <c r="E148" s="101"/>
      <c r="F148" s="3" t="s">
        <v>363</v>
      </c>
      <c r="G148" s="4">
        <v>3196907</v>
      </c>
      <c r="H148" s="4" t="s">
        <v>290</v>
      </c>
      <c r="I148" s="4">
        <v>3197500</v>
      </c>
    </row>
    <row r="149" spans="2:9" x14ac:dyDescent="0.3">
      <c r="B149" s="44">
        <v>46081</v>
      </c>
      <c r="C149" s="3" t="s">
        <v>416</v>
      </c>
      <c r="D149" s="3" t="s">
        <v>65</v>
      </c>
      <c r="E149" s="101"/>
      <c r="F149" s="3" t="s">
        <v>451</v>
      </c>
      <c r="G149" s="4">
        <v>3211309</v>
      </c>
      <c r="H149" s="4" t="s">
        <v>356</v>
      </c>
      <c r="I149" s="4">
        <v>3208608</v>
      </c>
    </row>
    <row r="150" spans="2:9" x14ac:dyDescent="0.3">
      <c r="B150" s="44">
        <v>46081</v>
      </c>
      <c r="C150" s="3" t="s">
        <v>416</v>
      </c>
      <c r="D150" s="3" t="s">
        <v>65</v>
      </c>
      <c r="E150" s="101"/>
      <c r="F150" s="3" t="s">
        <v>359</v>
      </c>
      <c r="G150" s="4">
        <v>3204602</v>
      </c>
      <c r="H150" s="4" t="s">
        <v>452</v>
      </c>
      <c r="I150" s="4">
        <v>3198207</v>
      </c>
    </row>
    <row r="151" spans="2:9" x14ac:dyDescent="0.3">
      <c r="B151" s="4"/>
      <c r="E151" s="101"/>
      <c r="F151" s="3" t="s">
        <v>418</v>
      </c>
      <c r="G151" s="4" t="s">
        <v>418</v>
      </c>
      <c r="H151" s="4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65</v>
      </c>
      <c r="E152" s="101"/>
      <c r="F152" s="3" t="s">
        <v>358</v>
      </c>
      <c r="G152" s="4">
        <v>3206402</v>
      </c>
      <c r="H152" s="4" t="s">
        <v>363</v>
      </c>
      <c r="I152" s="4">
        <v>3196907</v>
      </c>
    </row>
    <row r="153" spans="2:9" x14ac:dyDescent="0.3">
      <c r="B153" s="44">
        <v>46088</v>
      </c>
      <c r="C153" s="3" t="s">
        <v>416</v>
      </c>
      <c r="D153" s="3" t="s">
        <v>65</v>
      </c>
      <c r="E153" s="101"/>
      <c r="F153" s="3" t="s">
        <v>326</v>
      </c>
      <c r="G153" s="4">
        <v>3199904</v>
      </c>
      <c r="H153" s="4" t="s">
        <v>325</v>
      </c>
      <c r="I153" s="4">
        <v>3201501</v>
      </c>
    </row>
    <row r="154" spans="2:9" x14ac:dyDescent="0.3">
      <c r="B154" s="44">
        <v>46088</v>
      </c>
      <c r="C154" s="3" t="s">
        <v>416</v>
      </c>
      <c r="D154" s="3" t="s">
        <v>65</v>
      </c>
      <c r="E154" s="101"/>
      <c r="F154" s="3" t="s">
        <v>452</v>
      </c>
      <c r="G154" s="4">
        <v>3198207</v>
      </c>
      <c r="H154" s="15" t="s">
        <v>327</v>
      </c>
      <c r="I154" s="74">
        <v>3198603</v>
      </c>
    </row>
    <row r="155" spans="2:9" x14ac:dyDescent="0.3">
      <c r="B155" s="44">
        <v>46088</v>
      </c>
      <c r="C155" s="3" t="s">
        <v>416</v>
      </c>
      <c r="D155" s="3" t="s">
        <v>65</v>
      </c>
      <c r="E155" s="101"/>
      <c r="F155" s="3" t="s">
        <v>290</v>
      </c>
      <c r="G155" s="4">
        <v>3197500</v>
      </c>
      <c r="H155" s="4" t="s">
        <v>359</v>
      </c>
      <c r="I155" s="4">
        <v>3204602</v>
      </c>
    </row>
    <row r="156" spans="2:9" x14ac:dyDescent="0.3">
      <c r="B156" s="44">
        <v>46088</v>
      </c>
      <c r="C156" s="3" t="s">
        <v>416</v>
      </c>
      <c r="D156" s="3" t="s">
        <v>65</v>
      </c>
      <c r="E156" s="101"/>
      <c r="F156" s="3" t="s">
        <v>320</v>
      </c>
      <c r="G156" s="4">
        <v>3210602</v>
      </c>
      <c r="H156" s="4" t="s">
        <v>451</v>
      </c>
      <c r="I156" s="4">
        <v>3211309</v>
      </c>
    </row>
    <row r="157" spans="2:9" x14ac:dyDescent="0.3">
      <c r="B157" s="44">
        <v>46088</v>
      </c>
      <c r="C157" s="3" t="s">
        <v>416</v>
      </c>
      <c r="D157" s="3" t="s">
        <v>65</v>
      </c>
      <c r="E157" s="101"/>
      <c r="F157" s="3" t="s">
        <v>356</v>
      </c>
      <c r="G157" s="4">
        <v>3208608</v>
      </c>
      <c r="H157" s="4" t="s">
        <v>357</v>
      </c>
      <c r="I157" s="4">
        <v>3206704</v>
      </c>
    </row>
    <row r="158" spans="2:9" x14ac:dyDescent="0.3">
      <c r="B158" s="4"/>
      <c r="E158" s="101"/>
      <c r="F158" s="3" t="s">
        <v>418</v>
      </c>
      <c r="G158" s="4" t="s">
        <v>418</v>
      </c>
      <c r="H158" s="4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65</v>
      </c>
      <c r="E159" s="101"/>
      <c r="F159" s="15" t="s">
        <v>327</v>
      </c>
      <c r="G159" s="74">
        <v>3198603</v>
      </c>
      <c r="H159" s="4" t="s">
        <v>290</v>
      </c>
      <c r="I159" s="4">
        <v>3197500</v>
      </c>
    </row>
    <row r="160" spans="2:9" x14ac:dyDescent="0.3">
      <c r="B160" s="44">
        <v>46095</v>
      </c>
      <c r="C160" s="3" t="s">
        <v>416</v>
      </c>
      <c r="D160" s="3" t="s">
        <v>65</v>
      </c>
      <c r="E160" s="101"/>
      <c r="F160" s="3" t="s">
        <v>357</v>
      </c>
      <c r="G160" s="4">
        <v>3206704</v>
      </c>
      <c r="H160" s="4" t="s">
        <v>320</v>
      </c>
      <c r="I160" s="4">
        <v>3210602</v>
      </c>
    </row>
    <row r="161" spans="2:9" x14ac:dyDescent="0.3">
      <c r="B161" s="44">
        <v>46095</v>
      </c>
      <c r="C161" s="3" t="s">
        <v>416</v>
      </c>
      <c r="D161" s="3" t="s">
        <v>65</v>
      </c>
      <c r="E161" s="101"/>
      <c r="F161" s="3" t="s">
        <v>363</v>
      </c>
      <c r="G161" s="4">
        <v>3196907</v>
      </c>
      <c r="H161" s="4" t="s">
        <v>326</v>
      </c>
      <c r="I161" s="4">
        <v>3199904</v>
      </c>
    </row>
    <row r="162" spans="2:9" x14ac:dyDescent="0.3">
      <c r="B162" s="44">
        <v>46095</v>
      </c>
      <c r="C162" s="3" t="s">
        <v>416</v>
      </c>
      <c r="D162" s="3" t="s">
        <v>65</v>
      </c>
      <c r="E162" s="101"/>
      <c r="F162" s="3" t="s">
        <v>451</v>
      </c>
      <c r="G162" s="4">
        <v>3211309</v>
      </c>
      <c r="H162" s="4" t="s">
        <v>452</v>
      </c>
      <c r="I162" s="4">
        <v>3198207</v>
      </c>
    </row>
    <row r="163" spans="2:9" x14ac:dyDescent="0.3">
      <c r="B163" s="44">
        <v>46095</v>
      </c>
      <c r="C163" s="3" t="s">
        <v>416</v>
      </c>
      <c r="D163" s="3" t="s">
        <v>65</v>
      </c>
      <c r="E163" s="101"/>
      <c r="F163" s="3" t="s">
        <v>359</v>
      </c>
      <c r="G163" s="4">
        <v>3204602</v>
      </c>
      <c r="H163" s="4" t="s">
        <v>358</v>
      </c>
      <c r="I163" s="4">
        <v>3206402</v>
      </c>
    </row>
    <row r="164" spans="2:9" x14ac:dyDescent="0.3">
      <c r="B164" s="44">
        <v>46095</v>
      </c>
      <c r="C164" s="3" t="s">
        <v>416</v>
      </c>
      <c r="D164" s="3" t="s">
        <v>65</v>
      </c>
      <c r="E164" s="101"/>
      <c r="F164" s="3" t="s">
        <v>325</v>
      </c>
      <c r="G164" s="4">
        <v>3201501</v>
      </c>
      <c r="H164" s="4" t="s">
        <v>356</v>
      </c>
      <c r="I164" s="4">
        <v>3208608</v>
      </c>
    </row>
    <row r="165" spans="2:9" x14ac:dyDescent="0.3">
      <c r="B165" s="4"/>
      <c r="E165" s="101"/>
      <c r="F165" s="3" t="s">
        <v>418</v>
      </c>
      <c r="G165" s="4" t="s">
        <v>418</v>
      </c>
      <c r="H165" s="4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65</v>
      </c>
      <c r="E166" s="101"/>
      <c r="F166" s="3" t="s">
        <v>358</v>
      </c>
      <c r="G166" s="4">
        <v>3206402</v>
      </c>
      <c r="H166" s="15" t="s">
        <v>327</v>
      </c>
      <c r="I166" s="74">
        <v>3198603</v>
      </c>
    </row>
    <row r="167" spans="2:9" x14ac:dyDescent="0.3">
      <c r="B167" s="44">
        <v>46102</v>
      </c>
      <c r="C167" s="3" t="s">
        <v>416</v>
      </c>
      <c r="D167" s="3" t="s">
        <v>65</v>
      </c>
      <c r="E167" s="101"/>
      <c r="F167" s="3" t="s">
        <v>326</v>
      </c>
      <c r="G167" s="4">
        <v>3199904</v>
      </c>
      <c r="H167" s="4" t="s">
        <v>356</v>
      </c>
      <c r="I167" s="4">
        <v>3208608</v>
      </c>
    </row>
    <row r="168" spans="2:9" x14ac:dyDescent="0.3">
      <c r="B168" s="44">
        <v>46102</v>
      </c>
      <c r="C168" s="3" t="s">
        <v>416</v>
      </c>
      <c r="D168" s="3" t="s">
        <v>65</v>
      </c>
      <c r="E168" s="101"/>
      <c r="F168" s="3" t="s">
        <v>452</v>
      </c>
      <c r="G168" s="4">
        <v>3198207</v>
      </c>
      <c r="H168" s="4" t="s">
        <v>357</v>
      </c>
      <c r="I168" s="4">
        <v>3206704</v>
      </c>
    </row>
    <row r="169" spans="2:9" x14ac:dyDescent="0.3">
      <c r="B169" s="44">
        <v>46102</v>
      </c>
      <c r="C169" s="3" t="s">
        <v>416</v>
      </c>
      <c r="D169" s="3" t="s">
        <v>65</v>
      </c>
      <c r="E169" s="101"/>
      <c r="F169" s="3" t="s">
        <v>290</v>
      </c>
      <c r="G169" s="4">
        <v>3197500</v>
      </c>
      <c r="H169" s="4" t="s">
        <v>451</v>
      </c>
      <c r="I169" s="4">
        <v>3211309</v>
      </c>
    </row>
    <row r="170" spans="2:9" x14ac:dyDescent="0.3">
      <c r="B170" s="44">
        <v>46102</v>
      </c>
      <c r="C170" s="3" t="s">
        <v>416</v>
      </c>
      <c r="D170" s="3" t="s">
        <v>65</v>
      </c>
      <c r="E170" s="101"/>
      <c r="F170" s="3" t="s">
        <v>320</v>
      </c>
      <c r="G170" s="4">
        <v>3210602</v>
      </c>
      <c r="H170" s="4" t="s">
        <v>325</v>
      </c>
      <c r="I170" s="4">
        <v>3201501</v>
      </c>
    </row>
    <row r="171" spans="2:9" x14ac:dyDescent="0.3">
      <c r="B171" s="44">
        <v>46102</v>
      </c>
      <c r="C171" s="3" t="s">
        <v>416</v>
      </c>
      <c r="D171" s="3" t="s">
        <v>65</v>
      </c>
      <c r="E171" s="101"/>
      <c r="F171" s="3" t="s">
        <v>363</v>
      </c>
      <c r="G171" s="4">
        <v>3196907</v>
      </c>
      <c r="H171" s="4" t="s">
        <v>359</v>
      </c>
      <c r="I171" s="4">
        <v>3204602</v>
      </c>
    </row>
    <row r="172" spans="2:9" x14ac:dyDescent="0.3">
      <c r="B172" s="4"/>
      <c r="E172" s="101"/>
      <c r="F172" s="3" t="s">
        <v>418</v>
      </c>
      <c r="G172" s="4" t="s">
        <v>418</v>
      </c>
      <c r="H172" s="4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65</v>
      </c>
      <c r="E173" s="101"/>
      <c r="F173" s="15" t="s">
        <v>327</v>
      </c>
      <c r="G173" s="74">
        <v>3198603</v>
      </c>
      <c r="H173" s="4" t="s">
        <v>363</v>
      </c>
      <c r="I173" s="4">
        <v>3196907</v>
      </c>
    </row>
    <row r="174" spans="2:9" x14ac:dyDescent="0.3">
      <c r="B174" s="44">
        <v>46109</v>
      </c>
      <c r="C174" s="3" t="s">
        <v>416</v>
      </c>
      <c r="D174" s="3" t="s">
        <v>65</v>
      </c>
      <c r="E174" s="101"/>
      <c r="F174" s="3" t="s">
        <v>357</v>
      </c>
      <c r="G174" s="4">
        <v>3206704</v>
      </c>
      <c r="H174" s="4" t="s">
        <v>290</v>
      </c>
      <c r="I174" s="4">
        <v>3197500</v>
      </c>
    </row>
    <row r="175" spans="2:9" x14ac:dyDescent="0.3">
      <c r="B175" s="44">
        <v>46109</v>
      </c>
      <c r="C175" s="3" t="s">
        <v>416</v>
      </c>
      <c r="D175" s="3" t="s">
        <v>65</v>
      </c>
      <c r="E175" s="101"/>
      <c r="F175" s="3" t="s">
        <v>451</v>
      </c>
      <c r="G175" s="4">
        <v>3211309</v>
      </c>
      <c r="H175" s="4" t="s">
        <v>358</v>
      </c>
      <c r="I175" s="4">
        <v>3206402</v>
      </c>
    </row>
    <row r="176" spans="2:9" x14ac:dyDescent="0.3">
      <c r="B176" s="44">
        <v>46109</v>
      </c>
      <c r="C176" s="3" t="s">
        <v>416</v>
      </c>
      <c r="D176" s="3" t="s">
        <v>65</v>
      </c>
      <c r="E176" s="101"/>
      <c r="F176" s="3" t="s">
        <v>359</v>
      </c>
      <c r="G176" s="4">
        <v>3204602</v>
      </c>
      <c r="H176" s="4" t="s">
        <v>326</v>
      </c>
      <c r="I176" s="4">
        <v>3199904</v>
      </c>
    </row>
    <row r="177" spans="2:9" x14ac:dyDescent="0.3">
      <c r="B177" s="44">
        <v>46109</v>
      </c>
      <c r="C177" s="3" t="s">
        <v>416</v>
      </c>
      <c r="D177" s="3" t="s">
        <v>65</v>
      </c>
      <c r="E177" s="101"/>
      <c r="F177" s="3" t="s">
        <v>356</v>
      </c>
      <c r="G177" s="4">
        <v>3208608</v>
      </c>
      <c r="H177" s="4" t="s">
        <v>320</v>
      </c>
      <c r="I177" s="4">
        <v>3210602</v>
      </c>
    </row>
    <row r="178" spans="2:9" x14ac:dyDescent="0.3">
      <c r="B178" s="44">
        <v>46109</v>
      </c>
      <c r="C178" s="3" t="s">
        <v>416</v>
      </c>
      <c r="D178" s="3" t="s">
        <v>65</v>
      </c>
      <c r="E178" s="101"/>
      <c r="F178" s="3" t="s">
        <v>325</v>
      </c>
      <c r="G178" s="4">
        <v>3201501</v>
      </c>
      <c r="H178" s="4" t="s">
        <v>452</v>
      </c>
      <c r="I178" s="4">
        <v>3198207</v>
      </c>
    </row>
    <row r="179" spans="2:9" x14ac:dyDescent="0.3">
      <c r="B179" s="44"/>
      <c r="E179" s="42"/>
      <c r="H179" s="4"/>
    </row>
    <row r="180" spans="2:9" x14ac:dyDescent="0.3">
      <c r="B180" s="44"/>
      <c r="E180" s="42"/>
      <c r="H180" s="4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4056" priority="677"/>
  </conditionalFormatting>
  <conditionalFormatting sqref="B11 B18:B21">
    <cfRule type="duplicateValues" dxfId="4055" priority="2291"/>
  </conditionalFormatting>
  <conditionalFormatting sqref="F179:G179">
    <cfRule type="duplicateValues" dxfId="4054" priority="298"/>
  </conditionalFormatting>
  <conditionalFormatting sqref="F180:G180">
    <cfRule type="duplicateValues" dxfId="4053" priority="213"/>
  </conditionalFormatting>
  <conditionalFormatting sqref="H179:I179">
    <cfRule type="duplicateValues" dxfId="4052" priority="277"/>
  </conditionalFormatting>
  <conditionalFormatting sqref="H180:I180">
    <cfRule type="duplicateValues" dxfId="4051" priority="381"/>
  </conditionalFormatting>
  <conditionalFormatting sqref="I5:I8">
    <cfRule type="duplicateValues" dxfId="4050" priority="2288"/>
  </conditionalFormatting>
  <conditionalFormatting sqref="K3:K4 K7:K8">
    <cfRule type="duplicateValues" dxfId="4049" priority="2290"/>
  </conditionalFormatting>
  <conditionalFormatting sqref="K5">
    <cfRule type="duplicateValues" dxfId="4048" priority="675"/>
  </conditionalFormatting>
  <conditionalFormatting sqref="I33">
    <cfRule type="duplicateValues" dxfId="4047" priority="156"/>
  </conditionalFormatting>
  <conditionalFormatting sqref="I35">
    <cfRule type="duplicateValues" dxfId="4046" priority="106"/>
  </conditionalFormatting>
  <conditionalFormatting sqref="I36">
    <cfRule type="duplicateValues" dxfId="4045" priority="139"/>
  </conditionalFormatting>
  <conditionalFormatting sqref="I37">
    <cfRule type="duplicateValues" dxfId="4044" priority="117"/>
  </conditionalFormatting>
  <conditionalFormatting sqref="I38">
    <cfRule type="duplicateValues" dxfId="4043" priority="128"/>
  </conditionalFormatting>
  <conditionalFormatting sqref="I40">
    <cfRule type="duplicateValues" dxfId="4042" priority="84"/>
  </conditionalFormatting>
  <conditionalFormatting sqref="I41">
    <cfRule type="duplicateValues" dxfId="4041" priority="155"/>
  </conditionalFormatting>
  <conditionalFormatting sqref="I42">
    <cfRule type="duplicateValues" dxfId="4040" priority="63"/>
  </conditionalFormatting>
  <conditionalFormatting sqref="I44">
    <cfRule type="duplicateValues" dxfId="4039" priority="43"/>
  </conditionalFormatting>
  <conditionalFormatting sqref="I45">
    <cfRule type="duplicateValues" dxfId="4038" priority="73"/>
  </conditionalFormatting>
  <conditionalFormatting sqref="I47">
    <cfRule type="duplicateValues" dxfId="4037" priority="127"/>
  </conditionalFormatting>
  <conditionalFormatting sqref="I48">
    <cfRule type="duplicateValues" dxfId="4036" priority="82"/>
  </conditionalFormatting>
  <conditionalFormatting sqref="I49">
    <cfRule type="duplicateValues" dxfId="4035" priority="83"/>
  </conditionalFormatting>
  <conditionalFormatting sqref="I50">
    <cfRule type="duplicateValues" dxfId="4034" priority="116"/>
  </conditionalFormatting>
  <conditionalFormatting sqref="I51">
    <cfRule type="duplicateValues" dxfId="4033" priority="94"/>
  </conditionalFormatting>
  <conditionalFormatting sqref="I52">
    <cfRule type="duplicateValues" dxfId="4032" priority="105"/>
  </conditionalFormatting>
  <conditionalFormatting sqref="I54">
    <cfRule type="duplicateValues" dxfId="4031" priority="72"/>
  </conditionalFormatting>
  <conditionalFormatting sqref="I55">
    <cfRule type="duplicateValues" dxfId="4030" priority="42"/>
  </conditionalFormatting>
  <conditionalFormatting sqref="I56">
    <cfRule type="duplicateValues" dxfId="4029" priority="138"/>
  </conditionalFormatting>
  <conditionalFormatting sqref="I57">
    <cfRule type="duplicateValues" dxfId="4028" priority="154"/>
  </conditionalFormatting>
  <conditionalFormatting sqref="I58">
    <cfRule type="duplicateValues" dxfId="4027" priority="62"/>
  </conditionalFormatting>
  <conditionalFormatting sqref="I61">
    <cfRule type="duplicateValues" dxfId="4026" priority="104"/>
  </conditionalFormatting>
  <conditionalFormatting sqref="I62">
    <cfRule type="duplicateValues" dxfId="4025" priority="115"/>
  </conditionalFormatting>
  <conditionalFormatting sqref="I63">
    <cfRule type="duplicateValues" dxfId="4024" priority="146"/>
  </conditionalFormatting>
  <conditionalFormatting sqref="I64">
    <cfRule type="duplicateValues" dxfId="4023" priority="93"/>
  </conditionalFormatting>
  <conditionalFormatting sqref="I65">
    <cfRule type="duplicateValues" dxfId="4022" priority="71"/>
  </conditionalFormatting>
  <conditionalFormatting sqref="I66">
    <cfRule type="duplicateValues" dxfId="4021" priority="81"/>
  </conditionalFormatting>
  <conditionalFormatting sqref="I68">
    <cfRule type="duplicateValues" dxfId="4020" priority="41"/>
  </conditionalFormatting>
  <conditionalFormatting sqref="I69">
    <cfRule type="duplicateValues" dxfId="4019" priority="61"/>
  </conditionalFormatting>
  <conditionalFormatting sqref="I70">
    <cfRule type="duplicateValues" dxfId="4018" priority="51"/>
  </conditionalFormatting>
  <conditionalFormatting sqref="I72">
    <cfRule type="duplicateValues" dxfId="4017" priority="137"/>
  </conditionalFormatting>
  <conditionalFormatting sqref="I73">
    <cfRule type="duplicateValues" dxfId="4016" priority="153"/>
  </conditionalFormatting>
  <conditionalFormatting sqref="I75">
    <cfRule type="duplicateValues" dxfId="4015" priority="80"/>
  </conditionalFormatting>
  <conditionalFormatting sqref="I76">
    <cfRule type="duplicateValues" dxfId="4014" priority="92"/>
  </conditionalFormatting>
  <conditionalFormatting sqref="I77">
    <cfRule type="duplicateValues" dxfId="4013" priority="103"/>
  </conditionalFormatting>
  <conditionalFormatting sqref="I78">
    <cfRule type="duplicateValues" dxfId="4012" priority="145"/>
  </conditionalFormatting>
  <conditionalFormatting sqref="I79">
    <cfRule type="duplicateValues" dxfId="4011" priority="70"/>
  </conditionalFormatting>
  <conditionalFormatting sqref="I80">
    <cfRule type="duplicateValues" dxfId="4010" priority="40"/>
  </conditionalFormatting>
  <conditionalFormatting sqref="I82">
    <cfRule type="duplicateValues" dxfId="4009" priority="50"/>
  </conditionalFormatting>
  <conditionalFormatting sqref="I83">
    <cfRule type="duplicateValues" dxfId="4008" priority="136"/>
  </conditionalFormatting>
  <conditionalFormatting sqref="I84">
    <cfRule type="duplicateValues" dxfId="4007" priority="152"/>
  </conditionalFormatting>
  <conditionalFormatting sqref="I86">
    <cfRule type="duplicateValues" dxfId="4006" priority="125"/>
  </conditionalFormatting>
  <conditionalFormatting sqref="I87">
    <cfRule type="duplicateValues" dxfId="4005" priority="60"/>
  </conditionalFormatting>
  <conditionalFormatting sqref="I89">
    <cfRule type="duplicateValues" dxfId="4004" priority="39"/>
  </conditionalFormatting>
  <conditionalFormatting sqref="I90">
    <cfRule type="duplicateValues" dxfId="4003" priority="69"/>
  </conditionalFormatting>
  <conditionalFormatting sqref="I91">
    <cfRule type="duplicateValues" dxfId="4002" priority="79"/>
  </conditionalFormatting>
  <conditionalFormatting sqref="I92">
    <cfRule type="duplicateValues" dxfId="4001" priority="91"/>
  </conditionalFormatting>
  <conditionalFormatting sqref="I93">
    <cfRule type="duplicateValues" dxfId="4000" priority="144"/>
  </conditionalFormatting>
  <conditionalFormatting sqref="I94">
    <cfRule type="duplicateValues" dxfId="3999" priority="49"/>
  </conditionalFormatting>
  <conditionalFormatting sqref="I96">
    <cfRule type="duplicateValues" dxfId="3998" priority="59"/>
  </conditionalFormatting>
  <conditionalFormatting sqref="I97">
    <cfRule type="duplicateValues" dxfId="3997" priority="113"/>
  </conditionalFormatting>
  <conditionalFormatting sqref="I98">
    <cfRule type="duplicateValues" dxfId="3996" priority="124"/>
  </conditionalFormatting>
  <conditionalFormatting sqref="I99">
    <cfRule type="duplicateValues" dxfId="3995" priority="102"/>
  </conditionalFormatting>
  <conditionalFormatting sqref="I100">
    <cfRule type="duplicateValues" dxfId="3994" priority="135"/>
  </conditionalFormatting>
  <conditionalFormatting sqref="I103">
    <cfRule type="duplicateValues" dxfId="3993" priority="90"/>
  </conditionalFormatting>
  <conditionalFormatting sqref="I104">
    <cfRule type="duplicateValues" dxfId="3992" priority="101"/>
  </conditionalFormatting>
  <conditionalFormatting sqref="I105">
    <cfRule type="duplicateValues" dxfId="3991" priority="112"/>
  </conditionalFormatting>
  <conditionalFormatting sqref="I106">
    <cfRule type="duplicateValues" dxfId="3990" priority="151"/>
  </conditionalFormatting>
  <conditionalFormatting sqref="I107">
    <cfRule type="duplicateValues" dxfId="3989" priority="123"/>
  </conditionalFormatting>
  <conditionalFormatting sqref="I110">
    <cfRule type="duplicateValues" dxfId="3988" priority="143"/>
  </conditionalFormatting>
  <conditionalFormatting sqref="I111">
    <cfRule type="duplicateValues" dxfId="3987" priority="58"/>
  </conditionalFormatting>
  <conditionalFormatting sqref="I112">
    <cfRule type="duplicateValues" dxfId="3986" priority="48"/>
  </conditionalFormatting>
  <conditionalFormatting sqref="I113">
    <cfRule type="duplicateValues" dxfId="3985" priority="38"/>
  </conditionalFormatting>
  <conditionalFormatting sqref="I114">
    <cfRule type="duplicateValues" dxfId="3984" priority="68"/>
  </conditionalFormatting>
  <conditionalFormatting sqref="I115">
    <cfRule type="duplicateValues" dxfId="3983" priority="78"/>
  </conditionalFormatting>
  <conditionalFormatting sqref="I117">
    <cfRule type="duplicateValues" dxfId="3982" priority="133"/>
  </conditionalFormatting>
  <conditionalFormatting sqref="I118">
    <cfRule type="duplicateValues" dxfId="3981" priority="32"/>
  </conditionalFormatting>
  <conditionalFormatting sqref="I119">
    <cfRule type="duplicateValues" dxfId="3980" priority="89"/>
  </conditionalFormatting>
  <conditionalFormatting sqref="I120">
    <cfRule type="duplicateValues" dxfId="3979" priority="122"/>
  </conditionalFormatting>
  <conditionalFormatting sqref="I121">
    <cfRule type="duplicateValues" dxfId="3978" priority="100"/>
  </conditionalFormatting>
  <conditionalFormatting sqref="I122">
    <cfRule type="duplicateValues" dxfId="3977" priority="111"/>
  </conditionalFormatting>
  <conditionalFormatting sqref="I124">
    <cfRule type="duplicateValues" dxfId="3976" priority="132"/>
  </conditionalFormatting>
  <conditionalFormatting sqref="I125">
    <cfRule type="duplicateValues" dxfId="3975" priority="67"/>
  </conditionalFormatting>
  <conditionalFormatting sqref="I126">
    <cfRule type="duplicateValues" dxfId="3974" priority="150"/>
  </conditionalFormatting>
  <conditionalFormatting sqref="I128">
    <cfRule type="duplicateValues" dxfId="3973" priority="47"/>
  </conditionalFormatting>
  <conditionalFormatting sqref="I129">
    <cfRule type="duplicateValues" dxfId="3972" priority="37"/>
  </conditionalFormatting>
  <conditionalFormatting sqref="I131">
    <cfRule type="duplicateValues" dxfId="3971" priority="110"/>
  </conditionalFormatting>
  <conditionalFormatting sqref="I132">
    <cfRule type="duplicateValues" dxfId="3970" priority="121"/>
  </conditionalFormatting>
  <conditionalFormatting sqref="I133">
    <cfRule type="duplicateValues" dxfId="3969" priority="31"/>
  </conditionalFormatting>
  <conditionalFormatting sqref="I134">
    <cfRule type="duplicateValues" dxfId="3968" priority="99"/>
  </conditionalFormatting>
  <conditionalFormatting sqref="I135">
    <cfRule type="duplicateValues" dxfId="3967" priority="77"/>
  </conditionalFormatting>
  <conditionalFormatting sqref="I136">
    <cfRule type="duplicateValues" dxfId="3966" priority="88"/>
  </conditionalFormatting>
  <conditionalFormatting sqref="I138">
    <cfRule type="duplicateValues" dxfId="3965" priority="120"/>
  </conditionalFormatting>
  <conditionalFormatting sqref="I139">
    <cfRule type="duplicateValues" dxfId="3964" priority="46"/>
  </conditionalFormatting>
  <conditionalFormatting sqref="I140">
    <cfRule type="duplicateValues" dxfId="3963" priority="36"/>
  </conditionalFormatting>
  <conditionalFormatting sqref="I141">
    <cfRule type="duplicateValues" dxfId="3962" priority="131"/>
  </conditionalFormatting>
  <conditionalFormatting sqref="I143">
    <cfRule type="duplicateValues" dxfId="3961" priority="56"/>
  </conditionalFormatting>
  <conditionalFormatting sqref="I145">
    <cfRule type="duplicateValues" dxfId="3960" priority="87"/>
  </conditionalFormatting>
  <conditionalFormatting sqref="I146">
    <cfRule type="duplicateValues" dxfId="3959" priority="98"/>
  </conditionalFormatting>
  <conditionalFormatting sqref="I147">
    <cfRule type="duplicateValues" dxfId="3958" priority="109"/>
  </conditionalFormatting>
  <conditionalFormatting sqref="I148">
    <cfRule type="duplicateValues" dxfId="3957" priority="76"/>
  </conditionalFormatting>
  <conditionalFormatting sqref="I149">
    <cfRule type="duplicateValues" dxfId="3956" priority="142"/>
  </conditionalFormatting>
  <conditionalFormatting sqref="I150">
    <cfRule type="duplicateValues" dxfId="3955" priority="66"/>
  </conditionalFormatting>
  <conditionalFormatting sqref="I152">
    <cfRule type="duplicateValues" dxfId="3954" priority="108"/>
  </conditionalFormatting>
  <conditionalFormatting sqref="I153">
    <cfRule type="duplicateValues" dxfId="3953" priority="148"/>
  </conditionalFormatting>
  <conditionalFormatting sqref="I155">
    <cfRule type="duplicateValues" dxfId="3952" priority="119"/>
  </conditionalFormatting>
  <conditionalFormatting sqref="I156">
    <cfRule type="duplicateValues" dxfId="3951" priority="130"/>
  </conditionalFormatting>
  <conditionalFormatting sqref="I157">
    <cfRule type="duplicateValues" dxfId="3950" priority="45"/>
  </conditionalFormatting>
  <conditionalFormatting sqref="I159">
    <cfRule type="duplicateValues" dxfId="3949" priority="65"/>
  </conditionalFormatting>
  <conditionalFormatting sqref="I160">
    <cfRule type="duplicateValues" dxfId="3948" priority="75"/>
  </conditionalFormatting>
  <conditionalFormatting sqref="I161">
    <cfRule type="duplicateValues" dxfId="3947" priority="86"/>
  </conditionalFormatting>
  <conditionalFormatting sqref="I162">
    <cfRule type="duplicateValues" dxfId="3946" priority="97"/>
  </conditionalFormatting>
  <conditionalFormatting sqref="I163">
    <cfRule type="duplicateValues" dxfId="3945" priority="35"/>
  </conditionalFormatting>
  <conditionalFormatting sqref="I164">
    <cfRule type="duplicateValues" dxfId="3944" priority="141"/>
  </conditionalFormatting>
  <conditionalFormatting sqref="I167">
    <cfRule type="duplicateValues" dxfId="3943" priority="118"/>
  </conditionalFormatting>
  <conditionalFormatting sqref="I168">
    <cfRule type="duplicateValues" dxfId="3942" priority="129"/>
  </conditionalFormatting>
  <conditionalFormatting sqref="I169">
    <cfRule type="duplicateValues" dxfId="3941" priority="107"/>
  </conditionalFormatting>
  <conditionalFormatting sqref="I170">
    <cfRule type="duplicateValues" dxfId="3940" priority="147"/>
  </conditionalFormatting>
  <conditionalFormatting sqref="I171">
    <cfRule type="duplicateValues" dxfId="3939" priority="54"/>
  </conditionalFormatting>
  <conditionalFormatting sqref="I173">
    <cfRule type="duplicateValues" dxfId="3938" priority="44"/>
  </conditionalFormatting>
  <conditionalFormatting sqref="I174">
    <cfRule type="duplicateValues" dxfId="3937" priority="34"/>
  </conditionalFormatting>
  <conditionalFormatting sqref="I175">
    <cfRule type="duplicateValues" dxfId="3936" priority="64"/>
  </conditionalFormatting>
  <conditionalFormatting sqref="I176">
    <cfRule type="duplicateValues" dxfId="3935" priority="74"/>
  </conditionalFormatting>
  <conditionalFormatting sqref="I177">
    <cfRule type="duplicateValues" dxfId="3934" priority="85"/>
  </conditionalFormatting>
  <conditionalFormatting sqref="I178">
    <cfRule type="duplicateValues" dxfId="3933" priority="140"/>
  </conditionalFormatting>
  <conditionalFormatting sqref="I26:I31">
    <cfRule type="duplicateValues" dxfId="3932" priority="30"/>
  </conditionalFormatting>
  <conditionalFormatting sqref="I10:L21">
    <cfRule type="cellIs" dxfId="3931" priority="25" operator="lessThan">
      <formula>5</formula>
    </cfRule>
    <cfRule type="cellIs" dxfId="3930" priority="26" operator="greaterThan">
      <formula>6</formula>
    </cfRule>
  </conditionalFormatting>
  <conditionalFormatting sqref="J10:J21">
    <cfRule type="containsText" dxfId="3929" priority="29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3928" priority="28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3927" priority="27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3926" priority="24" operator="containsText" text="c'[Fixtures All.xlsx]Women Filtered'!$F$2">
      <formula>NOT(ISERROR(SEARCH("c'[Fixtures All.xlsx]Women Filtered'!$F$2",J10)))</formula>
    </cfRule>
  </conditionalFormatting>
  <conditionalFormatting sqref="F26">
    <cfRule type="duplicateValues" dxfId="3925" priority="23"/>
  </conditionalFormatting>
  <conditionalFormatting sqref="H34">
    <cfRule type="duplicateValues" dxfId="3924" priority="22"/>
  </conditionalFormatting>
  <conditionalFormatting sqref="H43">
    <cfRule type="duplicateValues" dxfId="3923" priority="21"/>
  </conditionalFormatting>
  <conditionalFormatting sqref="F48">
    <cfRule type="duplicateValues" dxfId="3922" priority="20"/>
  </conditionalFormatting>
  <conditionalFormatting sqref="H59">
    <cfRule type="duplicateValues" dxfId="3921" priority="19"/>
  </conditionalFormatting>
  <conditionalFormatting sqref="F62">
    <cfRule type="duplicateValues" dxfId="3920" priority="18"/>
  </conditionalFormatting>
  <conditionalFormatting sqref="H71">
    <cfRule type="duplicateValues" dxfId="3919" priority="17"/>
  </conditionalFormatting>
  <conditionalFormatting sqref="F75">
    <cfRule type="duplicateValues" dxfId="3918" priority="16"/>
  </conditionalFormatting>
  <conditionalFormatting sqref="H85">
    <cfRule type="duplicateValues" dxfId="3917" priority="15"/>
  </conditionalFormatting>
  <conditionalFormatting sqref="F89">
    <cfRule type="duplicateValues" dxfId="3916" priority="14"/>
  </conditionalFormatting>
  <conditionalFormatting sqref="H101">
    <cfRule type="duplicateValues" dxfId="3915" priority="13"/>
  </conditionalFormatting>
  <conditionalFormatting sqref="H108">
    <cfRule type="duplicateValues" dxfId="3914" priority="12"/>
  </conditionalFormatting>
  <conditionalFormatting sqref="F110">
    <cfRule type="duplicateValues" dxfId="3913" priority="11"/>
  </conditionalFormatting>
  <conditionalFormatting sqref="F118">
    <cfRule type="duplicateValues" dxfId="3912" priority="10"/>
  </conditionalFormatting>
  <conditionalFormatting sqref="H127">
    <cfRule type="duplicateValues" dxfId="3911" priority="9"/>
  </conditionalFormatting>
  <conditionalFormatting sqref="F132">
    <cfRule type="duplicateValues" dxfId="3910" priority="8"/>
  </conditionalFormatting>
  <conditionalFormatting sqref="H142">
    <cfRule type="duplicateValues" dxfId="3909" priority="7"/>
  </conditionalFormatting>
  <conditionalFormatting sqref="F146">
    <cfRule type="duplicateValues" dxfId="3908" priority="6"/>
  </conditionalFormatting>
  <conditionalFormatting sqref="H154">
    <cfRule type="duplicateValues" dxfId="3907" priority="5"/>
  </conditionalFormatting>
  <conditionalFormatting sqref="F159">
    <cfRule type="duplicateValues" dxfId="3906" priority="4"/>
  </conditionalFormatting>
  <conditionalFormatting sqref="H166">
    <cfRule type="duplicateValues" dxfId="3905" priority="3"/>
  </conditionalFormatting>
  <conditionalFormatting sqref="F173">
    <cfRule type="duplicateValues" dxfId="3904" priority="2"/>
  </conditionalFormatting>
  <conditionalFormatting sqref="F1:F1048576">
    <cfRule type="containsText" dxfId="3903" priority="1" operator="containsText" text="sefton">
      <formula>NOT(ISERROR(SEARCH("sefton",F1)))</formula>
    </cfRule>
  </conditionalFormatting>
  <hyperlinks>
    <hyperlink ref="K3" location="Contents!A1" display="Back to Contents" xr:uid="{D566C97A-6597-4835-836D-9450A54F7B0C}"/>
    <hyperlink ref="K5:K6" location="'All Fixtures'!A1" display="See all NW Fixtures" xr:uid="{28907B09-5E85-4542-AD14-9EA6777772FE}"/>
  </hyperlinks>
  <pageMargins left="0.7" right="0.7" top="0.75" bottom="0.75" header="0.3" footer="0.3"/>
  <ignoredErrors>
    <ignoredError sqref="J10:J21" formula="1"/>
  </ignoredError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F8F1-4B50-4455-9C44-EF5E6E631E55}">
  <dimension ref="A2:AQ129"/>
  <sheetViews>
    <sheetView zoomScale="90" zoomScaleNormal="90" workbookViewId="0"/>
  </sheetViews>
  <sheetFormatPr defaultRowHeight="14.4" x14ac:dyDescent="0.3"/>
  <cols>
    <col min="1" max="1" width="4.6640625" style="47" customWidth="1"/>
    <col min="2" max="2" width="40.88671875" style="3" customWidth="1"/>
    <col min="3" max="3" width="25.88671875" style="3" customWidth="1"/>
    <col min="4" max="4" width="44.77734375" style="3" customWidth="1"/>
    <col min="5" max="5" width="13.5546875" style="3" customWidth="1"/>
    <col min="6" max="6" width="42" style="3" customWidth="1"/>
    <col min="7" max="7" width="9.5546875" style="4" customWidth="1"/>
    <col min="8" max="8" width="42.77734375" style="4" customWidth="1"/>
    <col min="9" max="9" width="11.21875" style="4" customWidth="1"/>
    <col min="10" max="10" width="8.88671875" style="3"/>
    <col min="11" max="11" width="17.777343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66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D8" s="79"/>
      <c r="E8" s="79"/>
      <c r="F8" s="79"/>
      <c r="G8" s="80"/>
      <c r="H8" s="80"/>
      <c r="I8" s="80"/>
    </row>
    <row r="9" spans="1:12" ht="15" customHeight="1" x14ac:dyDescent="0.4">
      <c r="B9" s="21" t="s">
        <v>85</v>
      </c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COUNTIF(F$22:I$125,"Chorley Phoenix Development (W)")</f>
        <v>21</v>
      </c>
      <c r="B10" s="3" t="s">
        <v>602</v>
      </c>
      <c r="C10" s="74">
        <v>4023001</v>
      </c>
      <c r="D10" s="57">
        <f>COUNTIF(F$22:I$125,"4023001")</f>
        <v>21</v>
      </c>
      <c r="E10" s="59"/>
      <c r="F10" s="57">
        <f>COUNTIF(F$22:F$125,"Chorley Phoenix Development (W)")</f>
        <v>10</v>
      </c>
      <c r="G10" s="15"/>
      <c r="H10" s="57">
        <f>COUNTIF(H$22:H$125,"Chorley Phoenix Development (W)")</f>
        <v>11</v>
      </c>
      <c r="I10" s="57">
        <f>COUNTIF(F$22:F$75,"Chorley Phoenix Development (W)")</f>
        <v>5</v>
      </c>
      <c r="J10" s="57">
        <f>COUNTIF(F$76:F$125,"Chorley Phoenix Development (W)")</f>
        <v>5</v>
      </c>
      <c r="K10" s="57">
        <f>COUNTIF(H$22:H$75,"Chorley Phoenix Development (W)")</f>
        <v>6</v>
      </c>
      <c r="L10" s="57">
        <f>COUNTIF(H$76:H$125,"Chorley Phoenix Development (W)")</f>
        <v>5</v>
      </c>
    </row>
    <row r="11" spans="1:12" ht="15" customHeight="1" x14ac:dyDescent="0.3">
      <c r="A11" s="47">
        <f>COUNTIF(F$22:I$125,"Clitheroe Blackburn Northern Development (W)")</f>
        <v>21</v>
      </c>
      <c r="B11" s="3" t="s">
        <v>603</v>
      </c>
      <c r="C11" s="74">
        <v>3945400</v>
      </c>
      <c r="D11" s="57">
        <f>COUNTIF(F$22:I$125,"3945400")</f>
        <v>21</v>
      </c>
      <c r="E11" s="59"/>
      <c r="F11" s="57">
        <f>COUNTIF(F$22:F$125,"Clitheroe Blackburn Northern Development (W)")</f>
        <v>11</v>
      </c>
      <c r="G11" s="15"/>
      <c r="H11" s="57">
        <f>COUNTIF(H$22:H$125,"Clitheroe Blackburn Northern Development (W)")</f>
        <v>10</v>
      </c>
      <c r="I11" s="57">
        <f>COUNTIF(F$22:F$75,"Clitheroe Blackburn Northern Development (W)")</f>
        <v>5</v>
      </c>
      <c r="J11" s="57">
        <f>COUNTIF(F$76:F$125,"Clitheroe Blackburn Northern Development (W)")</f>
        <v>6</v>
      </c>
      <c r="K11" s="57">
        <f>COUNTIF(H$22:H$75,"Clitheroe Blackburn Northern Development (W)")</f>
        <v>6</v>
      </c>
      <c r="L11" s="57">
        <f>COUNTIF(H$76:H$125,"Clitheroe Blackburn Northern Development (W)")</f>
        <v>4</v>
      </c>
    </row>
    <row r="12" spans="1:12" ht="15" customHeight="1" x14ac:dyDescent="0.3">
      <c r="A12" s="47">
        <f>COUNTIF(F$22:I$125,"Fylde Development (W)")</f>
        <v>21</v>
      </c>
      <c r="B12" s="3" t="s">
        <v>604</v>
      </c>
      <c r="C12" s="74">
        <v>3205507</v>
      </c>
      <c r="D12" s="57">
        <f>COUNTIF(F$22:I$125,"3205507")</f>
        <v>21</v>
      </c>
      <c r="E12" s="59"/>
      <c r="F12" s="57">
        <f>COUNTIF(F$22:F$125,"Fylde Development (W)")</f>
        <v>10</v>
      </c>
      <c r="G12" s="15"/>
      <c r="H12" s="57">
        <f>COUNTIF(H$22:H$125,"Fylde Development (W)")</f>
        <v>11</v>
      </c>
      <c r="I12" s="57">
        <f>COUNTIF(F$22:F$75,"Fylde Development (W)")</f>
        <v>6</v>
      </c>
      <c r="J12" s="57">
        <f>COUNTIF(F$76:F$125,"Fylde Development (W)")</f>
        <v>4</v>
      </c>
      <c r="K12" s="57">
        <f>COUNTIF(H$22:H$75,"Fylde Development (W)")</f>
        <v>5</v>
      </c>
      <c r="L12" s="57">
        <f>COUNTIF(H$76:H$125,"Fylde Development (W)")</f>
        <v>6</v>
      </c>
    </row>
    <row r="13" spans="1:12" ht="15" customHeight="1" x14ac:dyDescent="0.3">
      <c r="A13" s="47">
        <f>COUNTIF(F$22:I$125,"Garstang Development (W)")</f>
        <v>21</v>
      </c>
      <c r="B13" s="3" t="s">
        <v>605</v>
      </c>
      <c r="C13" s="109">
        <v>3900109</v>
      </c>
      <c r="D13" s="57">
        <f>COUNTIF(F$22:I$125,"3900109")</f>
        <v>21</v>
      </c>
      <c r="E13" s="59"/>
      <c r="F13" s="57">
        <f>COUNTIF(F$22:F$125,"Garstang Development (W)")</f>
        <v>11</v>
      </c>
      <c r="G13" s="15"/>
      <c r="H13" s="57">
        <f>COUNTIF(H$22:H$125,"Garstang Development (W)")</f>
        <v>10</v>
      </c>
      <c r="I13" s="57">
        <f>COUNTIF(F$22:F$75,"Garstang Development (W)")</f>
        <v>6</v>
      </c>
      <c r="J13" s="57">
        <f>COUNTIF(F$76:F$125,"Garstang Development (W)")</f>
        <v>5</v>
      </c>
      <c r="K13" s="57">
        <f>COUNTIF(H$22:H$75,"Garstang Development (W)")</f>
        <v>5</v>
      </c>
      <c r="L13" s="57">
        <f>COUNTIF(H$76:H$125,"Garstang Development (W)")</f>
        <v>5</v>
      </c>
    </row>
    <row r="14" spans="1:12" ht="15" customHeight="1" x14ac:dyDescent="0.3">
      <c r="A14" s="47">
        <f>COUNTIF(F$22:I$125,"Lancaster &amp; District 4 (W)")</f>
        <v>21</v>
      </c>
      <c r="B14" s="3" t="s">
        <v>606</v>
      </c>
      <c r="C14" s="97" t="s">
        <v>588</v>
      </c>
      <c r="D14" s="57">
        <f>COUNTIF(F$22:I$125,"Code LD")</f>
        <v>21</v>
      </c>
      <c r="E14" s="59"/>
      <c r="F14" s="57">
        <f>COUNTIF(F$22:F$125,"Lancaster &amp; District 4 (W)")</f>
        <v>11</v>
      </c>
      <c r="G14" s="15"/>
      <c r="H14" s="57">
        <f>COUNTIF(H$22:H$125,"Lancaster &amp; District 4 (W)")</f>
        <v>10</v>
      </c>
      <c r="I14" s="57">
        <f>COUNTIF(F$22:F$75,"Lancaster &amp; District 4 (W)")</f>
        <v>6</v>
      </c>
      <c r="J14" s="57">
        <f>COUNTIF(F$76:F$125,"Lancaster &amp; District 4 (W)")</f>
        <v>5</v>
      </c>
      <c r="K14" s="57">
        <f>COUNTIF(H$22:H$75,"Lancaster &amp; District 4 (W)")</f>
        <v>5</v>
      </c>
      <c r="L14" s="57">
        <f>COUNTIF(H$76:H$125,"Lancaster &amp; District 4 (W)")</f>
        <v>5</v>
      </c>
    </row>
    <row r="15" spans="1:12" x14ac:dyDescent="0.3">
      <c r="A15" s="47">
        <f>COUNTIF(F$22:I$125,"Lancaster University 2 (W)")</f>
        <v>21</v>
      </c>
      <c r="B15" s="3" t="s">
        <v>607</v>
      </c>
      <c r="C15" s="4">
        <v>3596309</v>
      </c>
      <c r="D15" s="57">
        <f>COUNTIF(F$22:I$125,"3596309")</f>
        <v>21</v>
      </c>
      <c r="E15" s="59"/>
      <c r="F15" s="57">
        <f>COUNTIF(F$22:F$125,"Lancaster University 2 (W)")</f>
        <v>11</v>
      </c>
      <c r="G15" s="15"/>
      <c r="H15" s="57">
        <f>COUNTIF(H$22:H$125,"Lancaster University 2 (W)")</f>
        <v>10</v>
      </c>
      <c r="I15" s="57">
        <f>COUNTIF(F$22:F$75,"Lancaster University 2 (W)")</f>
        <v>6</v>
      </c>
      <c r="J15" s="57">
        <f>COUNTIF(F$76:F$125,"Lancaster University 2 (W)")</f>
        <v>5</v>
      </c>
      <c r="K15" s="57">
        <f>COUNTIF(H$22:H$75,"Lancaster University 2 (W)")</f>
        <v>5</v>
      </c>
      <c r="L15" s="57">
        <f>COUNTIF(H$76:H$125,"Lancaster University 2 (W)")</f>
        <v>5</v>
      </c>
    </row>
    <row r="16" spans="1:12" x14ac:dyDescent="0.3">
      <c r="A16" s="47">
        <f>COUNTIF(F$22:I$125,"Leyland &amp; Chorley 3 (W)")</f>
        <v>21</v>
      </c>
      <c r="B16" s="104" t="s">
        <v>608</v>
      </c>
      <c r="C16" s="74">
        <v>3819107</v>
      </c>
      <c r="D16" s="57">
        <f>COUNTIF(F$22:I$125,"3819107")</f>
        <v>21</v>
      </c>
      <c r="E16" s="59"/>
      <c r="F16" s="57">
        <f>COUNTIF(F$22:F$125,"Leyland &amp; Chorley 3 (W)")</f>
        <v>10</v>
      </c>
      <c r="G16" s="15"/>
      <c r="H16" s="57">
        <f>COUNTIF(H$22:H$125,"Leyland &amp; Chorley 3 (W)")</f>
        <v>11</v>
      </c>
      <c r="I16" s="57">
        <f>COUNTIF(F$22:F$75,"Leyland &amp; Chorley 3 (W)")</f>
        <v>5</v>
      </c>
      <c r="J16" s="57">
        <f>COUNTIF(F$76:F$125,"Leyland &amp; Chorley 3 (W)")</f>
        <v>5</v>
      </c>
      <c r="K16" s="57">
        <f>COUNTIF(H$22:H$75,"Leyland &amp; Chorley 3 (W)")</f>
        <v>6</v>
      </c>
      <c r="L16" s="57">
        <f>COUNTIF(H$76:H$125,"Leyland &amp; Chorley 3 (W)")</f>
        <v>5</v>
      </c>
    </row>
    <row r="17" spans="1:12" x14ac:dyDescent="0.3">
      <c r="A17" s="47">
        <f>COUNTIF(F$22:I$125,"Longridge Development (W)")</f>
        <v>21</v>
      </c>
      <c r="B17" s="104" t="s">
        <v>609</v>
      </c>
      <c r="C17" s="74">
        <v>3900401</v>
      </c>
      <c r="D17" s="57">
        <f>COUNTIF(F$22:I$125,"3900401")</f>
        <v>21</v>
      </c>
      <c r="E17" s="59"/>
      <c r="F17" s="57">
        <f>COUNTIF(F$22:F$125,"Longridge Development (W)")</f>
        <v>10</v>
      </c>
      <c r="G17" s="15"/>
      <c r="H17" s="57">
        <f>COUNTIF(H$22:H$125,"Longridge Development (W)")</f>
        <v>11</v>
      </c>
      <c r="I17" s="57">
        <f>COUNTIF(F$22:F$75,"Longridge Development (W)")</f>
        <v>5</v>
      </c>
      <c r="J17" s="57">
        <f>COUNTIF(F$76:F$125,"Longridge Development (W)")</f>
        <v>5</v>
      </c>
      <c r="K17" s="57">
        <f>COUNTIF(H$22:H$75,"Longridge Development (W)")</f>
        <v>6</v>
      </c>
      <c r="L17" s="57">
        <f>COUNTIF(H$76:H$125,"Longridge Development (W)")</f>
        <v>5</v>
      </c>
    </row>
    <row r="18" spans="1:12" x14ac:dyDescent="0.3">
      <c r="B18" s="104"/>
      <c r="C18" s="74"/>
      <c r="D18" s="57"/>
      <c r="E18" s="59"/>
      <c r="F18" s="57"/>
      <c r="G18" s="15"/>
      <c r="H18" s="57"/>
      <c r="I18" s="57"/>
      <c r="J18" s="57"/>
      <c r="K18" s="57"/>
      <c r="L18" s="57"/>
    </row>
    <row r="19" spans="1:12" ht="21" x14ac:dyDescent="0.4">
      <c r="B19" s="22" t="s">
        <v>93</v>
      </c>
    </row>
    <row r="20" spans="1:12" s="3" customFormat="1" x14ac:dyDescent="0.3">
      <c r="A20" s="47"/>
      <c r="B20" s="40" t="s">
        <v>408</v>
      </c>
      <c r="C20" s="14" t="s">
        <v>409</v>
      </c>
      <c r="D20" s="14" t="s">
        <v>410</v>
      </c>
      <c r="E20" s="14" t="s">
        <v>411</v>
      </c>
      <c r="F20" s="14" t="s">
        <v>412</v>
      </c>
      <c r="G20" s="14" t="s">
        <v>413</v>
      </c>
      <c r="H20" s="14" t="s">
        <v>414</v>
      </c>
      <c r="I20" s="14" t="s">
        <v>415</v>
      </c>
      <c r="K20" s="51"/>
    </row>
    <row r="21" spans="1:12" s="3" customFormat="1" x14ac:dyDescent="0.3">
      <c r="A21" s="47"/>
      <c r="B21" s="40"/>
      <c r="C21" s="14"/>
      <c r="D21" s="14"/>
      <c r="E21" s="14"/>
      <c r="F21" s="14"/>
      <c r="G21" s="14"/>
      <c r="H21" s="14"/>
      <c r="I21" s="14"/>
      <c r="K21" s="51"/>
    </row>
    <row r="22" spans="1:12" s="3" customFormat="1" x14ac:dyDescent="0.3">
      <c r="A22" s="47"/>
      <c r="B22" s="44">
        <v>45913</v>
      </c>
      <c r="C22" s="3" t="s">
        <v>416</v>
      </c>
      <c r="D22" s="3" t="s">
        <v>66</v>
      </c>
      <c r="E22" s="101"/>
      <c r="F22" s="59" t="s">
        <v>606</v>
      </c>
      <c r="G22" s="15" t="s">
        <v>588</v>
      </c>
      <c r="H22" s="59" t="s">
        <v>604</v>
      </c>
      <c r="I22" s="15">
        <v>3205507</v>
      </c>
      <c r="K22" s="51"/>
    </row>
    <row r="23" spans="1:12" s="3" customFormat="1" x14ac:dyDescent="0.3">
      <c r="A23" s="47"/>
      <c r="B23" s="44">
        <v>45913</v>
      </c>
      <c r="C23" s="3" t="s">
        <v>416</v>
      </c>
      <c r="D23" s="3" t="s">
        <v>66</v>
      </c>
      <c r="E23" s="101"/>
      <c r="F23" s="59" t="s">
        <v>605</v>
      </c>
      <c r="G23" s="15">
        <v>3900109</v>
      </c>
      <c r="H23" s="59" t="s">
        <v>608</v>
      </c>
      <c r="I23" s="15">
        <v>3819107</v>
      </c>
      <c r="K23" s="51"/>
    </row>
    <row r="24" spans="1:12" s="3" customFormat="1" x14ac:dyDescent="0.3">
      <c r="A24" s="47"/>
      <c r="B24" s="44">
        <v>45913</v>
      </c>
      <c r="C24" s="3" t="s">
        <v>416</v>
      </c>
      <c r="D24" s="3" t="s">
        <v>66</v>
      </c>
      <c r="E24" s="101"/>
      <c r="F24" s="59" t="s">
        <v>609</v>
      </c>
      <c r="G24" s="15">
        <v>3900401</v>
      </c>
      <c r="H24" s="59" t="s">
        <v>602</v>
      </c>
      <c r="I24" s="15">
        <v>4023001</v>
      </c>
      <c r="K24" s="51"/>
    </row>
    <row r="25" spans="1:12" s="3" customFormat="1" x14ac:dyDescent="0.3">
      <c r="A25" s="47"/>
      <c r="B25" s="44">
        <v>45913</v>
      </c>
      <c r="C25" s="3" t="s">
        <v>416</v>
      </c>
      <c r="D25" s="3" t="s">
        <v>66</v>
      </c>
      <c r="E25" s="101"/>
      <c r="F25" s="59" t="s">
        <v>607</v>
      </c>
      <c r="G25" s="15">
        <v>3596309</v>
      </c>
      <c r="H25" s="59" t="s">
        <v>603</v>
      </c>
      <c r="I25" s="15">
        <v>3945400</v>
      </c>
      <c r="K25" s="51"/>
    </row>
    <row r="26" spans="1:12" s="3" customFormat="1" x14ac:dyDescent="0.3">
      <c r="A26" s="47"/>
      <c r="B26" s="44"/>
      <c r="E26" s="101"/>
      <c r="F26" s="4"/>
      <c r="G26" s="4"/>
      <c r="I26" s="4"/>
      <c r="K26" s="51"/>
    </row>
    <row r="27" spans="1:12" s="3" customFormat="1" x14ac:dyDescent="0.3">
      <c r="A27" s="47"/>
      <c r="B27" s="44">
        <v>45920</v>
      </c>
      <c r="C27" s="3" t="s">
        <v>416</v>
      </c>
      <c r="D27" s="3" t="s">
        <v>66</v>
      </c>
      <c r="E27" s="101"/>
      <c r="F27" s="3" t="s">
        <v>608</v>
      </c>
      <c r="G27" s="74">
        <v>3819107</v>
      </c>
      <c r="H27" s="3" t="s">
        <v>606</v>
      </c>
      <c r="I27" s="74" t="s">
        <v>588</v>
      </c>
      <c r="K27" s="51"/>
    </row>
    <row r="28" spans="1:12" s="3" customFormat="1" x14ac:dyDescent="0.3">
      <c r="A28" s="47"/>
      <c r="B28" s="44">
        <v>45920</v>
      </c>
      <c r="C28" s="3" t="s">
        <v>416</v>
      </c>
      <c r="D28" s="3" t="s">
        <v>66</v>
      </c>
      <c r="E28" s="101"/>
      <c r="F28" s="3" t="s">
        <v>604</v>
      </c>
      <c r="G28" s="74">
        <v>3205507</v>
      </c>
      <c r="H28" s="3" t="s">
        <v>607</v>
      </c>
      <c r="I28" s="4">
        <v>3596309</v>
      </c>
      <c r="K28" s="51"/>
    </row>
    <row r="29" spans="1:12" s="3" customFormat="1" x14ac:dyDescent="0.3">
      <c r="A29" s="47"/>
      <c r="B29" s="44">
        <v>45920</v>
      </c>
      <c r="C29" s="3" t="s">
        <v>416</v>
      </c>
      <c r="D29" s="3" t="s">
        <v>66</v>
      </c>
      <c r="E29" s="101"/>
      <c r="F29" s="104" t="s">
        <v>602</v>
      </c>
      <c r="G29" s="74">
        <v>4023001</v>
      </c>
      <c r="H29" s="3" t="s">
        <v>605</v>
      </c>
      <c r="I29" s="74">
        <v>3900109</v>
      </c>
      <c r="K29" s="51"/>
    </row>
    <row r="30" spans="1:12" s="3" customFormat="1" x14ac:dyDescent="0.3">
      <c r="A30" s="47"/>
      <c r="B30" s="44">
        <v>45920</v>
      </c>
      <c r="C30" s="3" t="s">
        <v>416</v>
      </c>
      <c r="D30" s="3" t="s">
        <v>66</v>
      </c>
      <c r="E30" s="101"/>
      <c r="F30" s="104" t="s">
        <v>603</v>
      </c>
      <c r="G30" s="74">
        <v>3945400</v>
      </c>
      <c r="H30" s="3" t="s">
        <v>609</v>
      </c>
      <c r="I30" s="74">
        <v>3900401</v>
      </c>
      <c r="K30" s="51"/>
    </row>
    <row r="31" spans="1:12" s="3" customFormat="1" x14ac:dyDescent="0.3">
      <c r="A31" s="47"/>
      <c r="B31" s="44"/>
      <c r="E31" s="101"/>
      <c r="F31" s="4"/>
      <c r="G31" s="4"/>
      <c r="I31" s="4"/>
      <c r="K31" s="51"/>
    </row>
    <row r="32" spans="1:12" s="3" customFormat="1" x14ac:dyDescent="0.3">
      <c r="A32" s="47"/>
      <c r="B32" s="44">
        <v>45927</v>
      </c>
      <c r="C32" s="3" t="s">
        <v>416</v>
      </c>
      <c r="D32" s="3" t="s">
        <v>66</v>
      </c>
      <c r="E32" s="101"/>
      <c r="F32" s="3" t="s">
        <v>606</v>
      </c>
      <c r="G32" s="74" t="s">
        <v>588</v>
      </c>
      <c r="H32" s="104" t="s">
        <v>602</v>
      </c>
      <c r="I32" s="74">
        <v>4023001</v>
      </c>
      <c r="K32" s="51"/>
    </row>
    <row r="33" spans="1:11" s="3" customFormat="1" x14ac:dyDescent="0.3">
      <c r="A33" s="47"/>
      <c r="B33" s="44">
        <v>45927</v>
      </c>
      <c r="C33" s="3" t="s">
        <v>416</v>
      </c>
      <c r="D33" s="3" t="s">
        <v>66</v>
      </c>
      <c r="E33" s="101"/>
      <c r="F33" s="3" t="s">
        <v>604</v>
      </c>
      <c r="G33" s="74">
        <v>3205507</v>
      </c>
      <c r="H33" s="3" t="s">
        <v>608</v>
      </c>
      <c r="I33" s="74">
        <v>3819107</v>
      </c>
      <c r="K33" s="51"/>
    </row>
    <row r="34" spans="1:11" s="3" customFormat="1" x14ac:dyDescent="0.3">
      <c r="A34" s="47"/>
      <c r="B34" s="44">
        <v>45927</v>
      </c>
      <c r="C34" s="3" t="s">
        <v>416</v>
      </c>
      <c r="D34" s="3" t="s">
        <v>66</v>
      </c>
      <c r="E34" s="101"/>
      <c r="F34" s="3" t="s">
        <v>605</v>
      </c>
      <c r="G34" s="74">
        <v>3900109</v>
      </c>
      <c r="H34" s="104" t="s">
        <v>603</v>
      </c>
      <c r="I34" s="74">
        <v>3945400</v>
      </c>
      <c r="K34" s="51"/>
    </row>
    <row r="35" spans="1:11" s="3" customFormat="1" x14ac:dyDescent="0.3">
      <c r="A35" s="47"/>
      <c r="B35" s="44">
        <v>45927</v>
      </c>
      <c r="C35" s="3" t="s">
        <v>416</v>
      </c>
      <c r="D35" s="3" t="s">
        <v>66</v>
      </c>
      <c r="E35" s="101"/>
      <c r="F35" s="3" t="s">
        <v>607</v>
      </c>
      <c r="G35" s="4">
        <v>3596309</v>
      </c>
      <c r="H35" s="3" t="s">
        <v>609</v>
      </c>
      <c r="I35" s="74">
        <v>3900401</v>
      </c>
      <c r="K35" s="51"/>
    </row>
    <row r="36" spans="1:11" s="3" customFormat="1" x14ac:dyDescent="0.3">
      <c r="A36" s="47"/>
      <c r="B36" s="44"/>
      <c r="E36" s="101"/>
      <c r="F36" s="4"/>
      <c r="G36" s="4"/>
      <c r="I36" s="4"/>
      <c r="K36" s="51"/>
    </row>
    <row r="37" spans="1:11" s="3" customFormat="1" x14ac:dyDescent="0.3">
      <c r="A37" s="47"/>
      <c r="B37" s="44">
        <v>45934</v>
      </c>
      <c r="C37" s="3" t="s">
        <v>416</v>
      </c>
      <c r="D37" s="3" t="s">
        <v>66</v>
      </c>
      <c r="E37" s="101"/>
      <c r="F37" s="104" t="s">
        <v>603</v>
      </c>
      <c r="G37" s="74">
        <v>3945400</v>
      </c>
      <c r="H37" s="3" t="s">
        <v>606</v>
      </c>
      <c r="I37" s="74" t="s">
        <v>588</v>
      </c>
      <c r="K37" s="51"/>
    </row>
    <row r="38" spans="1:11" s="3" customFormat="1" x14ac:dyDescent="0.3">
      <c r="A38" s="47"/>
      <c r="B38" s="44">
        <v>45934</v>
      </c>
      <c r="C38" s="3" t="s">
        <v>416</v>
      </c>
      <c r="D38" s="3" t="s">
        <v>66</v>
      </c>
      <c r="E38" s="101"/>
      <c r="F38" s="104" t="s">
        <v>602</v>
      </c>
      <c r="G38" s="74">
        <v>4023001</v>
      </c>
      <c r="H38" s="3" t="s">
        <v>604</v>
      </c>
      <c r="I38" s="74">
        <v>3205507</v>
      </c>
      <c r="K38" s="51"/>
    </row>
    <row r="39" spans="1:11" s="3" customFormat="1" x14ac:dyDescent="0.3">
      <c r="A39" s="47"/>
      <c r="B39" s="44">
        <v>45934</v>
      </c>
      <c r="C39" s="3" t="s">
        <v>416</v>
      </c>
      <c r="D39" s="3" t="s">
        <v>66</v>
      </c>
      <c r="E39" s="101"/>
      <c r="F39" s="3" t="s">
        <v>608</v>
      </c>
      <c r="G39" s="74">
        <v>3819107</v>
      </c>
      <c r="H39" s="3" t="s">
        <v>607</v>
      </c>
      <c r="I39" s="4">
        <v>3596309</v>
      </c>
      <c r="K39" s="51"/>
    </row>
    <row r="40" spans="1:11" s="3" customFormat="1" x14ac:dyDescent="0.3">
      <c r="A40" s="47"/>
      <c r="B40" s="44">
        <v>45934</v>
      </c>
      <c r="C40" s="3" t="s">
        <v>416</v>
      </c>
      <c r="D40" s="3" t="s">
        <v>66</v>
      </c>
      <c r="E40" s="101"/>
      <c r="F40" s="3" t="s">
        <v>609</v>
      </c>
      <c r="G40" s="74">
        <v>3900401</v>
      </c>
      <c r="H40" s="3" t="s">
        <v>605</v>
      </c>
      <c r="I40" s="74">
        <v>3900109</v>
      </c>
      <c r="K40" s="51"/>
    </row>
    <row r="41" spans="1:11" s="3" customFormat="1" x14ac:dyDescent="0.3">
      <c r="A41" s="47"/>
      <c r="B41" s="4"/>
      <c r="E41" s="101"/>
      <c r="F41" s="4"/>
      <c r="G41" s="4"/>
      <c r="I41" s="4"/>
      <c r="K41" s="51"/>
    </row>
    <row r="42" spans="1:11" s="3" customFormat="1" x14ac:dyDescent="0.3">
      <c r="A42" s="47"/>
      <c r="B42" s="44">
        <v>45941</v>
      </c>
      <c r="C42" s="3" t="s">
        <v>416</v>
      </c>
      <c r="D42" s="3" t="s">
        <v>66</v>
      </c>
      <c r="E42" s="101"/>
      <c r="F42" s="3" t="s">
        <v>606</v>
      </c>
      <c r="G42" s="74" t="s">
        <v>588</v>
      </c>
      <c r="H42" s="3" t="s">
        <v>609</v>
      </c>
      <c r="I42" s="74">
        <v>3900401</v>
      </c>
      <c r="K42" s="51"/>
    </row>
    <row r="43" spans="1:11" s="3" customFormat="1" x14ac:dyDescent="0.3">
      <c r="A43" s="47"/>
      <c r="B43" s="44">
        <v>45941</v>
      </c>
      <c r="C43" s="3" t="s">
        <v>416</v>
      </c>
      <c r="D43" s="3" t="s">
        <v>66</v>
      </c>
      <c r="E43" s="101"/>
      <c r="F43" s="3" t="s">
        <v>604</v>
      </c>
      <c r="G43" s="74">
        <v>3205507</v>
      </c>
      <c r="H43" s="104" t="s">
        <v>603</v>
      </c>
      <c r="I43" s="74">
        <v>3945400</v>
      </c>
      <c r="K43" s="4"/>
    </row>
    <row r="44" spans="1:11" s="3" customFormat="1" x14ac:dyDescent="0.3">
      <c r="A44" s="47"/>
      <c r="B44" s="44">
        <v>45941</v>
      </c>
      <c r="C44" s="3" t="s">
        <v>416</v>
      </c>
      <c r="D44" s="3" t="s">
        <v>66</v>
      </c>
      <c r="E44" s="101"/>
      <c r="F44" s="3" t="s">
        <v>608</v>
      </c>
      <c r="G44" s="74">
        <v>3819107</v>
      </c>
      <c r="H44" s="104" t="s">
        <v>602</v>
      </c>
      <c r="I44" s="74">
        <v>4023001</v>
      </c>
      <c r="K44" s="51"/>
    </row>
    <row r="45" spans="1:11" s="3" customFormat="1" x14ac:dyDescent="0.3">
      <c r="A45" s="47"/>
      <c r="B45" s="44">
        <v>45941</v>
      </c>
      <c r="C45" s="3" t="s">
        <v>416</v>
      </c>
      <c r="D45" s="3" t="s">
        <v>66</v>
      </c>
      <c r="E45" s="101"/>
      <c r="F45" s="3" t="s">
        <v>607</v>
      </c>
      <c r="G45" s="4">
        <v>3596309</v>
      </c>
      <c r="H45" s="3" t="s">
        <v>605</v>
      </c>
      <c r="I45" s="74">
        <v>3900109</v>
      </c>
      <c r="K45" s="51"/>
    </row>
    <row r="46" spans="1:11" s="3" customFormat="1" x14ac:dyDescent="0.3">
      <c r="A46" s="47"/>
      <c r="B46" s="44"/>
      <c r="E46" s="101"/>
      <c r="F46" s="4"/>
      <c r="G46" s="4"/>
      <c r="I46" s="4"/>
      <c r="K46" s="51"/>
    </row>
    <row r="47" spans="1:11" s="3" customFormat="1" x14ac:dyDescent="0.3">
      <c r="A47" s="47"/>
      <c r="B47" s="44">
        <v>45948</v>
      </c>
      <c r="C47" s="3" t="s">
        <v>416</v>
      </c>
      <c r="D47" s="3" t="s">
        <v>66</v>
      </c>
      <c r="E47" s="101"/>
      <c r="F47" s="3" t="s">
        <v>605</v>
      </c>
      <c r="G47" s="74">
        <v>3900109</v>
      </c>
      <c r="H47" t="s">
        <v>606</v>
      </c>
      <c r="I47" s="82" t="s">
        <v>588</v>
      </c>
      <c r="K47" s="51"/>
    </row>
    <row r="48" spans="1:11" s="3" customFormat="1" x14ac:dyDescent="0.3">
      <c r="A48" s="47"/>
      <c r="B48" s="44">
        <v>45948</v>
      </c>
      <c r="C48" s="3" t="s">
        <v>416</v>
      </c>
      <c r="D48" s="3" t="s">
        <v>66</v>
      </c>
      <c r="E48" s="101"/>
      <c r="F48" s="3" t="s">
        <v>604</v>
      </c>
      <c r="G48" s="74">
        <v>3205507</v>
      </c>
      <c r="H48" s="3" t="s">
        <v>609</v>
      </c>
      <c r="I48" s="74">
        <v>3900401</v>
      </c>
      <c r="K48" s="51"/>
    </row>
    <row r="49" spans="1:11" s="3" customFormat="1" x14ac:dyDescent="0.3">
      <c r="A49" s="47"/>
      <c r="B49" s="44">
        <v>45948</v>
      </c>
      <c r="C49" s="3" t="s">
        <v>416</v>
      </c>
      <c r="D49" s="3" t="s">
        <v>66</v>
      </c>
      <c r="E49" s="101"/>
      <c r="F49" s="104" t="s">
        <v>603</v>
      </c>
      <c r="G49" s="74">
        <v>3945400</v>
      </c>
      <c r="H49" s="3" t="s">
        <v>608</v>
      </c>
      <c r="I49" s="74">
        <v>3819107</v>
      </c>
      <c r="K49" s="51"/>
    </row>
    <row r="50" spans="1:11" s="3" customFormat="1" x14ac:dyDescent="0.3">
      <c r="A50" s="47"/>
      <c r="B50" s="44">
        <v>45948</v>
      </c>
      <c r="C50" s="3" t="s">
        <v>416</v>
      </c>
      <c r="D50" s="3" t="s">
        <v>66</v>
      </c>
      <c r="E50" s="101"/>
      <c r="F50" s="3" t="s">
        <v>607</v>
      </c>
      <c r="G50" s="4">
        <v>3596309</v>
      </c>
      <c r="H50" s="104" t="s">
        <v>602</v>
      </c>
      <c r="I50" s="74">
        <v>4023001</v>
      </c>
      <c r="K50" s="51"/>
    </row>
    <row r="51" spans="1:11" s="3" customFormat="1" x14ac:dyDescent="0.3">
      <c r="A51" s="47"/>
      <c r="B51" s="44"/>
      <c r="E51" s="101"/>
      <c r="F51" s="4"/>
      <c r="G51" s="4"/>
      <c r="I51" s="4"/>
      <c r="K51" s="51"/>
    </row>
    <row r="52" spans="1:11" s="3" customFormat="1" x14ac:dyDescent="0.3">
      <c r="A52" s="47"/>
      <c r="B52" s="44">
        <v>45962</v>
      </c>
      <c r="C52" s="3" t="s">
        <v>416</v>
      </c>
      <c r="D52" s="3" t="s">
        <v>66</v>
      </c>
      <c r="E52" s="101"/>
      <c r="F52" s="3" t="s">
        <v>606</v>
      </c>
      <c r="G52" s="74" t="s">
        <v>588</v>
      </c>
      <c r="H52" s="3" t="s">
        <v>607</v>
      </c>
      <c r="I52" s="4">
        <v>3596309</v>
      </c>
      <c r="K52" s="4"/>
    </row>
    <row r="53" spans="1:11" s="3" customFormat="1" x14ac:dyDescent="0.3">
      <c r="A53" s="47"/>
      <c r="B53" s="44">
        <v>45962</v>
      </c>
      <c r="C53" s="3" t="s">
        <v>416</v>
      </c>
      <c r="D53" s="3" t="s">
        <v>66</v>
      </c>
      <c r="E53" s="101"/>
      <c r="F53" s="3" t="s">
        <v>605</v>
      </c>
      <c r="G53" s="74">
        <v>3900109</v>
      </c>
      <c r="H53" s="3" t="s">
        <v>604</v>
      </c>
      <c r="I53" s="74">
        <v>3205507</v>
      </c>
      <c r="K53" s="51"/>
    </row>
    <row r="54" spans="1:11" s="3" customFormat="1" x14ac:dyDescent="0.3">
      <c r="A54" s="47"/>
      <c r="B54" s="44">
        <v>45962</v>
      </c>
      <c r="C54" s="3" t="s">
        <v>416</v>
      </c>
      <c r="D54" s="3" t="s">
        <v>66</v>
      </c>
      <c r="E54" s="101"/>
      <c r="F54" s="3" t="s">
        <v>609</v>
      </c>
      <c r="G54" s="74">
        <v>3900401</v>
      </c>
      <c r="H54" s="3" t="s">
        <v>608</v>
      </c>
      <c r="I54" s="74">
        <v>3819107</v>
      </c>
      <c r="K54" s="51"/>
    </row>
    <row r="55" spans="1:11" s="3" customFormat="1" x14ac:dyDescent="0.3">
      <c r="A55" s="47"/>
      <c r="B55" s="44">
        <v>45962</v>
      </c>
      <c r="C55" s="3" t="s">
        <v>416</v>
      </c>
      <c r="D55" s="3" t="s">
        <v>66</v>
      </c>
      <c r="E55" s="101"/>
      <c r="F55" s="104" t="s">
        <v>602</v>
      </c>
      <c r="G55" s="74">
        <v>4023001</v>
      </c>
      <c r="H55" s="104" t="s">
        <v>603</v>
      </c>
      <c r="I55" s="74">
        <v>3945400</v>
      </c>
      <c r="K55" s="51"/>
    </row>
    <row r="56" spans="1:11" s="3" customFormat="1" x14ac:dyDescent="0.3">
      <c r="A56" s="47"/>
      <c r="B56" s="44"/>
      <c r="E56" s="101"/>
      <c r="F56" s="4"/>
      <c r="G56" s="4"/>
      <c r="I56" s="4"/>
      <c r="K56" s="51"/>
    </row>
    <row r="57" spans="1:11" s="3" customFormat="1" x14ac:dyDescent="0.3">
      <c r="A57" s="47"/>
      <c r="B57" s="44">
        <v>45969</v>
      </c>
      <c r="C57" s="3" t="s">
        <v>416</v>
      </c>
      <c r="D57" s="3" t="s">
        <v>66</v>
      </c>
      <c r="E57" s="101"/>
      <c r="F57" s="3" t="s">
        <v>604</v>
      </c>
      <c r="G57" s="74">
        <v>3205507</v>
      </c>
      <c r="H57" s="3" t="s">
        <v>606</v>
      </c>
      <c r="I57" s="74" t="s">
        <v>588</v>
      </c>
      <c r="K57" s="51"/>
    </row>
    <row r="58" spans="1:11" s="3" customFormat="1" x14ac:dyDescent="0.3">
      <c r="A58" s="47"/>
      <c r="B58" s="44">
        <v>45969</v>
      </c>
      <c r="C58" s="3" t="s">
        <v>416</v>
      </c>
      <c r="D58" s="3" t="s">
        <v>66</v>
      </c>
      <c r="E58" s="101"/>
      <c r="F58" s="3" t="s">
        <v>608</v>
      </c>
      <c r="G58" s="74">
        <v>3819107</v>
      </c>
      <c r="H58" s="3" t="s">
        <v>605</v>
      </c>
      <c r="I58" s="74">
        <v>3900109</v>
      </c>
      <c r="J58" s="4"/>
      <c r="K58" s="74"/>
    </row>
    <row r="59" spans="1:11" s="3" customFormat="1" x14ac:dyDescent="0.3">
      <c r="A59" s="47"/>
      <c r="B59" s="44">
        <v>45969</v>
      </c>
      <c r="C59" s="3" t="s">
        <v>416</v>
      </c>
      <c r="D59" s="3" t="s">
        <v>66</v>
      </c>
      <c r="E59" s="101"/>
      <c r="F59" s="104" t="s">
        <v>602</v>
      </c>
      <c r="G59" s="74">
        <v>4023001</v>
      </c>
      <c r="H59" s="3" t="s">
        <v>609</v>
      </c>
      <c r="I59" s="74">
        <v>3900401</v>
      </c>
      <c r="K59" s="51"/>
    </row>
    <row r="60" spans="1:11" s="3" customFormat="1" x14ac:dyDescent="0.3">
      <c r="A60" s="47"/>
      <c r="B60" s="44">
        <v>45969</v>
      </c>
      <c r="C60" s="3" t="s">
        <v>416</v>
      </c>
      <c r="D60" s="3" t="s">
        <v>66</v>
      </c>
      <c r="E60" s="101"/>
      <c r="F60" s="104" t="s">
        <v>603</v>
      </c>
      <c r="G60" s="74">
        <v>3945400</v>
      </c>
      <c r="H60" s="3" t="s">
        <v>607</v>
      </c>
      <c r="I60" s="4">
        <v>3596309</v>
      </c>
      <c r="K60" s="51"/>
    </row>
    <row r="61" spans="1:11" s="3" customFormat="1" x14ac:dyDescent="0.3">
      <c r="A61" s="47"/>
      <c r="B61" s="44"/>
      <c r="E61" s="101"/>
      <c r="F61" s="4"/>
      <c r="G61" s="4"/>
      <c r="I61" s="4"/>
      <c r="K61" s="51"/>
    </row>
    <row r="62" spans="1:11" s="3" customFormat="1" x14ac:dyDescent="0.3">
      <c r="A62" s="47"/>
      <c r="B62" s="44">
        <v>45976</v>
      </c>
      <c r="C62" s="3" t="s">
        <v>416</v>
      </c>
      <c r="D62" s="3" t="s">
        <v>66</v>
      </c>
      <c r="E62" s="101"/>
      <c r="F62" s="3" t="s">
        <v>606</v>
      </c>
      <c r="G62" s="74" t="s">
        <v>588</v>
      </c>
      <c r="H62" s="3" t="s">
        <v>608</v>
      </c>
      <c r="I62" s="74">
        <v>3819107</v>
      </c>
      <c r="K62" s="51"/>
    </row>
    <row r="63" spans="1:11" s="3" customFormat="1" x14ac:dyDescent="0.3">
      <c r="A63" s="47"/>
      <c r="B63" s="44">
        <v>45976</v>
      </c>
      <c r="C63" s="3" t="s">
        <v>416</v>
      </c>
      <c r="D63" s="3" t="s">
        <v>66</v>
      </c>
      <c r="E63" s="101"/>
      <c r="F63" s="3" t="s">
        <v>607</v>
      </c>
      <c r="G63" s="4">
        <v>3596309</v>
      </c>
      <c r="H63" s="3" t="s">
        <v>604</v>
      </c>
      <c r="I63" s="74">
        <v>3205507</v>
      </c>
      <c r="K63" s="51"/>
    </row>
    <row r="64" spans="1:11" s="3" customFormat="1" x14ac:dyDescent="0.3">
      <c r="A64" s="47"/>
      <c r="B64" s="44">
        <v>45976</v>
      </c>
      <c r="C64" s="3" t="s">
        <v>416</v>
      </c>
      <c r="D64" s="3" t="s">
        <v>66</v>
      </c>
      <c r="E64" s="101"/>
      <c r="F64" s="3" t="s">
        <v>605</v>
      </c>
      <c r="G64" s="74">
        <v>3900109</v>
      </c>
      <c r="H64" s="104" t="s">
        <v>602</v>
      </c>
      <c r="I64" s="74">
        <v>4023001</v>
      </c>
      <c r="K64" s="51"/>
    </row>
    <row r="65" spans="1:11" s="3" customFormat="1" x14ac:dyDescent="0.3">
      <c r="A65" s="47"/>
      <c r="B65" s="44">
        <v>45976</v>
      </c>
      <c r="C65" s="3" t="s">
        <v>416</v>
      </c>
      <c r="D65" s="3" t="s">
        <v>66</v>
      </c>
      <c r="E65" s="101"/>
      <c r="F65" s="3" t="s">
        <v>609</v>
      </c>
      <c r="G65" s="74">
        <v>3900401</v>
      </c>
      <c r="H65" s="104" t="s">
        <v>603</v>
      </c>
      <c r="I65" s="74">
        <v>3945400</v>
      </c>
      <c r="K65" s="51"/>
    </row>
    <row r="66" spans="1:11" s="3" customFormat="1" x14ac:dyDescent="0.3">
      <c r="A66" s="47"/>
      <c r="B66" s="44"/>
      <c r="E66" s="101"/>
      <c r="F66" s="4"/>
      <c r="G66" s="4"/>
      <c r="I66" s="4"/>
      <c r="K66" s="51"/>
    </row>
    <row r="67" spans="1:11" s="3" customFormat="1" x14ac:dyDescent="0.3">
      <c r="A67" s="47"/>
      <c r="B67" s="44">
        <v>45983</v>
      </c>
      <c r="C67" s="3" t="s">
        <v>416</v>
      </c>
      <c r="D67" s="3" t="s">
        <v>66</v>
      </c>
      <c r="E67" s="101"/>
      <c r="F67" s="104" t="s">
        <v>602</v>
      </c>
      <c r="G67" s="74">
        <v>4023001</v>
      </c>
      <c r="H67" s="3" t="s">
        <v>606</v>
      </c>
      <c r="I67" s="74" t="s">
        <v>588</v>
      </c>
      <c r="K67" s="51"/>
    </row>
    <row r="68" spans="1:11" s="3" customFormat="1" x14ac:dyDescent="0.3">
      <c r="A68" s="47"/>
      <c r="B68" s="44">
        <v>45983</v>
      </c>
      <c r="C68" s="3" t="s">
        <v>416</v>
      </c>
      <c r="D68" s="3" t="s">
        <v>66</v>
      </c>
      <c r="E68" s="101"/>
      <c r="F68" s="3" t="s">
        <v>608</v>
      </c>
      <c r="G68" s="74">
        <v>3819107</v>
      </c>
      <c r="H68" s="3" t="s">
        <v>604</v>
      </c>
      <c r="I68" s="74">
        <v>3205507</v>
      </c>
      <c r="K68" s="4"/>
    </row>
    <row r="69" spans="1:11" s="3" customFormat="1" x14ac:dyDescent="0.3">
      <c r="A69" s="47"/>
      <c r="B69" s="44">
        <v>45983</v>
      </c>
      <c r="C69" s="3" t="s">
        <v>416</v>
      </c>
      <c r="D69" s="3" t="s">
        <v>66</v>
      </c>
      <c r="E69" s="101"/>
      <c r="F69" s="104" t="s">
        <v>603</v>
      </c>
      <c r="G69" s="74">
        <v>3945400</v>
      </c>
      <c r="H69" s="3" t="s">
        <v>605</v>
      </c>
      <c r="I69" s="74">
        <v>3900109</v>
      </c>
      <c r="K69" s="51"/>
    </row>
    <row r="70" spans="1:11" s="3" customFormat="1" x14ac:dyDescent="0.3">
      <c r="A70" s="47"/>
      <c r="B70" s="44">
        <v>45983</v>
      </c>
      <c r="C70" s="3" t="s">
        <v>416</v>
      </c>
      <c r="D70" s="3" t="s">
        <v>66</v>
      </c>
      <c r="E70" s="101"/>
      <c r="F70" s="3" t="s">
        <v>609</v>
      </c>
      <c r="G70" s="74">
        <v>3900401</v>
      </c>
      <c r="H70" s="3" t="s">
        <v>607</v>
      </c>
      <c r="I70" s="4">
        <v>3596309</v>
      </c>
      <c r="J70" s="4"/>
      <c r="K70" s="74"/>
    </row>
    <row r="71" spans="1:11" s="3" customFormat="1" x14ac:dyDescent="0.3">
      <c r="A71" s="47"/>
      <c r="B71" s="44"/>
      <c r="E71" s="101"/>
      <c r="F71" s="4"/>
      <c r="G71" s="4"/>
      <c r="I71" s="4"/>
      <c r="K71" s="51"/>
    </row>
    <row r="72" spans="1:11" s="3" customFormat="1" x14ac:dyDescent="0.3">
      <c r="A72" s="47"/>
      <c r="B72" s="44">
        <v>45990</v>
      </c>
      <c r="C72" s="3" t="s">
        <v>416</v>
      </c>
      <c r="D72" s="3" t="s">
        <v>66</v>
      </c>
      <c r="E72" s="101"/>
      <c r="F72" s="3" t="s">
        <v>606</v>
      </c>
      <c r="G72" s="74" t="s">
        <v>588</v>
      </c>
      <c r="H72" s="104" t="s">
        <v>603</v>
      </c>
      <c r="I72" s="74">
        <v>3945400</v>
      </c>
      <c r="K72" s="51"/>
    </row>
    <row r="73" spans="1:11" s="3" customFormat="1" x14ac:dyDescent="0.3">
      <c r="A73" s="47"/>
      <c r="B73" s="44">
        <v>45990</v>
      </c>
      <c r="C73" s="3" t="s">
        <v>416</v>
      </c>
      <c r="D73" s="3" t="s">
        <v>66</v>
      </c>
      <c r="E73" s="101"/>
      <c r="F73" s="3" t="s">
        <v>604</v>
      </c>
      <c r="G73" s="74">
        <v>3205507</v>
      </c>
      <c r="H73" s="104" t="s">
        <v>602</v>
      </c>
      <c r="I73" s="74">
        <v>4023001</v>
      </c>
      <c r="K73" s="51"/>
    </row>
    <row r="74" spans="1:11" s="3" customFormat="1" x14ac:dyDescent="0.3">
      <c r="A74" s="47"/>
      <c r="B74" s="44">
        <v>45990</v>
      </c>
      <c r="C74" s="3" t="s">
        <v>416</v>
      </c>
      <c r="D74" s="3" t="s">
        <v>66</v>
      </c>
      <c r="E74" s="101"/>
      <c r="F74" s="3" t="s">
        <v>607</v>
      </c>
      <c r="G74" s="4">
        <v>3596309</v>
      </c>
      <c r="H74" s="3" t="s">
        <v>608</v>
      </c>
      <c r="I74" s="74">
        <v>3819107</v>
      </c>
      <c r="K74" s="51"/>
    </row>
    <row r="75" spans="1:11" s="3" customFormat="1" x14ac:dyDescent="0.3">
      <c r="A75" s="47"/>
      <c r="B75" s="44">
        <v>45990</v>
      </c>
      <c r="C75" s="3" t="s">
        <v>416</v>
      </c>
      <c r="D75" s="3" t="s">
        <v>66</v>
      </c>
      <c r="E75" s="101"/>
      <c r="F75" s="3" t="s">
        <v>605</v>
      </c>
      <c r="G75" s="74">
        <v>3900109</v>
      </c>
      <c r="H75" s="3" t="s">
        <v>609</v>
      </c>
      <c r="I75" s="74">
        <v>3900401</v>
      </c>
      <c r="K75" s="51"/>
    </row>
    <row r="76" spans="1:11" s="3" customFormat="1" x14ac:dyDescent="0.3">
      <c r="A76" s="47"/>
      <c r="B76" s="4"/>
      <c r="E76" s="101"/>
      <c r="F76" s="4"/>
      <c r="G76" s="4"/>
      <c r="I76" s="4"/>
      <c r="K76" s="51"/>
    </row>
    <row r="77" spans="1:11" s="3" customFormat="1" x14ac:dyDescent="0.3">
      <c r="A77" s="47"/>
      <c r="B77" s="44">
        <v>46032</v>
      </c>
      <c r="C77" s="3" t="s">
        <v>416</v>
      </c>
      <c r="D77" s="3" t="s">
        <v>66</v>
      </c>
      <c r="E77" s="101"/>
      <c r="F77" s="3" t="s">
        <v>609</v>
      </c>
      <c r="G77" s="74">
        <v>3900401</v>
      </c>
      <c r="H77" s="3" t="s">
        <v>606</v>
      </c>
      <c r="I77" s="74" t="s">
        <v>588</v>
      </c>
      <c r="K77" s="51"/>
    </row>
    <row r="78" spans="1:11" s="3" customFormat="1" x14ac:dyDescent="0.3">
      <c r="A78" s="47"/>
      <c r="B78" s="44">
        <v>46032</v>
      </c>
      <c r="C78" s="3" t="s">
        <v>416</v>
      </c>
      <c r="D78" s="3" t="s">
        <v>66</v>
      </c>
      <c r="E78" s="101"/>
      <c r="F78" s="104" t="s">
        <v>603</v>
      </c>
      <c r="G78" s="74">
        <v>3945400</v>
      </c>
      <c r="H78" s="3" t="s">
        <v>604</v>
      </c>
      <c r="I78" s="74">
        <v>3205507</v>
      </c>
      <c r="K78" s="51"/>
    </row>
    <row r="79" spans="1:11" s="3" customFormat="1" x14ac:dyDescent="0.3">
      <c r="A79" s="47"/>
      <c r="B79" s="44">
        <v>46032</v>
      </c>
      <c r="C79" s="3" t="s">
        <v>416</v>
      </c>
      <c r="D79" s="3" t="s">
        <v>66</v>
      </c>
      <c r="E79" s="101"/>
      <c r="F79" s="104" t="s">
        <v>602</v>
      </c>
      <c r="G79" s="74">
        <v>4023001</v>
      </c>
      <c r="H79" s="3" t="s">
        <v>608</v>
      </c>
      <c r="I79" s="74">
        <v>3819107</v>
      </c>
      <c r="K79" s="51"/>
    </row>
    <row r="80" spans="1:11" s="3" customFormat="1" x14ac:dyDescent="0.3">
      <c r="A80" s="47"/>
      <c r="B80" s="44">
        <v>46032</v>
      </c>
      <c r="C80" s="3" t="s">
        <v>416</v>
      </c>
      <c r="D80" s="3" t="s">
        <v>66</v>
      </c>
      <c r="E80" s="101"/>
      <c r="F80" s="3" t="s">
        <v>605</v>
      </c>
      <c r="G80" s="74">
        <v>3900109</v>
      </c>
      <c r="H80" s="3" t="s">
        <v>607</v>
      </c>
      <c r="I80" s="4">
        <v>3596309</v>
      </c>
      <c r="K80" s="51"/>
    </row>
    <row r="81" spans="1:11" s="3" customFormat="1" x14ac:dyDescent="0.3">
      <c r="A81" s="47"/>
      <c r="B81" s="44"/>
      <c r="E81" s="101"/>
      <c r="F81" s="4"/>
      <c r="G81" s="4"/>
      <c r="I81" s="4"/>
      <c r="K81" s="51"/>
    </row>
    <row r="82" spans="1:11" s="3" customFormat="1" x14ac:dyDescent="0.3">
      <c r="A82" s="47"/>
      <c r="B82" s="44">
        <v>46039</v>
      </c>
      <c r="C82" s="3" t="s">
        <v>416</v>
      </c>
      <c r="D82" s="3" t="s">
        <v>66</v>
      </c>
      <c r="E82" s="101"/>
      <c r="F82" s="3" t="s">
        <v>606</v>
      </c>
      <c r="G82" s="74" t="s">
        <v>588</v>
      </c>
      <c r="H82" s="3" t="s">
        <v>605</v>
      </c>
      <c r="I82" s="74">
        <v>3900109</v>
      </c>
      <c r="K82" s="51"/>
    </row>
    <row r="83" spans="1:11" s="3" customFormat="1" x14ac:dyDescent="0.3">
      <c r="A83" s="47"/>
      <c r="B83" s="44">
        <v>46039</v>
      </c>
      <c r="C83" s="3" t="s">
        <v>416</v>
      </c>
      <c r="D83" s="3" t="s">
        <v>66</v>
      </c>
      <c r="E83" s="101"/>
      <c r="F83" s="3" t="s">
        <v>604</v>
      </c>
      <c r="G83" s="74">
        <v>3205507</v>
      </c>
      <c r="H83" s="3" t="s">
        <v>609</v>
      </c>
      <c r="I83" s="74">
        <v>3900401</v>
      </c>
      <c r="K83" s="51"/>
    </row>
    <row r="84" spans="1:11" s="3" customFormat="1" x14ac:dyDescent="0.3">
      <c r="A84" s="47"/>
      <c r="B84" s="44">
        <v>46039</v>
      </c>
      <c r="C84" s="3" t="s">
        <v>416</v>
      </c>
      <c r="D84" s="3" t="s">
        <v>66</v>
      </c>
      <c r="E84" s="101"/>
      <c r="F84" s="3" t="s">
        <v>608</v>
      </c>
      <c r="G84" s="74">
        <v>3819107</v>
      </c>
      <c r="H84" s="104" t="s">
        <v>603</v>
      </c>
      <c r="I84" s="74">
        <v>3945400</v>
      </c>
      <c r="K84" s="51"/>
    </row>
    <row r="85" spans="1:11" s="3" customFormat="1" x14ac:dyDescent="0.3">
      <c r="A85" s="47"/>
      <c r="B85" s="44">
        <v>46039</v>
      </c>
      <c r="C85" s="3" t="s">
        <v>416</v>
      </c>
      <c r="D85" s="3" t="s">
        <v>66</v>
      </c>
      <c r="E85" s="101"/>
      <c r="F85" s="3" t="s">
        <v>607</v>
      </c>
      <c r="G85" s="4">
        <v>3596309</v>
      </c>
      <c r="H85" s="104" t="s">
        <v>602</v>
      </c>
      <c r="I85" s="74">
        <v>4023001</v>
      </c>
      <c r="K85" s="51"/>
    </row>
    <row r="86" spans="1:11" s="3" customFormat="1" x14ac:dyDescent="0.3">
      <c r="A86" s="47"/>
      <c r="B86" s="44"/>
      <c r="E86" s="101"/>
      <c r="F86" s="4"/>
      <c r="G86" s="4"/>
      <c r="I86" s="4"/>
      <c r="K86" s="51"/>
    </row>
    <row r="87" spans="1:11" s="3" customFormat="1" x14ac:dyDescent="0.3">
      <c r="A87" s="47"/>
      <c r="B87" s="44">
        <v>46046</v>
      </c>
      <c r="C87" s="3" t="s">
        <v>416</v>
      </c>
      <c r="D87" s="3" t="s">
        <v>66</v>
      </c>
      <c r="E87" s="101"/>
      <c r="F87" s="3" t="s">
        <v>607</v>
      </c>
      <c r="G87" s="4">
        <v>3596309</v>
      </c>
      <c r="H87" s="3" t="s">
        <v>606</v>
      </c>
      <c r="I87" s="74" t="s">
        <v>588</v>
      </c>
      <c r="K87" s="51"/>
    </row>
    <row r="88" spans="1:11" s="3" customFormat="1" x14ac:dyDescent="0.3">
      <c r="A88" s="47"/>
      <c r="B88" s="44">
        <v>46046</v>
      </c>
      <c r="C88" s="3" t="s">
        <v>416</v>
      </c>
      <c r="D88" s="3" t="s">
        <v>66</v>
      </c>
      <c r="E88" s="101"/>
      <c r="F88" s="3" t="s">
        <v>605</v>
      </c>
      <c r="G88" s="74">
        <v>3900109</v>
      </c>
      <c r="H88" s="3" t="s">
        <v>604</v>
      </c>
      <c r="I88" s="74">
        <v>3205507</v>
      </c>
      <c r="K88" s="51"/>
    </row>
    <row r="89" spans="1:11" s="3" customFormat="1" x14ac:dyDescent="0.3">
      <c r="A89" s="47"/>
      <c r="B89" s="44">
        <v>46046</v>
      </c>
      <c r="C89" s="3" t="s">
        <v>416</v>
      </c>
      <c r="D89" s="3" t="s">
        <v>66</v>
      </c>
      <c r="E89" s="101"/>
      <c r="F89" s="3" t="s">
        <v>609</v>
      </c>
      <c r="G89" s="74">
        <v>3900401</v>
      </c>
      <c r="H89" s="3" t="s">
        <v>608</v>
      </c>
      <c r="I89" s="74">
        <v>3819107</v>
      </c>
      <c r="K89" s="51"/>
    </row>
    <row r="90" spans="1:11" s="3" customFormat="1" x14ac:dyDescent="0.3">
      <c r="A90" s="47"/>
      <c r="B90" s="44">
        <v>46046</v>
      </c>
      <c r="C90" s="3" t="s">
        <v>416</v>
      </c>
      <c r="D90" s="3" t="s">
        <v>66</v>
      </c>
      <c r="E90" s="101"/>
      <c r="F90" s="104" t="s">
        <v>603</v>
      </c>
      <c r="G90" s="74">
        <v>3945400</v>
      </c>
      <c r="H90" s="104" t="s">
        <v>602</v>
      </c>
      <c r="I90" s="74">
        <v>4023001</v>
      </c>
      <c r="K90" s="51"/>
    </row>
    <row r="91" spans="1:11" s="3" customFormat="1" x14ac:dyDescent="0.3">
      <c r="A91" s="47"/>
      <c r="B91" s="44"/>
      <c r="E91" s="101"/>
      <c r="F91" s="4"/>
      <c r="G91" s="4"/>
      <c r="I91" s="4"/>
      <c r="K91" s="51"/>
    </row>
    <row r="92" spans="1:11" s="3" customFormat="1" x14ac:dyDescent="0.3">
      <c r="A92" s="47"/>
      <c r="B92" s="44">
        <v>46053</v>
      </c>
      <c r="C92" s="3" t="s">
        <v>416</v>
      </c>
      <c r="D92" s="3" t="s">
        <v>66</v>
      </c>
      <c r="E92" s="101"/>
      <c r="F92" s="3" t="s">
        <v>606</v>
      </c>
      <c r="G92" s="74" t="s">
        <v>588</v>
      </c>
      <c r="H92" s="3" t="s">
        <v>604</v>
      </c>
      <c r="I92" s="74">
        <v>3205507</v>
      </c>
      <c r="K92" s="51"/>
    </row>
    <row r="93" spans="1:11" s="3" customFormat="1" x14ac:dyDescent="0.3">
      <c r="A93" s="47"/>
      <c r="B93" s="44">
        <v>46053</v>
      </c>
      <c r="C93" s="3" t="s">
        <v>416</v>
      </c>
      <c r="D93" s="3" t="s">
        <v>66</v>
      </c>
      <c r="E93" s="101"/>
      <c r="F93" s="3" t="s">
        <v>605</v>
      </c>
      <c r="G93" s="74">
        <v>3900109</v>
      </c>
      <c r="H93" s="3" t="s">
        <v>608</v>
      </c>
      <c r="I93" s="74">
        <v>3819107</v>
      </c>
      <c r="K93" s="51"/>
    </row>
    <row r="94" spans="1:11" s="3" customFormat="1" x14ac:dyDescent="0.3">
      <c r="A94" s="47"/>
      <c r="B94" s="44">
        <v>46053</v>
      </c>
      <c r="C94" s="3" t="s">
        <v>416</v>
      </c>
      <c r="D94" s="3" t="s">
        <v>66</v>
      </c>
      <c r="E94" s="101"/>
      <c r="F94" s="104" t="s">
        <v>602</v>
      </c>
      <c r="G94" s="74">
        <v>4023001</v>
      </c>
      <c r="H94" s="3" t="s">
        <v>609</v>
      </c>
      <c r="I94" s="74">
        <v>3900401</v>
      </c>
      <c r="J94" s="4"/>
      <c r="K94" s="74"/>
    </row>
    <row r="95" spans="1:11" s="3" customFormat="1" x14ac:dyDescent="0.3">
      <c r="A95" s="47"/>
      <c r="B95" s="44">
        <v>46053</v>
      </c>
      <c r="C95" s="3" t="s">
        <v>416</v>
      </c>
      <c r="D95" s="3" t="s">
        <v>66</v>
      </c>
      <c r="E95" s="101"/>
      <c r="F95" s="104" t="s">
        <v>603</v>
      </c>
      <c r="G95" s="74">
        <v>3945400</v>
      </c>
      <c r="H95" s="3" t="s">
        <v>607</v>
      </c>
      <c r="I95" s="4">
        <v>3596309</v>
      </c>
      <c r="K95" s="51"/>
    </row>
    <row r="96" spans="1:11" s="3" customFormat="1" x14ac:dyDescent="0.3">
      <c r="A96" s="47"/>
      <c r="B96" s="44"/>
      <c r="E96" s="101"/>
      <c r="F96" s="4"/>
      <c r="G96" s="4"/>
      <c r="I96" s="4"/>
      <c r="K96" s="51"/>
    </row>
    <row r="97" spans="1:11" s="3" customFormat="1" x14ac:dyDescent="0.3">
      <c r="A97" s="47"/>
      <c r="B97" s="44">
        <v>46060</v>
      </c>
      <c r="C97" s="3" t="s">
        <v>416</v>
      </c>
      <c r="D97" s="3" t="s">
        <v>66</v>
      </c>
      <c r="E97" s="101"/>
      <c r="F97" s="3" t="s">
        <v>608</v>
      </c>
      <c r="G97" s="74">
        <v>3819107</v>
      </c>
      <c r="H97" s="3" t="s">
        <v>606</v>
      </c>
      <c r="I97" s="74" t="s">
        <v>588</v>
      </c>
      <c r="K97" s="51"/>
    </row>
    <row r="98" spans="1:11" s="3" customFormat="1" x14ac:dyDescent="0.3">
      <c r="A98" s="47"/>
      <c r="B98" s="44">
        <v>46060</v>
      </c>
      <c r="C98" s="3" t="s">
        <v>416</v>
      </c>
      <c r="D98" s="3" t="s">
        <v>66</v>
      </c>
      <c r="E98" s="101"/>
      <c r="F98" s="3" t="s">
        <v>604</v>
      </c>
      <c r="G98" s="74">
        <v>3205507</v>
      </c>
      <c r="H98" s="3" t="s">
        <v>607</v>
      </c>
      <c r="I98" s="4">
        <v>3596309</v>
      </c>
      <c r="K98" s="51"/>
    </row>
    <row r="99" spans="1:11" s="3" customFormat="1" x14ac:dyDescent="0.3">
      <c r="A99" s="47"/>
      <c r="B99" s="44">
        <v>46060</v>
      </c>
      <c r="C99" s="3" t="s">
        <v>416</v>
      </c>
      <c r="D99" s="3" t="s">
        <v>66</v>
      </c>
      <c r="E99" s="101"/>
      <c r="F99" s="104" t="s">
        <v>602</v>
      </c>
      <c r="G99" s="74">
        <v>4023001</v>
      </c>
      <c r="H99" s="3" t="s">
        <v>605</v>
      </c>
      <c r="I99" s="74">
        <v>3900109</v>
      </c>
      <c r="K99" s="51"/>
    </row>
    <row r="100" spans="1:11" s="3" customFormat="1" x14ac:dyDescent="0.3">
      <c r="A100" s="47"/>
      <c r="B100" s="44">
        <v>46060</v>
      </c>
      <c r="C100" s="3" t="s">
        <v>416</v>
      </c>
      <c r="D100" s="3" t="s">
        <v>66</v>
      </c>
      <c r="E100" s="101"/>
      <c r="F100" s="3" t="s">
        <v>609</v>
      </c>
      <c r="G100" s="74">
        <v>3900401</v>
      </c>
      <c r="H100" s="104" t="s">
        <v>603</v>
      </c>
      <c r="I100" s="74">
        <v>3945400</v>
      </c>
      <c r="K100" s="4"/>
    </row>
    <row r="101" spans="1:11" s="3" customFormat="1" x14ac:dyDescent="0.3">
      <c r="A101" s="47"/>
      <c r="B101" s="44"/>
      <c r="E101" s="101"/>
      <c r="F101" s="4"/>
      <c r="G101" s="4"/>
      <c r="I101" s="4"/>
      <c r="K101" s="51"/>
    </row>
    <row r="102" spans="1:11" s="3" customFormat="1" x14ac:dyDescent="0.3">
      <c r="A102" s="47"/>
      <c r="B102" s="44">
        <v>46081</v>
      </c>
      <c r="C102" s="3" t="s">
        <v>416</v>
      </c>
      <c r="D102" s="3" t="s">
        <v>66</v>
      </c>
      <c r="E102" s="101"/>
      <c r="F102" s="3" t="s">
        <v>606</v>
      </c>
      <c r="G102" s="74" t="s">
        <v>588</v>
      </c>
      <c r="H102" s="104" t="s">
        <v>602</v>
      </c>
      <c r="I102" s="74">
        <v>4023001</v>
      </c>
      <c r="K102" s="51"/>
    </row>
    <row r="103" spans="1:11" s="3" customFormat="1" x14ac:dyDescent="0.3">
      <c r="A103" s="47"/>
      <c r="B103" s="44">
        <v>46081</v>
      </c>
      <c r="C103" s="3" t="s">
        <v>416</v>
      </c>
      <c r="D103" s="3" t="s">
        <v>66</v>
      </c>
      <c r="E103" s="101"/>
      <c r="F103" s="3" t="s">
        <v>608</v>
      </c>
      <c r="G103" s="74">
        <v>3819107</v>
      </c>
      <c r="H103" s="3" t="s">
        <v>604</v>
      </c>
      <c r="I103" s="74">
        <v>3205507</v>
      </c>
      <c r="K103" s="51"/>
    </row>
    <row r="104" spans="1:11" s="3" customFormat="1" x14ac:dyDescent="0.3">
      <c r="A104" s="47"/>
      <c r="B104" s="44">
        <v>46081</v>
      </c>
      <c r="C104" s="3" t="s">
        <v>416</v>
      </c>
      <c r="D104" s="3" t="s">
        <v>66</v>
      </c>
      <c r="E104" s="101"/>
      <c r="F104" s="3" t="s">
        <v>605</v>
      </c>
      <c r="G104" s="74">
        <v>3900109</v>
      </c>
      <c r="H104" s="104" t="s">
        <v>603</v>
      </c>
      <c r="I104" s="74">
        <v>3945400</v>
      </c>
      <c r="K104" s="51"/>
    </row>
    <row r="105" spans="1:11" s="3" customFormat="1" x14ac:dyDescent="0.3">
      <c r="A105" s="47"/>
      <c r="B105" s="44">
        <v>46081</v>
      </c>
      <c r="C105" s="3" t="s">
        <v>416</v>
      </c>
      <c r="D105" s="3" t="s">
        <v>66</v>
      </c>
      <c r="E105" s="101"/>
      <c r="F105" s="3" t="s">
        <v>607</v>
      </c>
      <c r="G105" s="4">
        <v>3596309</v>
      </c>
      <c r="H105" s="3" t="s">
        <v>609</v>
      </c>
      <c r="I105" s="74">
        <v>3900401</v>
      </c>
      <c r="K105" s="51"/>
    </row>
    <row r="106" spans="1:11" s="3" customFormat="1" x14ac:dyDescent="0.3">
      <c r="A106" s="47"/>
      <c r="B106" s="4"/>
      <c r="E106" s="101"/>
      <c r="F106" s="4"/>
      <c r="G106" s="4"/>
      <c r="I106" s="4"/>
      <c r="J106" s="4"/>
      <c r="K106" s="74"/>
    </row>
    <row r="107" spans="1:11" s="3" customFormat="1" x14ac:dyDescent="0.3">
      <c r="A107" s="47"/>
      <c r="B107" s="44">
        <v>46088</v>
      </c>
      <c r="C107" s="3" t="s">
        <v>416</v>
      </c>
      <c r="D107" s="3" t="s">
        <v>66</v>
      </c>
      <c r="E107" s="101"/>
      <c r="F107" s="104" t="s">
        <v>603</v>
      </c>
      <c r="G107" s="74">
        <v>3945400</v>
      </c>
      <c r="H107" s="3" t="s">
        <v>606</v>
      </c>
      <c r="I107" s="74" t="s">
        <v>588</v>
      </c>
      <c r="K107" s="51"/>
    </row>
    <row r="108" spans="1:11" s="3" customFormat="1" x14ac:dyDescent="0.3">
      <c r="A108" s="47"/>
      <c r="B108" s="44">
        <v>46088</v>
      </c>
      <c r="C108" s="3" t="s">
        <v>416</v>
      </c>
      <c r="D108" s="3" t="s">
        <v>66</v>
      </c>
      <c r="E108" s="101"/>
      <c r="F108" s="104" t="s">
        <v>602</v>
      </c>
      <c r="G108" s="74">
        <v>4023001</v>
      </c>
      <c r="H108" s="3" t="s">
        <v>604</v>
      </c>
      <c r="I108" s="74">
        <v>3205507</v>
      </c>
      <c r="K108" s="51"/>
    </row>
    <row r="109" spans="1:11" s="3" customFormat="1" x14ac:dyDescent="0.3">
      <c r="A109" s="47"/>
      <c r="B109" s="44">
        <v>46088</v>
      </c>
      <c r="C109" s="3" t="s">
        <v>416</v>
      </c>
      <c r="D109" s="3" t="s">
        <v>66</v>
      </c>
      <c r="E109" s="101"/>
      <c r="F109" s="3" t="s">
        <v>607</v>
      </c>
      <c r="G109" s="4">
        <v>3596309</v>
      </c>
      <c r="H109" s="3" t="s">
        <v>608</v>
      </c>
      <c r="I109" s="74">
        <v>3819107</v>
      </c>
      <c r="K109" s="51"/>
    </row>
    <row r="110" spans="1:11" s="3" customFormat="1" x14ac:dyDescent="0.3">
      <c r="A110" s="47"/>
      <c r="B110" s="44">
        <v>46088</v>
      </c>
      <c r="C110" s="3" t="s">
        <v>416</v>
      </c>
      <c r="D110" s="3" t="s">
        <v>66</v>
      </c>
      <c r="E110" s="101"/>
      <c r="F110" s="3" t="s">
        <v>609</v>
      </c>
      <c r="G110" s="74">
        <v>3900401</v>
      </c>
      <c r="H110" s="3" t="s">
        <v>605</v>
      </c>
      <c r="I110" s="74">
        <v>3900109</v>
      </c>
      <c r="K110" s="51"/>
    </row>
    <row r="111" spans="1:11" s="3" customFormat="1" x14ac:dyDescent="0.3">
      <c r="A111" s="47"/>
      <c r="B111" s="44"/>
      <c r="E111" s="101"/>
      <c r="F111" s="4"/>
      <c r="G111" s="4"/>
      <c r="I111" s="4"/>
      <c r="K111" s="51"/>
    </row>
    <row r="112" spans="1:11" s="3" customFormat="1" x14ac:dyDescent="0.3">
      <c r="A112" s="47"/>
      <c r="B112" s="44">
        <v>46095</v>
      </c>
      <c r="C112" s="3" t="s">
        <v>416</v>
      </c>
      <c r="D112" s="3" t="s">
        <v>66</v>
      </c>
      <c r="E112" s="101"/>
      <c r="F112" s="3" t="s">
        <v>606</v>
      </c>
      <c r="G112" s="74" t="s">
        <v>588</v>
      </c>
      <c r="H112" s="3" t="s">
        <v>609</v>
      </c>
      <c r="I112" s="74">
        <v>3900401</v>
      </c>
      <c r="K112" s="51"/>
    </row>
    <row r="113" spans="1:11" s="3" customFormat="1" x14ac:dyDescent="0.3">
      <c r="A113" s="47"/>
      <c r="B113" s="44">
        <v>46095</v>
      </c>
      <c r="C113" s="3" t="s">
        <v>416</v>
      </c>
      <c r="D113" s="3" t="s">
        <v>66</v>
      </c>
      <c r="E113" s="101"/>
      <c r="F113" s="3" t="s">
        <v>604</v>
      </c>
      <c r="G113" s="74">
        <v>3205507</v>
      </c>
      <c r="H113" s="104" t="s">
        <v>603</v>
      </c>
      <c r="I113" s="74">
        <v>3945400</v>
      </c>
      <c r="K113" s="4"/>
    </row>
    <row r="114" spans="1:11" s="3" customFormat="1" x14ac:dyDescent="0.3">
      <c r="A114" s="47"/>
      <c r="B114" s="44">
        <v>46095</v>
      </c>
      <c r="C114" s="3" t="s">
        <v>416</v>
      </c>
      <c r="D114" s="3" t="s">
        <v>66</v>
      </c>
      <c r="E114" s="101"/>
      <c r="F114" s="3" t="s">
        <v>608</v>
      </c>
      <c r="G114" s="74">
        <v>3819107</v>
      </c>
      <c r="H114" s="104" t="s">
        <v>602</v>
      </c>
      <c r="I114" s="74">
        <v>4023001</v>
      </c>
      <c r="K114" s="51"/>
    </row>
    <row r="115" spans="1:11" s="3" customFormat="1" x14ac:dyDescent="0.3">
      <c r="A115" s="47"/>
      <c r="B115" s="44">
        <v>46095</v>
      </c>
      <c r="C115" s="3" t="s">
        <v>416</v>
      </c>
      <c r="D115" s="3" t="s">
        <v>66</v>
      </c>
      <c r="E115" s="101"/>
      <c r="F115" s="3" t="s">
        <v>605</v>
      </c>
      <c r="G115" s="74">
        <v>3900109</v>
      </c>
      <c r="H115" s="3" t="s">
        <v>607</v>
      </c>
      <c r="I115" s="4">
        <v>3596309</v>
      </c>
      <c r="K115" s="51"/>
    </row>
    <row r="116" spans="1:11" s="3" customFormat="1" x14ac:dyDescent="0.3">
      <c r="A116" s="47"/>
      <c r="B116" s="44"/>
      <c r="E116" s="101"/>
      <c r="F116" s="4"/>
      <c r="G116" s="4"/>
      <c r="I116" s="4"/>
      <c r="K116" s="51"/>
    </row>
    <row r="117" spans="1:11" s="3" customFormat="1" x14ac:dyDescent="0.3">
      <c r="A117" s="47"/>
      <c r="B117" s="44">
        <v>46102</v>
      </c>
      <c r="C117" s="3" t="s">
        <v>416</v>
      </c>
      <c r="D117" s="3" t="s">
        <v>66</v>
      </c>
      <c r="E117" s="101"/>
      <c r="F117" s="3" t="s">
        <v>606</v>
      </c>
      <c r="G117" s="74" t="s">
        <v>588</v>
      </c>
      <c r="H117" s="3" t="s">
        <v>605</v>
      </c>
      <c r="I117" s="74">
        <v>3900109</v>
      </c>
      <c r="K117" s="51"/>
    </row>
    <row r="118" spans="1:11" s="3" customFormat="1" x14ac:dyDescent="0.3">
      <c r="A118" s="47"/>
      <c r="B118" s="44">
        <v>46102</v>
      </c>
      <c r="C118" s="3" t="s">
        <v>416</v>
      </c>
      <c r="D118" s="3" t="s">
        <v>66</v>
      </c>
      <c r="E118" s="101"/>
      <c r="F118" s="3" t="s">
        <v>609</v>
      </c>
      <c r="G118" s="74">
        <v>3900401</v>
      </c>
      <c r="H118" s="3" t="s">
        <v>604</v>
      </c>
      <c r="I118" s="74">
        <v>3205507</v>
      </c>
      <c r="J118" s="4"/>
      <c r="K118" s="74"/>
    </row>
    <row r="119" spans="1:11" s="3" customFormat="1" x14ac:dyDescent="0.3">
      <c r="A119" s="47"/>
      <c r="B119" s="44">
        <v>46102</v>
      </c>
      <c r="C119" s="3" t="s">
        <v>416</v>
      </c>
      <c r="D119" s="3" t="s">
        <v>66</v>
      </c>
      <c r="E119" s="101"/>
      <c r="F119" s="104" t="s">
        <v>603</v>
      </c>
      <c r="G119" s="74">
        <v>3945400</v>
      </c>
      <c r="H119" s="3" t="s">
        <v>608</v>
      </c>
      <c r="I119" s="74">
        <v>3819107</v>
      </c>
      <c r="K119" s="51"/>
    </row>
    <row r="120" spans="1:11" s="3" customFormat="1" x14ac:dyDescent="0.3">
      <c r="A120" s="47"/>
      <c r="B120" s="44">
        <v>46102</v>
      </c>
      <c r="C120" s="3" t="s">
        <v>416</v>
      </c>
      <c r="D120" s="3" t="s">
        <v>66</v>
      </c>
      <c r="E120" s="101"/>
      <c r="F120" s="104" t="s">
        <v>602</v>
      </c>
      <c r="G120" s="74">
        <v>4023001</v>
      </c>
      <c r="H120" s="3" t="s">
        <v>607</v>
      </c>
      <c r="I120" s="4">
        <v>3596309</v>
      </c>
      <c r="K120" s="51"/>
    </row>
    <row r="121" spans="1:11" s="3" customFormat="1" x14ac:dyDescent="0.3">
      <c r="A121" s="47"/>
      <c r="B121" s="44"/>
      <c r="E121" s="101"/>
      <c r="F121" s="4"/>
      <c r="G121" s="4"/>
      <c r="H121" s="4"/>
      <c r="I121" s="4"/>
      <c r="K121" s="51"/>
    </row>
    <row r="122" spans="1:11" s="3" customFormat="1" x14ac:dyDescent="0.3">
      <c r="A122" s="47"/>
      <c r="B122" s="44">
        <v>46109</v>
      </c>
      <c r="C122" s="3" t="s">
        <v>416</v>
      </c>
      <c r="D122" s="3" t="s">
        <v>66</v>
      </c>
      <c r="E122" s="101"/>
      <c r="F122" s="3" t="s">
        <v>607</v>
      </c>
      <c r="G122" s="4">
        <v>3596309</v>
      </c>
      <c r="H122" s="3" t="s">
        <v>606</v>
      </c>
      <c r="I122" s="74" t="s">
        <v>588</v>
      </c>
      <c r="K122" s="51"/>
    </row>
    <row r="123" spans="1:11" s="3" customFormat="1" x14ac:dyDescent="0.3">
      <c r="A123" s="47"/>
      <c r="B123" s="44">
        <v>46109</v>
      </c>
      <c r="C123" s="3" t="s">
        <v>416</v>
      </c>
      <c r="D123" s="3" t="s">
        <v>66</v>
      </c>
      <c r="E123" s="101"/>
      <c r="F123" s="3" t="s">
        <v>604</v>
      </c>
      <c r="G123" s="74">
        <v>3205507</v>
      </c>
      <c r="H123" s="3" t="s">
        <v>605</v>
      </c>
      <c r="I123" s="74">
        <v>3900109</v>
      </c>
      <c r="K123" s="51"/>
    </row>
    <row r="124" spans="1:11" s="3" customFormat="1" x14ac:dyDescent="0.3">
      <c r="A124" s="47"/>
      <c r="B124" s="44">
        <v>46109</v>
      </c>
      <c r="C124" s="3" t="s">
        <v>416</v>
      </c>
      <c r="D124" s="3" t="s">
        <v>66</v>
      </c>
      <c r="E124" s="101"/>
      <c r="F124" s="3" t="s">
        <v>608</v>
      </c>
      <c r="G124" s="74">
        <v>3819107</v>
      </c>
      <c r="H124" s="3" t="s">
        <v>609</v>
      </c>
      <c r="I124" s="74">
        <v>3900401</v>
      </c>
      <c r="K124" s="51"/>
    </row>
    <row r="125" spans="1:11" s="3" customFormat="1" x14ac:dyDescent="0.3">
      <c r="A125" s="47"/>
      <c r="B125" s="44">
        <v>46109</v>
      </c>
      <c r="C125" s="3" t="s">
        <v>416</v>
      </c>
      <c r="D125" s="3" t="s">
        <v>66</v>
      </c>
      <c r="E125" s="101"/>
      <c r="F125" s="104" t="s">
        <v>603</v>
      </c>
      <c r="G125" s="74">
        <v>3945400</v>
      </c>
      <c r="H125" s="104" t="s">
        <v>602</v>
      </c>
      <c r="I125" s="74">
        <v>4023001</v>
      </c>
      <c r="K125" s="51"/>
    </row>
    <row r="126" spans="1:11" s="3" customFormat="1" x14ac:dyDescent="0.3">
      <c r="A126" s="47"/>
      <c r="B126" s="44"/>
      <c r="E126" s="42"/>
      <c r="F126" s="4"/>
      <c r="G126" s="4"/>
      <c r="I126" s="4"/>
      <c r="K126" s="51"/>
    </row>
    <row r="127" spans="1:11" s="3" customFormat="1" x14ac:dyDescent="0.3">
      <c r="A127" s="47"/>
      <c r="B127" s="44"/>
      <c r="E127" s="42"/>
      <c r="F127" s="4"/>
      <c r="G127" s="74"/>
      <c r="I127" s="4"/>
      <c r="K127" s="4"/>
    </row>
    <row r="128" spans="1:11" s="3" customFormat="1" x14ac:dyDescent="0.3">
      <c r="A128" s="47"/>
      <c r="B128" s="44"/>
      <c r="E128" s="42"/>
      <c r="G128" s="4"/>
      <c r="H128" s="4"/>
      <c r="I128" s="4"/>
      <c r="K128" s="51"/>
    </row>
    <row r="129" spans="1:11" s="3" customFormat="1" x14ac:dyDescent="0.3">
      <c r="A129" s="47"/>
      <c r="G129" s="4"/>
      <c r="H129" s="4"/>
      <c r="I129" s="4"/>
      <c r="K129" s="51"/>
    </row>
  </sheetData>
  <mergeCells count="1">
    <mergeCell ref="K5:K6"/>
  </mergeCells>
  <conditionalFormatting sqref="I10:L17">
    <cfRule type="cellIs" dxfId="3902" priority="7" operator="lessThan">
      <formula>4</formula>
    </cfRule>
    <cfRule type="cellIs" dxfId="3901" priority="8" operator="greaterThan">
      <formula>6</formula>
    </cfRule>
  </conditionalFormatting>
  <conditionalFormatting sqref="K3:K4 K7:K8">
    <cfRule type="duplicateValues" dxfId="3900" priority="2190"/>
  </conditionalFormatting>
  <conditionalFormatting sqref="K5">
    <cfRule type="duplicateValues" dxfId="3899" priority="284"/>
  </conditionalFormatting>
  <conditionalFormatting sqref="K9">
    <cfRule type="containsText" dxfId="3898" priority="9" operator="containsText" text="c'[Fixtures All.xlsx]Women Filtered'!$F$2">
      <formula>NOT(ISERROR(SEARCH("c'[Fixtures All.xlsx]Women Filtered'!$F$2",K9)))</formula>
    </cfRule>
  </conditionalFormatting>
  <conditionalFormatting sqref="I74">
    <cfRule type="containsText" dxfId="3897" priority="6" operator="containsText" text="BYE">
      <formula>NOT(ISERROR(SEARCH("BYE",I74)))</formula>
    </cfRule>
  </conditionalFormatting>
  <conditionalFormatting sqref="F19:I1048576 F18:L18 F1:I17">
    <cfRule type="containsText" dxfId="3896" priority="2" operator="containsText" text="CODE">
      <formula>NOT(ISERROR(SEARCH("CODE",F1)))</formula>
    </cfRule>
  </conditionalFormatting>
  <conditionalFormatting sqref="K10:K17">
    <cfRule type="containsText" dxfId="3895" priority="1" operator="containsText" text="CODE">
      <formula>NOT(ISERROR(SEARCH("CODE",K10)))</formula>
    </cfRule>
  </conditionalFormatting>
  <hyperlinks>
    <hyperlink ref="K3" location="Contents!A1" display="Back to Contents" xr:uid="{C1811736-4E24-4CD6-B42E-6B5AA0FC2C54}"/>
    <hyperlink ref="K5:K6" location="'All Fixtures'!A1" display="See all NW Fixtures" xr:uid="{5B7BC9A2-9874-4484-A810-D35A22E9FC7E}"/>
  </hyperlinks>
  <pageMargins left="0.7" right="0.7" top="0.75" bottom="0.75" header="0.3" footer="0.3"/>
  <ignoredErrors>
    <ignoredError sqref="K10:K17 J10:J17" formula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6AE4-8ABD-4118-85CD-4FCA47F132ED}">
  <dimension ref="A2:AQ178"/>
  <sheetViews>
    <sheetView workbookViewId="0"/>
  </sheetViews>
  <sheetFormatPr defaultRowHeight="14.4" x14ac:dyDescent="0.3"/>
  <cols>
    <col min="1" max="1" width="4.88671875" style="47" customWidth="1"/>
    <col min="2" max="2" width="26.21875" style="3" customWidth="1"/>
    <col min="3" max="3" width="28.6640625" style="3" customWidth="1"/>
    <col min="4" max="4" width="35.6640625" style="3" customWidth="1"/>
    <col min="5" max="5" width="15.6640625" style="3" customWidth="1"/>
    <col min="6" max="6" width="28.6640625" style="3" customWidth="1"/>
    <col min="7" max="7" width="13.33203125" style="4" customWidth="1"/>
    <col min="8" max="8" width="31" style="3" customWidth="1"/>
    <col min="9" max="9" width="8.88671875" style="4"/>
    <col min="10" max="10" width="8.88671875" style="3"/>
    <col min="11" max="11" width="17.6640625" style="58" customWidth="1"/>
    <col min="12" max="43" width="8.88671875" style="3"/>
  </cols>
  <sheetData>
    <row r="2" spans="1:43" ht="15" thickBot="1" x14ac:dyDescent="0.35"/>
    <row r="3" spans="1:43" ht="37.200000000000003" thickBot="1" x14ac:dyDescent="0.75">
      <c r="E3" s="16" t="s">
        <v>610</v>
      </c>
      <c r="I3" s="16"/>
      <c r="K3" s="23" t="s">
        <v>86</v>
      </c>
    </row>
    <row r="4" spans="1:43" ht="15" customHeight="1" thickBot="1" x14ac:dyDescent="0.35"/>
    <row r="5" spans="1:43" ht="15" customHeight="1" x14ac:dyDescent="0.3">
      <c r="K5" s="189" t="s">
        <v>417</v>
      </c>
    </row>
    <row r="6" spans="1:43" ht="15" customHeight="1" thickBot="1" x14ac:dyDescent="0.35">
      <c r="K6" s="190"/>
    </row>
    <row r="7" spans="1:43" ht="15" customHeight="1" x14ac:dyDescent="0.3"/>
    <row r="8" spans="1:43" ht="15" customHeight="1" x14ac:dyDescent="0.7">
      <c r="B8" s="16"/>
    </row>
    <row r="9" spans="1:43" s="76" customFormat="1" ht="15" customHeight="1" x14ac:dyDescent="0.4">
      <c r="A9" s="59"/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J9" s="3"/>
      <c r="K9" s="77" t="s">
        <v>558</v>
      </c>
      <c r="L9" s="3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</row>
    <row r="10" spans="1:43" s="59" customFormat="1" ht="15" customHeight="1" x14ac:dyDescent="0.3">
      <c r="A10" s="79">
        <f>COUNTIF(F$26:H$178,"Clwb Hoci Eirias 2 (W)")</f>
        <v>22</v>
      </c>
      <c r="B10" s="15" t="s">
        <v>347</v>
      </c>
      <c r="C10" s="74">
        <v>3818504</v>
      </c>
      <c r="D10" s="80">
        <f>COUNTIF(F$26:I$178,"3818504")</f>
        <v>22</v>
      </c>
      <c r="E10" s="79"/>
      <c r="F10" s="80">
        <f>COUNTIF(F$26:F$178,"Clwb Hoci Eirias 2 (W)")</f>
        <v>11</v>
      </c>
      <c r="G10" s="80"/>
      <c r="H10" s="80">
        <f>COUNTIF(H$26:H$178,"Clwb Hoci Eirias 2 (W)")</f>
        <v>11</v>
      </c>
      <c r="I10" s="57">
        <f>COUNTIF(F$26:F$101,"Clwb Hoci Eirias 2 (W)")</f>
        <v>6</v>
      </c>
      <c r="J10" s="57">
        <f>COUNTIF(F$102:F$178,"Clwb Hoci Eirias 2 (W)")</f>
        <v>5</v>
      </c>
      <c r="K10" s="57">
        <f>COUNTIF(H$26:H$101,"Clwb Hoci Eirias 2 (W)")</f>
        <v>5</v>
      </c>
      <c r="L10" s="57">
        <f>COUNTIF(H$102:H$178,"Clwb Hoci Eirias 2 (W)")</f>
        <v>6</v>
      </c>
    </row>
    <row r="11" spans="1:43" s="59" customFormat="1" ht="15" customHeight="1" x14ac:dyDescent="0.3">
      <c r="A11" s="79">
        <f>COUNTIF(F$26:H$178,"Formby 2 (W)")</f>
        <v>22</v>
      </c>
      <c r="B11" s="15" t="s">
        <v>348</v>
      </c>
      <c r="C11" s="74">
        <v>3205903</v>
      </c>
      <c r="D11" s="80">
        <f>COUNTIF(F$26:I$178,"3205903")</f>
        <v>22</v>
      </c>
      <c r="E11" s="79"/>
      <c r="F11" s="80">
        <f>COUNTIF(F$26:F$178,"Formby 2 (W)")</f>
        <v>11</v>
      </c>
      <c r="G11" s="80"/>
      <c r="H11" s="80">
        <f>COUNTIF(H$26:H$178,"Formby 2 (W)")</f>
        <v>11</v>
      </c>
      <c r="I11" s="57">
        <f>COUNTIF(F$26:F$101,"Formby 2 (W)")</f>
        <v>6</v>
      </c>
      <c r="J11" s="57">
        <f>COUNTIF(F$102:F$178,"Formby 2 (W)")</f>
        <v>5</v>
      </c>
      <c r="K11" s="57">
        <f>COUNTIF(H$26:H$101,"Formby 2 (W)")</f>
        <v>5</v>
      </c>
      <c r="L11" s="57">
        <f>COUNTIF(H$102:H$178,"Formby 2 (W)")</f>
        <v>6</v>
      </c>
    </row>
    <row r="12" spans="1:43" s="59" customFormat="1" ht="15" customHeight="1" x14ac:dyDescent="0.3">
      <c r="A12" s="79">
        <f>COUNTIF(F$26:H$178,"Golborne &amp; Prescot 2 (W)")</f>
        <v>22</v>
      </c>
      <c r="B12" s="105" t="s">
        <v>611</v>
      </c>
      <c r="C12" s="53">
        <v>3204800</v>
      </c>
      <c r="D12" s="80">
        <f>COUNTIF(F$26:I$178,"3204800")</f>
        <v>22</v>
      </c>
      <c r="E12" s="79"/>
      <c r="F12" s="80">
        <f>COUNTIF(F$26:F$178,"Golborne &amp; Prescot 2 (W)")</f>
        <v>11</v>
      </c>
      <c r="G12" s="80"/>
      <c r="H12" s="80">
        <f>COUNTIF(H$26:H$178,"Golborne &amp; Prescot 2 (W)")</f>
        <v>11</v>
      </c>
      <c r="I12" s="57">
        <f>COUNTIF(F$26:F$101,"Golborne &amp; Prescot 2 (W)")</f>
        <v>5</v>
      </c>
      <c r="J12" s="57">
        <f>COUNTIF(F$102:F$178,"Golborne &amp; Prescot 2 (W)")</f>
        <v>6</v>
      </c>
      <c r="K12" s="57">
        <f>COUNTIF(H$26:H$101,"Golborne &amp; Prescot 2 (W)")</f>
        <v>6</v>
      </c>
      <c r="L12" s="57">
        <f>COUNTIF(H$102:H$178,"Golborne &amp; Prescot 2 (W)")</f>
        <v>5</v>
      </c>
    </row>
    <row r="13" spans="1:43" s="59" customFormat="1" ht="15" customHeight="1" x14ac:dyDescent="0.3">
      <c r="A13" s="79">
        <f>COUNTIF(F$26:H$178,"Liverpool Sefton 4 (W)")</f>
        <v>22</v>
      </c>
      <c r="B13" s="15" t="s">
        <v>350</v>
      </c>
      <c r="C13" s="74">
        <v>3202802</v>
      </c>
      <c r="D13" s="80">
        <f>COUNTIF(F$26:I$178,"3202802")</f>
        <v>22</v>
      </c>
      <c r="E13" s="79"/>
      <c r="F13" s="80">
        <f>COUNTIF(F$26:F$178,"Liverpool Sefton 4 (W)")</f>
        <v>11</v>
      </c>
      <c r="G13" s="80"/>
      <c r="H13" s="80">
        <f>COUNTIF(H$26:H$178,"Liverpool Sefton 4 (W)")</f>
        <v>11</v>
      </c>
      <c r="I13" s="57">
        <f>COUNTIF(F$26:F$101,"Liverpool Sefton 4 (W)")</f>
        <v>6</v>
      </c>
      <c r="J13" s="57">
        <f>COUNTIF(F$102:F$178,"Liverpool Sefton 4 (W)")</f>
        <v>5</v>
      </c>
      <c r="K13" s="57">
        <f>COUNTIF(H$26:H$101,"Liverpool Sefton 4 (W)")</f>
        <v>5</v>
      </c>
      <c r="L13" s="57">
        <f>COUNTIF(H$102:H$178,"Liverpool Sefton 4 (W)")</f>
        <v>6</v>
      </c>
    </row>
    <row r="14" spans="1:43" s="59" customFormat="1" ht="15" customHeight="1" x14ac:dyDescent="0.3">
      <c r="A14" s="79">
        <f>COUNTIF(F$26:H$178,"Merseyside Police 1 (W)")</f>
        <v>22</v>
      </c>
      <c r="B14" s="4" t="s">
        <v>381</v>
      </c>
      <c r="C14" s="74">
        <v>3201209</v>
      </c>
      <c r="D14" s="80">
        <f>COUNTIF(F$26:I$178,"3201209")</f>
        <v>22</v>
      </c>
      <c r="E14" s="79"/>
      <c r="F14" s="80">
        <f>COUNTIF(F$26:F$178,"Merseyside Police 1 (W)")</f>
        <v>11</v>
      </c>
      <c r="G14" s="80"/>
      <c r="H14" s="80">
        <f>COUNTIF(H$26:H$178,"Merseyside Police 1 (W)")</f>
        <v>11</v>
      </c>
      <c r="I14" s="57">
        <f>COUNTIF(F$26:F$101,"Merseyside Police 1 (W)")</f>
        <v>5</v>
      </c>
      <c r="J14" s="57">
        <f>COUNTIF(F$102:F$178,"Merseyside Police 1 (W)")</f>
        <v>6</v>
      </c>
      <c r="K14" s="57">
        <f>COUNTIF(H$26:H$101,"Merseyside Police 1 (W)")</f>
        <v>6</v>
      </c>
      <c r="L14" s="57">
        <f>COUNTIF(H$102:H$178,"Merseyside Police 1 (W)")</f>
        <v>5</v>
      </c>
    </row>
    <row r="15" spans="1:43" s="59" customFormat="1" ht="15" customHeight="1" x14ac:dyDescent="0.3">
      <c r="A15" s="79">
        <f>COUNTIF(F$26:H$178,"Mossley Hill 1 (W)")</f>
        <v>22</v>
      </c>
      <c r="B15" s="15" t="s">
        <v>351</v>
      </c>
      <c r="C15" s="74">
        <v>3201001</v>
      </c>
      <c r="D15" s="80">
        <f>COUNTIF(F$26:I$178,"3201001")</f>
        <v>22</v>
      </c>
      <c r="E15" s="79"/>
      <c r="F15" s="80">
        <f>COUNTIF(F$26:F$178,"Mossley Hill 1 (W)")</f>
        <v>11</v>
      </c>
      <c r="G15" s="80"/>
      <c r="H15" s="80">
        <f>COUNTIF(H$26:H$178,"Mossley Hill 1 (W)")</f>
        <v>11</v>
      </c>
      <c r="I15" s="57">
        <f>COUNTIF(F$26:F$101,"Mossley Hill 1 (W)")</f>
        <v>6</v>
      </c>
      <c r="J15" s="57">
        <f>COUNTIF(F$102:F$178,"Mossley Hill 1 (W)")</f>
        <v>5</v>
      </c>
      <c r="K15" s="57">
        <f>COUNTIF(H$26:H$101,"Mossley Hill 1 (W)")</f>
        <v>5</v>
      </c>
      <c r="L15" s="57">
        <f>COUNTIF(H$102:H$178,"Mossley Hill 1 (W)")</f>
        <v>6</v>
      </c>
    </row>
    <row r="16" spans="1:43" s="59" customFormat="1" ht="15" customHeight="1" x14ac:dyDescent="0.3">
      <c r="A16" s="79">
        <f>COUNTIF(F$26:H$178,"Mossley Hill 2 (W)")</f>
        <v>22</v>
      </c>
      <c r="B16" s="105" t="s">
        <v>382</v>
      </c>
      <c r="C16" s="53">
        <v>3200804</v>
      </c>
      <c r="D16" s="80">
        <f>COUNTIF(F$26:I$178,"3200804")</f>
        <v>22</v>
      </c>
      <c r="E16" s="79"/>
      <c r="F16" s="80">
        <f>COUNTIF(F$26:F$178,"Mossley Hill 2 (W)")</f>
        <v>11</v>
      </c>
      <c r="G16" s="80"/>
      <c r="H16" s="80">
        <f>COUNTIF(H$26:H$178,"Mossley Hill 2 (W)")</f>
        <v>11</v>
      </c>
      <c r="I16" s="57">
        <f>COUNTIF(F$26:F$101,"Mossley Hill 2 (W)")</f>
        <v>5</v>
      </c>
      <c r="J16" s="57">
        <f>COUNTIF(F$102:F$178,"Mossley Hill 2 (W)")</f>
        <v>6</v>
      </c>
      <c r="K16" s="57">
        <f>COUNTIF(H$26:H$101,"Mossley Hill 2 (W)")</f>
        <v>6</v>
      </c>
      <c r="L16" s="57">
        <f>COUNTIF(H$102:H$178,"Mossley Hill 2 (W)")</f>
        <v>5</v>
      </c>
    </row>
    <row r="17" spans="1:12" s="59" customFormat="1" x14ac:dyDescent="0.3">
      <c r="A17" s="79">
        <f>COUNTIF(F$26:H$178,"Neston 3 (W)")</f>
        <v>22</v>
      </c>
      <c r="B17" s="105" t="s">
        <v>458</v>
      </c>
      <c r="C17" s="53">
        <v>3200304</v>
      </c>
      <c r="D17" s="80">
        <f>COUNTIF(F$26:I$178,"3200304")</f>
        <v>22</v>
      </c>
      <c r="E17" s="79"/>
      <c r="F17" s="80">
        <f>COUNTIF(F$26:F$178,"Neston 3 (W)")</f>
        <v>11</v>
      </c>
      <c r="G17" s="80"/>
      <c r="H17" s="80">
        <f>COUNTIF(H$26:H$178,"Neston 3 (W)")</f>
        <v>11</v>
      </c>
      <c r="I17" s="57">
        <f>COUNTIF(F$26:F$101,"Neston 3 (W)")</f>
        <v>5</v>
      </c>
      <c r="J17" s="57">
        <f>COUNTIF(F$102:F$178,"Neston 3 (W)")</f>
        <v>6</v>
      </c>
      <c r="K17" s="57">
        <f>COUNTIF(H$26:H$101,"Neston 3 (W)")</f>
        <v>6</v>
      </c>
      <c r="L17" s="57">
        <f>COUNTIF(H$102:H$178,"Neston 3 (W)")</f>
        <v>5</v>
      </c>
    </row>
    <row r="18" spans="1:12" s="59" customFormat="1" x14ac:dyDescent="0.3">
      <c r="A18" s="79">
        <f>COUNTIF(F$26:H$178,"Northern 1 (W)")</f>
        <v>22</v>
      </c>
      <c r="B18" s="15" t="s">
        <v>352</v>
      </c>
      <c r="C18" s="74">
        <v>3197208</v>
      </c>
      <c r="D18" s="80">
        <f>COUNTIF(F$26:I$178,"3197208")</f>
        <v>22</v>
      </c>
      <c r="E18" s="79"/>
      <c r="F18" s="80">
        <f>COUNTIF(F$26:F$178,"Northern 1 (W)")</f>
        <v>11</v>
      </c>
      <c r="G18" s="80"/>
      <c r="H18" s="80">
        <f>COUNTIF(H$26:H$178,"Northern 1 (W)")</f>
        <v>11</v>
      </c>
      <c r="I18" s="57">
        <f>COUNTIF(F$26:F$101,"Northern 1 (W)")</f>
        <v>6</v>
      </c>
      <c r="J18" s="57">
        <f>COUNTIF(F$102:F$178,"Northern 1 (W)")</f>
        <v>5</v>
      </c>
      <c r="K18" s="57">
        <f>COUNTIF(H$26:H$101,"Northern 1 (W)")</f>
        <v>5</v>
      </c>
      <c r="L18" s="57">
        <f>COUNTIF(H$102:H$178,"Northern 1 (W)")</f>
        <v>6</v>
      </c>
    </row>
    <row r="19" spans="1:12" s="59" customFormat="1" x14ac:dyDescent="0.3">
      <c r="A19" s="79">
        <f>COUNTIF(F$26:H$178,"Northop Hall 2 (W)")</f>
        <v>22</v>
      </c>
      <c r="B19" s="15" t="s">
        <v>353</v>
      </c>
      <c r="C19" s="74">
        <v>3200200</v>
      </c>
      <c r="D19" s="80">
        <f>COUNTIF(F$26:I$178,"3200200")</f>
        <v>22</v>
      </c>
      <c r="E19" s="79"/>
      <c r="F19" s="80">
        <f>COUNTIF(F$26:F$178,"Northop Hall 2 (W)")</f>
        <v>11</v>
      </c>
      <c r="G19" s="80"/>
      <c r="H19" s="80">
        <f>COUNTIF(H$26:H$178,"Northop Hall 2 (W)")</f>
        <v>11</v>
      </c>
      <c r="I19" s="57">
        <f>COUNTIF(F$26:F$101,"Northop Hall 2 (W)")</f>
        <v>5</v>
      </c>
      <c r="J19" s="57">
        <f>COUNTIF(F$102:F$178,"Northop Hall 2 (W)")</f>
        <v>6</v>
      </c>
      <c r="K19" s="57">
        <f>COUNTIF(H$26:H$101,"Northop Hall 2 (W)")</f>
        <v>6</v>
      </c>
      <c r="L19" s="57">
        <f>COUNTIF(H$102:H$178,"Northop Hall 2 (W)")</f>
        <v>5</v>
      </c>
    </row>
    <row r="20" spans="1:12" s="59" customFormat="1" x14ac:dyDescent="0.3">
      <c r="A20" s="79">
        <f>COUNTIF(F$26:H$178,"Rhyl &amp; District 1 (W)")</f>
        <v>22</v>
      </c>
      <c r="B20" s="4" t="s">
        <v>433</v>
      </c>
      <c r="C20" s="74">
        <v>3198905</v>
      </c>
      <c r="D20" s="80">
        <f>COUNTIF(F$26:I$178,"3198905")</f>
        <v>22</v>
      </c>
      <c r="E20" s="79"/>
      <c r="F20" s="80">
        <f>COUNTIF(F$26:F$178,"Rhyl &amp; District 1 (W)")</f>
        <v>11</v>
      </c>
      <c r="G20" s="80"/>
      <c r="H20" s="80">
        <f>COUNTIF(H$26:H$178,"Rhyl &amp; District 1 (W)")</f>
        <v>11</v>
      </c>
      <c r="I20" s="57">
        <f>COUNTIF(F$26:F$101,"Rhyl &amp; District 1 (W)")</f>
        <v>5</v>
      </c>
      <c r="J20" s="57">
        <f>COUNTIF(F$102:F$178,"Rhyl &amp; District 1 (W)")</f>
        <v>6</v>
      </c>
      <c r="K20" s="57">
        <f>COUNTIF(H$26:H$101,"Rhyl &amp; District 1 (W)")</f>
        <v>6</v>
      </c>
      <c r="L20" s="57">
        <f>COUNTIF(H$102:H$178,"Rhyl &amp; District 1 (W)")</f>
        <v>5</v>
      </c>
    </row>
    <row r="21" spans="1:12" s="59" customFormat="1" x14ac:dyDescent="0.3">
      <c r="A21" s="79">
        <f>COUNTIF(F$26:H$178,"Runcorn 1 (W)")</f>
        <v>22</v>
      </c>
      <c r="B21" s="4" t="s">
        <v>450</v>
      </c>
      <c r="C21" s="74">
        <v>3198405</v>
      </c>
      <c r="D21" s="80">
        <f>COUNTIF(F$26:I$178,"3198405")</f>
        <v>22</v>
      </c>
      <c r="E21" s="79"/>
      <c r="F21" s="80">
        <f>COUNTIF(F$26:F$178,"Runcorn 1 (W)")</f>
        <v>11</v>
      </c>
      <c r="G21" s="80"/>
      <c r="H21" s="80">
        <f>COUNTIF(H$26:H$178,"Runcorn 1 (W)")</f>
        <v>11</v>
      </c>
      <c r="I21" s="57">
        <f>COUNTIF(F$26:F$101,"Runcorn 1 (W)")</f>
        <v>6</v>
      </c>
      <c r="J21" s="57">
        <f>COUNTIF(F$102:F$178,"Runcorn 1 (W)")</f>
        <v>5</v>
      </c>
      <c r="K21" s="57">
        <f>COUNTIF(H$26:H$101,"Runcorn 1 (W)")</f>
        <v>5</v>
      </c>
      <c r="L21" s="57">
        <f>COUNTIF(H$102:H$178,"Runcorn 1 (W)")</f>
        <v>6</v>
      </c>
    </row>
    <row r="22" spans="1:12" s="59" customFormat="1" x14ac:dyDescent="0.3">
      <c r="G22" s="15"/>
      <c r="I22" s="15"/>
      <c r="K22" s="70"/>
    </row>
    <row r="23" spans="1:12" s="3" customFormat="1" ht="21" x14ac:dyDescent="0.4">
      <c r="A23" s="47"/>
      <c r="B23" s="22" t="s">
        <v>93</v>
      </c>
      <c r="G23" s="4"/>
      <c r="I23" s="4"/>
      <c r="K23" s="58"/>
    </row>
    <row r="24" spans="1:12" s="3" customFormat="1" x14ac:dyDescent="0.3">
      <c r="A24" s="47"/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  <c r="K24" s="58"/>
    </row>
    <row r="25" spans="1:12" s="3" customFormat="1" x14ac:dyDescent="0.3">
      <c r="A25" s="47"/>
      <c r="B25" s="40"/>
      <c r="C25" s="14"/>
      <c r="D25" s="14"/>
      <c r="E25" s="14"/>
      <c r="F25" s="14"/>
      <c r="G25" s="14"/>
      <c r="H25" s="13"/>
      <c r="I25" s="14"/>
      <c r="K25" s="58"/>
    </row>
    <row r="26" spans="1:12" x14ac:dyDescent="0.3">
      <c r="B26" s="44">
        <v>45913</v>
      </c>
      <c r="C26" s="3" t="s">
        <v>416</v>
      </c>
      <c r="D26" s="3" t="s">
        <v>610</v>
      </c>
      <c r="E26" s="101"/>
      <c r="F26" s="3" t="s">
        <v>433</v>
      </c>
      <c r="G26" s="4">
        <v>3198905</v>
      </c>
      <c r="H26" s="4" t="s">
        <v>611</v>
      </c>
      <c r="I26" s="4">
        <v>3204800</v>
      </c>
    </row>
    <row r="27" spans="1:12" x14ac:dyDescent="0.3">
      <c r="B27" s="44">
        <v>45913</v>
      </c>
      <c r="C27" s="3" t="s">
        <v>416</v>
      </c>
      <c r="D27" s="3" t="s">
        <v>610</v>
      </c>
      <c r="E27" s="101"/>
      <c r="F27" s="3" t="s">
        <v>351</v>
      </c>
      <c r="G27" s="4">
        <v>3201001</v>
      </c>
      <c r="H27" s="4" t="s">
        <v>348</v>
      </c>
      <c r="I27" s="4">
        <v>3205903</v>
      </c>
    </row>
    <row r="28" spans="1:12" x14ac:dyDescent="0.3">
      <c r="B28" s="44">
        <v>45913</v>
      </c>
      <c r="C28" s="3" t="s">
        <v>416</v>
      </c>
      <c r="D28" s="3" t="s">
        <v>610</v>
      </c>
      <c r="E28" s="101"/>
      <c r="F28" s="3" t="s">
        <v>350</v>
      </c>
      <c r="G28" s="4">
        <v>3202802</v>
      </c>
      <c r="H28" s="4" t="s">
        <v>381</v>
      </c>
      <c r="I28" s="4">
        <v>3201209</v>
      </c>
    </row>
    <row r="29" spans="1:12" x14ac:dyDescent="0.3">
      <c r="B29" s="44">
        <v>45913</v>
      </c>
      <c r="C29" s="3" t="s">
        <v>416</v>
      </c>
      <c r="D29" s="3" t="s">
        <v>610</v>
      </c>
      <c r="E29" s="101"/>
      <c r="F29" s="3" t="s">
        <v>352</v>
      </c>
      <c r="G29" s="4">
        <v>3197208</v>
      </c>
      <c r="H29" s="4" t="s">
        <v>353</v>
      </c>
      <c r="I29" s="4">
        <v>3200200</v>
      </c>
    </row>
    <row r="30" spans="1:12" x14ac:dyDescent="0.3">
      <c r="B30" s="44">
        <v>45913</v>
      </c>
      <c r="C30" s="3" t="s">
        <v>416</v>
      </c>
      <c r="D30" s="3" t="s">
        <v>610</v>
      </c>
      <c r="E30" s="101"/>
      <c r="F30" s="3" t="s">
        <v>450</v>
      </c>
      <c r="G30" s="4">
        <v>3198405</v>
      </c>
      <c r="H30" s="4" t="s">
        <v>458</v>
      </c>
      <c r="I30" s="4">
        <v>3200304</v>
      </c>
    </row>
    <row r="31" spans="1:12" x14ac:dyDescent="0.3">
      <c r="B31" s="44">
        <v>45913</v>
      </c>
      <c r="C31" s="3" t="s">
        <v>416</v>
      </c>
      <c r="D31" s="3" t="s">
        <v>610</v>
      </c>
      <c r="E31" s="101"/>
      <c r="F31" s="3" t="s">
        <v>347</v>
      </c>
      <c r="G31" s="4">
        <v>3818504</v>
      </c>
      <c r="H31" s="4" t="s">
        <v>382</v>
      </c>
      <c r="I31" s="4">
        <v>3200804</v>
      </c>
    </row>
    <row r="32" spans="1:12" x14ac:dyDescent="0.3"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610</v>
      </c>
      <c r="E33" s="101"/>
      <c r="F33" s="3" t="s">
        <v>381</v>
      </c>
      <c r="G33" s="4">
        <v>3201209</v>
      </c>
      <c r="H33" s="4" t="s">
        <v>347</v>
      </c>
      <c r="I33" s="4">
        <v>3818504</v>
      </c>
    </row>
    <row r="34" spans="2:9" x14ac:dyDescent="0.3">
      <c r="B34" s="44">
        <v>45920</v>
      </c>
      <c r="C34" s="3" t="s">
        <v>416</v>
      </c>
      <c r="D34" s="3" t="s">
        <v>610</v>
      </c>
      <c r="E34" s="101"/>
      <c r="F34" s="3" t="s">
        <v>348</v>
      </c>
      <c r="G34" s="4">
        <v>3205903</v>
      </c>
      <c r="H34" s="4" t="s">
        <v>433</v>
      </c>
      <c r="I34" s="4">
        <v>3198905</v>
      </c>
    </row>
    <row r="35" spans="2:9" x14ac:dyDescent="0.3">
      <c r="B35" s="44">
        <v>45920</v>
      </c>
      <c r="C35" s="3" t="s">
        <v>416</v>
      </c>
      <c r="D35" s="3" t="s">
        <v>610</v>
      </c>
      <c r="E35" s="101"/>
      <c r="F35" s="3" t="s">
        <v>458</v>
      </c>
      <c r="G35" s="4">
        <v>3200304</v>
      </c>
      <c r="H35" s="4" t="s">
        <v>351</v>
      </c>
      <c r="I35" s="4">
        <v>3201001</v>
      </c>
    </row>
    <row r="36" spans="2:9" x14ac:dyDescent="0.3">
      <c r="B36" s="44">
        <v>45920</v>
      </c>
      <c r="C36" s="3" t="s">
        <v>416</v>
      </c>
      <c r="D36" s="3" t="s">
        <v>610</v>
      </c>
      <c r="E36" s="101"/>
      <c r="F36" s="3" t="s">
        <v>382</v>
      </c>
      <c r="G36" s="4">
        <v>3200804</v>
      </c>
      <c r="H36" s="4" t="s">
        <v>450</v>
      </c>
      <c r="I36" s="4">
        <v>3198405</v>
      </c>
    </row>
    <row r="37" spans="2:9" x14ac:dyDescent="0.3">
      <c r="B37" s="44">
        <v>45920</v>
      </c>
      <c r="C37" s="3" t="s">
        <v>416</v>
      </c>
      <c r="D37" s="3" t="s">
        <v>610</v>
      </c>
      <c r="E37" s="101"/>
      <c r="F37" s="3" t="s">
        <v>353</v>
      </c>
      <c r="G37" s="4">
        <v>3200200</v>
      </c>
      <c r="H37" s="4" t="s">
        <v>350</v>
      </c>
      <c r="I37" s="4">
        <v>3202802</v>
      </c>
    </row>
    <row r="38" spans="2:9" x14ac:dyDescent="0.3">
      <c r="B38" s="44">
        <v>45920</v>
      </c>
      <c r="C38" s="3" t="s">
        <v>416</v>
      </c>
      <c r="D38" s="3" t="s">
        <v>610</v>
      </c>
      <c r="E38" s="101"/>
      <c r="F38" s="3" t="s">
        <v>611</v>
      </c>
      <c r="G38" s="4">
        <v>3204800</v>
      </c>
      <c r="H38" s="4" t="s">
        <v>352</v>
      </c>
      <c r="I38" s="4">
        <v>3197208</v>
      </c>
    </row>
    <row r="39" spans="2:9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610</v>
      </c>
      <c r="E40" s="101"/>
      <c r="F40" s="3" t="s">
        <v>348</v>
      </c>
      <c r="G40" s="4">
        <v>3205903</v>
      </c>
      <c r="H40" s="4" t="s">
        <v>458</v>
      </c>
      <c r="I40" s="4">
        <v>3200304</v>
      </c>
    </row>
    <row r="41" spans="2:9" x14ac:dyDescent="0.3">
      <c r="B41" s="44">
        <v>45927</v>
      </c>
      <c r="C41" s="3" t="s">
        <v>416</v>
      </c>
      <c r="D41" s="3" t="s">
        <v>610</v>
      </c>
      <c r="E41" s="101"/>
      <c r="F41" s="3" t="s">
        <v>351</v>
      </c>
      <c r="G41" s="4">
        <v>3201001</v>
      </c>
      <c r="H41" s="4" t="s">
        <v>382</v>
      </c>
      <c r="I41" s="4">
        <v>3200804</v>
      </c>
    </row>
    <row r="42" spans="2:9" x14ac:dyDescent="0.3">
      <c r="B42" s="44">
        <v>45927</v>
      </c>
      <c r="C42" s="3" t="s">
        <v>416</v>
      </c>
      <c r="D42" s="3" t="s">
        <v>610</v>
      </c>
      <c r="E42" s="101"/>
      <c r="F42" s="3" t="s">
        <v>350</v>
      </c>
      <c r="G42" s="4">
        <v>3202802</v>
      </c>
      <c r="H42" s="4" t="s">
        <v>611</v>
      </c>
      <c r="I42" s="4">
        <v>3204800</v>
      </c>
    </row>
    <row r="43" spans="2:9" x14ac:dyDescent="0.3">
      <c r="B43" s="44">
        <v>45927</v>
      </c>
      <c r="C43" s="3" t="s">
        <v>416</v>
      </c>
      <c r="D43" s="3" t="s">
        <v>610</v>
      </c>
      <c r="E43" s="101"/>
      <c r="F43" s="3" t="s">
        <v>352</v>
      </c>
      <c r="G43" s="4">
        <v>3197208</v>
      </c>
      <c r="H43" s="4" t="s">
        <v>433</v>
      </c>
      <c r="I43" s="4">
        <v>3198905</v>
      </c>
    </row>
    <row r="44" spans="2:9" x14ac:dyDescent="0.3">
      <c r="B44" s="44">
        <v>45927</v>
      </c>
      <c r="C44" s="3" t="s">
        <v>416</v>
      </c>
      <c r="D44" s="3" t="s">
        <v>610</v>
      </c>
      <c r="E44" s="101"/>
      <c r="F44" s="3" t="s">
        <v>450</v>
      </c>
      <c r="G44" s="4">
        <v>3198405</v>
      </c>
      <c r="H44" s="4" t="s">
        <v>381</v>
      </c>
      <c r="I44" s="4">
        <v>3201209</v>
      </c>
    </row>
    <row r="45" spans="2:9" x14ac:dyDescent="0.3">
      <c r="B45" s="44">
        <v>45927</v>
      </c>
      <c r="C45" s="3" t="s">
        <v>416</v>
      </c>
      <c r="D45" s="3" t="s">
        <v>610</v>
      </c>
      <c r="E45" s="101"/>
      <c r="F45" s="3" t="s">
        <v>347</v>
      </c>
      <c r="G45" s="4">
        <v>3818504</v>
      </c>
      <c r="H45" s="4" t="s">
        <v>353</v>
      </c>
      <c r="I45" s="4">
        <v>3200200</v>
      </c>
    </row>
    <row r="46" spans="2:9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610</v>
      </c>
      <c r="E47" s="101"/>
      <c r="F47" s="3" t="s">
        <v>381</v>
      </c>
      <c r="G47" s="4">
        <v>3201209</v>
      </c>
      <c r="H47" s="4" t="s">
        <v>351</v>
      </c>
      <c r="I47" s="4">
        <v>3201001</v>
      </c>
    </row>
    <row r="48" spans="2:9" x14ac:dyDescent="0.3">
      <c r="B48" s="44">
        <v>45934</v>
      </c>
      <c r="C48" s="3" t="s">
        <v>416</v>
      </c>
      <c r="D48" s="3" t="s">
        <v>610</v>
      </c>
      <c r="E48" s="101"/>
      <c r="F48" s="3" t="s">
        <v>433</v>
      </c>
      <c r="G48" s="4">
        <v>3198905</v>
      </c>
      <c r="H48" s="4" t="s">
        <v>350</v>
      </c>
      <c r="I48" s="4">
        <v>3202802</v>
      </c>
    </row>
    <row r="49" spans="2:9" x14ac:dyDescent="0.3">
      <c r="B49" s="44">
        <v>45934</v>
      </c>
      <c r="C49" s="3" t="s">
        <v>416</v>
      </c>
      <c r="D49" s="3" t="s">
        <v>610</v>
      </c>
      <c r="E49" s="101"/>
      <c r="F49" s="3" t="s">
        <v>382</v>
      </c>
      <c r="G49" s="4">
        <v>3200804</v>
      </c>
      <c r="H49" s="4" t="s">
        <v>458</v>
      </c>
      <c r="I49" s="4">
        <v>3200304</v>
      </c>
    </row>
    <row r="50" spans="2:9" x14ac:dyDescent="0.3">
      <c r="B50" s="44">
        <v>45934</v>
      </c>
      <c r="C50" s="3" t="s">
        <v>416</v>
      </c>
      <c r="D50" s="3" t="s">
        <v>610</v>
      </c>
      <c r="E50" s="101"/>
      <c r="F50" s="3" t="s">
        <v>353</v>
      </c>
      <c r="G50" s="4">
        <v>3200200</v>
      </c>
      <c r="H50" s="4" t="s">
        <v>450</v>
      </c>
      <c r="I50" s="4">
        <v>3198405</v>
      </c>
    </row>
    <row r="51" spans="2:9" x14ac:dyDescent="0.3">
      <c r="B51" s="44">
        <v>45934</v>
      </c>
      <c r="C51" s="3" t="s">
        <v>416</v>
      </c>
      <c r="D51" s="3" t="s">
        <v>610</v>
      </c>
      <c r="E51" s="101"/>
      <c r="F51" s="3" t="s">
        <v>352</v>
      </c>
      <c r="G51" s="4">
        <v>3197208</v>
      </c>
      <c r="H51" s="4" t="s">
        <v>348</v>
      </c>
      <c r="I51" s="4">
        <v>3205903</v>
      </c>
    </row>
    <row r="52" spans="2:9" x14ac:dyDescent="0.3">
      <c r="B52" s="44">
        <v>45934</v>
      </c>
      <c r="C52" s="3" t="s">
        <v>416</v>
      </c>
      <c r="D52" s="3" t="s">
        <v>610</v>
      </c>
      <c r="E52" s="101"/>
      <c r="F52" s="3" t="s">
        <v>611</v>
      </c>
      <c r="G52" s="4">
        <v>3204800</v>
      </c>
      <c r="H52" s="4" t="s">
        <v>347</v>
      </c>
      <c r="I52" s="4">
        <v>3818504</v>
      </c>
    </row>
    <row r="53" spans="2:9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610</v>
      </c>
      <c r="E54" s="101"/>
      <c r="F54" s="3" t="s">
        <v>348</v>
      </c>
      <c r="G54" s="4">
        <v>3205903</v>
      </c>
      <c r="H54" s="4" t="s">
        <v>382</v>
      </c>
      <c r="I54" s="4">
        <v>3200804</v>
      </c>
    </row>
    <row r="55" spans="2:9" x14ac:dyDescent="0.3">
      <c r="B55" s="44">
        <v>45941</v>
      </c>
      <c r="C55" s="3" t="s">
        <v>416</v>
      </c>
      <c r="D55" s="3" t="s">
        <v>610</v>
      </c>
      <c r="E55" s="101"/>
      <c r="F55" s="3" t="s">
        <v>458</v>
      </c>
      <c r="G55" s="4">
        <v>3200304</v>
      </c>
      <c r="H55" s="4" t="s">
        <v>381</v>
      </c>
      <c r="I55" s="4">
        <v>3201209</v>
      </c>
    </row>
    <row r="56" spans="2:9" x14ac:dyDescent="0.3">
      <c r="B56" s="44">
        <v>45941</v>
      </c>
      <c r="C56" s="3" t="s">
        <v>416</v>
      </c>
      <c r="D56" s="3" t="s">
        <v>610</v>
      </c>
      <c r="E56" s="101"/>
      <c r="F56" s="3" t="s">
        <v>351</v>
      </c>
      <c r="G56" s="4">
        <v>3201001</v>
      </c>
      <c r="H56" s="4" t="s">
        <v>353</v>
      </c>
      <c r="I56" s="4">
        <v>3200200</v>
      </c>
    </row>
    <row r="57" spans="2:9" x14ac:dyDescent="0.3">
      <c r="B57" s="44">
        <v>45941</v>
      </c>
      <c r="C57" s="3" t="s">
        <v>416</v>
      </c>
      <c r="D57" s="3" t="s">
        <v>610</v>
      </c>
      <c r="E57" s="101"/>
      <c r="F57" s="3" t="s">
        <v>350</v>
      </c>
      <c r="G57" s="4">
        <v>3202802</v>
      </c>
      <c r="H57" s="4" t="s">
        <v>352</v>
      </c>
      <c r="I57" s="4">
        <v>3197208</v>
      </c>
    </row>
    <row r="58" spans="2:9" x14ac:dyDescent="0.3">
      <c r="B58" s="44">
        <v>45941</v>
      </c>
      <c r="C58" s="3" t="s">
        <v>416</v>
      </c>
      <c r="D58" s="3" t="s">
        <v>610</v>
      </c>
      <c r="E58" s="101"/>
      <c r="F58" s="3" t="s">
        <v>450</v>
      </c>
      <c r="G58" s="4">
        <v>3198405</v>
      </c>
      <c r="H58" s="4" t="s">
        <v>611</v>
      </c>
      <c r="I58" s="4">
        <v>3204800</v>
      </c>
    </row>
    <row r="59" spans="2:9" x14ac:dyDescent="0.3">
      <c r="B59" s="44">
        <v>45941</v>
      </c>
      <c r="C59" s="3" t="s">
        <v>416</v>
      </c>
      <c r="D59" s="3" t="s">
        <v>610</v>
      </c>
      <c r="E59" s="101"/>
      <c r="F59" s="3" t="s">
        <v>347</v>
      </c>
      <c r="G59" s="4">
        <v>3818504</v>
      </c>
      <c r="H59" s="4" t="s">
        <v>433</v>
      </c>
      <c r="I59" s="4">
        <v>3198905</v>
      </c>
    </row>
    <row r="60" spans="2:9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610</v>
      </c>
      <c r="E61" s="101"/>
      <c r="F61" s="3" t="s">
        <v>381</v>
      </c>
      <c r="G61" s="4">
        <v>3201209</v>
      </c>
      <c r="H61" s="4" t="s">
        <v>382</v>
      </c>
      <c r="I61" s="4">
        <v>3200804</v>
      </c>
    </row>
    <row r="62" spans="2:9" x14ac:dyDescent="0.3">
      <c r="B62" s="44">
        <v>45948</v>
      </c>
      <c r="C62" s="3" t="s">
        <v>416</v>
      </c>
      <c r="D62" s="3" t="s">
        <v>610</v>
      </c>
      <c r="E62" s="101"/>
      <c r="F62" s="3" t="s">
        <v>433</v>
      </c>
      <c r="G62" s="4">
        <v>3198905</v>
      </c>
      <c r="H62" s="4" t="s">
        <v>450</v>
      </c>
      <c r="I62" s="4">
        <v>3198405</v>
      </c>
    </row>
    <row r="63" spans="2:9" x14ac:dyDescent="0.3">
      <c r="B63" s="44">
        <v>45948</v>
      </c>
      <c r="C63" s="3" t="s">
        <v>416</v>
      </c>
      <c r="D63" s="3" t="s">
        <v>610</v>
      </c>
      <c r="E63" s="101"/>
      <c r="F63" s="3" t="s">
        <v>350</v>
      </c>
      <c r="G63" s="4">
        <v>3202802</v>
      </c>
      <c r="H63" s="4" t="s">
        <v>348</v>
      </c>
      <c r="I63" s="4">
        <v>3205903</v>
      </c>
    </row>
    <row r="64" spans="2:9" x14ac:dyDescent="0.3">
      <c r="B64" s="44">
        <v>45948</v>
      </c>
      <c r="C64" s="3" t="s">
        <v>416</v>
      </c>
      <c r="D64" s="3" t="s">
        <v>610</v>
      </c>
      <c r="E64" s="101"/>
      <c r="F64" s="3" t="s">
        <v>353</v>
      </c>
      <c r="G64" s="4">
        <v>3200200</v>
      </c>
      <c r="H64" s="4" t="s">
        <v>458</v>
      </c>
      <c r="I64" s="4">
        <v>3200304</v>
      </c>
    </row>
    <row r="65" spans="2:9" x14ac:dyDescent="0.3">
      <c r="B65" s="44">
        <v>45948</v>
      </c>
      <c r="C65" s="3" t="s">
        <v>416</v>
      </c>
      <c r="D65" s="3" t="s">
        <v>610</v>
      </c>
      <c r="E65" s="101"/>
      <c r="F65" s="3" t="s">
        <v>352</v>
      </c>
      <c r="G65" s="4">
        <v>3197208</v>
      </c>
      <c r="H65" s="4" t="s">
        <v>347</v>
      </c>
      <c r="I65" s="4">
        <v>3818504</v>
      </c>
    </row>
    <row r="66" spans="2:9" x14ac:dyDescent="0.3">
      <c r="B66" s="44">
        <v>45948</v>
      </c>
      <c r="C66" s="3" t="s">
        <v>416</v>
      </c>
      <c r="D66" s="3" t="s">
        <v>610</v>
      </c>
      <c r="E66" s="101"/>
      <c r="F66" s="3" t="s">
        <v>611</v>
      </c>
      <c r="G66" s="4">
        <v>3204800</v>
      </c>
      <c r="H66" s="4" t="s">
        <v>351</v>
      </c>
      <c r="I66" s="4">
        <v>3201001</v>
      </c>
    </row>
    <row r="67" spans="2:9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610</v>
      </c>
      <c r="E68" s="101"/>
      <c r="F68" s="3" t="s">
        <v>348</v>
      </c>
      <c r="G68" s="4">
        <v>3205903</v>
      </c>
      <c r="H68" s="4" t="s">
        <v>381</v>
      </c>
      <c r="I68" s="4">
        <v>3201209</v>
      </c>
    </row>
    <row r="69" spans="2:9" x14ac:dyDescent="0.3">
      <c r="B69" s="44">
        <v>45962</v>
      </c>
      <c r="C69" s="3" t="s">
        <v>416</v>
      </c>
      <c r="D69" s="3" t="s">
        <v>610</v>
      </c>
      <c r="E69" s="101"/>
      <c r="F69" s="3" t="s">
        <v>458</v>
      </c>
      <c r="G69" s="4">
        <v>3200304</v>
      </c>
      <c r="H69" s="4" t="s">
        <v>611</v>
      </c>
      <c r="I69" s="4">
        <v>3204800</v>
      </c>
    </row>
    <row r="70" spans="2:9" x14ac:dyDescent="0.3">
      <c r="B70" s="44">
        <v>45962</v>
      </c>
      <c r="C70" s="3" t="s">
        <v>416</v>
      </c>
      <c r="D70" s="3" t="s">
        <v>610</v>
      </c>
      <c r="E70" s="101"/>
      <c r="F70" s="3" t="s">
        <v>382</v>
      </c>
      <c r="G70" s="4">
        <v>3200804</v>
      </c>
      <c r="H70" s="4" t="s">
        <v>353</v>
      </c>
      <c r="I70" s="4">
        <v>3200200</v>
      </c>
    </row>
    <row r="71" spans="2:9" x14ac:dyDescent="0.3">
      <c r="B71" s="44">
        <v>45962</v>
      </c>
      <c r="C71" s="3" t="s">
        <v>416</v>
      </c>
      <c r="D71" s="3" t="s">
        <v>610</v>
      </c>
      <c r="E71" s="101"/>
      <c r="F71" s="3" t="s">
        <v>351</v>
      </c>
      <c r="G71" s="4">
        <v>3201001</v>
      </c>
      <c r="H71" s="4" t="s">
        <v>433</v>
      </c>
      <c r="I71" s="4">
        <v>3198905</v>
      </c>
    </row>
    <row r="72" spans="2:9" x14ac:dyDescent="0.3">
      <c r="B72" s="44">
        <v>45962</v>
      </c>
      <c r="C72" s="3" t="s">
        <v>416</v>
      </c>
      <c r="D72" s="3" t="s">
        <v>610</v>
      </c>
      <c r="E72" s="101"/>
      <c r="F72" s="3" t="s">
        <v>450</v>
      </c>
      <c r="G72" s="4">
        <v>3198405</v>
      </c>
      <c r="H72" s="4" t="s">
        <v>352</v>
      </c>
      <c r="I72" s="4">
        <v>3197208</v>
      </c>
    </row>
    <row r="73" spans="2:9" x14ac:dyDescent="0.3">
      <c r="B73" s="44">
        <v>45962</v>
      </c>
      <c r="C73" s="3" t="s">
        <v>416</v>
      </c>
      <c r="D73" s="3" t="s">
        <v>610</v>
      </c>
      <c r="E73" s="101"/>
      <c r="F73" s="3" t="s">
        <v>347</v>
      </c>
      <c r="G73" s="4">
        <v>3818504</v>
      </c>
      <c r="H73" s="4" t="s">
        <v>350</v>
      </c>
      <c r="I73" s="4">
        <v>3202802</v>
      </c>
    </row>
    <row r="74" spans="2:9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610</v>
      </c>
      <c r="E75" s="101"/>
      <c r="F75" s="3" t="s">
        <v>433</v>
      </c>
      <c r="G75" s="4">
        <v>3198905</v>
      </c>
      <c r="H75" s="4" t="s">
        <v>458</v>
      </c>
      <c r="I75" s="4">
        <v>3200304</v>
      </c>
    </row>
    <row r="76" spans="2:9" x14ac:dyDescent="0.3">
      <c r="B76" s="44">
        <v>45969</v>
      </c>
      <c r="C76" s="3" t="s">
        <v>416</v>
      </c>
      <c r="D76" s="3" t="s">
        <v>610</v>
      </c>
      <c r="E76" s="101"/>
      <c r="F76" s="3" t="s">
        <v>350</v>
      </c>
      <c r="G76" s="4">
        <v>3202802</v>
      </c>
      <c r="H76" s="4" t="s">
        <v>450</v>
      </c>
      <c r="I76" s="4">
        <v>3198405</v>
      </c>
    </row>
    <row r="77" spans="2:9" x14ac:dyDescent="0.3">
      <c r="B77" s="44">
        <v>45969</v>
      </c>
      <c r="C77" s="3" t="s">
        <v>416</v>
      </c>
      <c r="D77" s="3" t="s">
        <v>610</v>
      </c>
      <c r="E77" s="101"/>
      <c r="F77" s="3" t="s">
        <v>353</v>
      </c>
      <c r="G77" s="4">
        <v>3200200</v>
      </c>
      <c r="H77" s="4" t="s">
        <v>381</v>
      </c>
      <c r="I77" s="4">
        <v>3201209</v>
      </c>
    </row>
    <row r="78" spans="2:9" x14ac:dyDescent="0.3">
      <c r="B78" s="44">
        <v>45969</v>
      </c>
      <c r="C78" s="3" t="s">
        <v>416</v>
      </c>
      <c r="D78" s="3" t="s">
        <v>610</v>
      </c>
      <c r="E78" s="101"/>
      <c r="F78" s="3" t="s">
        <v>352</v>
      </c>
      <c r="G78" s="4">
        <v>3197208</v>
      </c>
      <c r="H78" s="4" t="s">
        <v>351</v>
      </c>
      <c r="I78" s="4">
        <v>3201001</v>
      </c>
    </row>
    <row r="79" spans="2:9" x14ac:dyDescent="0.3">
      <c r="B79" s="44">
        <v>45969</v>
      </c>
      <c r="C79" s="3" t="s">
        <v>416</v>
      </c>
      <c r="D79" s="3" t="s">
        <v>610</v>
      </c>
      <c r="E79" s="101"/>
      <c r="F79" s="3" t="s">
        <v>611</v>
      </c>
      <c r="G79" s="4">
        <v>3204800</v>
      </c>
      <c r="H79" s="4" t="s">
        <v>382</v>
      </c>
      <c r="I79" s="4">
        <v>3200804</v>
      </c>
    </row>
    <row r="80" spans="2:9" x14ac:dyDescent="0.3">
      <c r="B80" s="44">
        <v>45969</v>
      </c>
      <c r="C80" s="3" t="s">
        <v>416</v>
      </c>
      <c r="D80" s="3" t="s">
        <v>610</v>
      </c>
      <c r="E80" s="101"/>
      <c r="F80" s="3" t="s">
        <v>347</v>
      </c>
      <c r="G80" s="4">
        <v>3818504</v>
      </c>
      <c r="H80" s="4" t="s">
        <v>348</v>
      </c>
      <c r="I80" s="4">
        <v>3205903</v>
      </c>
    </row>
    <row r="81" spans="2:9" x14ac:dyDescent="0.3">
      <c r="B81" s="4"/>
      <c r="E81" s="101"/>
      <c r="F81" s="3" t="s">
        <v>418</v>
      </c>
      <c r="G81" s="4" t="s">
        <v>418</v>
      </c>
      <c r="H81" s="4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610</v>
      </c>
      <c r="E82" s="101"/>
      <c r="F82" s="3" t="s">
        <v>381</v>
      </c>
      <c r="G82" s="4">
        <v>3201209</v>
      </c>
      <c r="H82" s="4" t="s">
        <v>611</v>
      </c>
      <c r="I82" s="4">
        <v>3204800</v>
      </c>
    </row>
    <row r="83" spans="2:9" x14ac:dyDescent="0.3">
      <c r="B83" s="44">
        <v>45976</v>
      </c>
      <c r="C83" s="3" t="s">
        <v>416</v>
      </c>
      <c r="D83" s="3" t="s">
        <v>610</v>
      </c>
      <c r="E83" s="101"/>
      <c r="F83" s="3" t="s">
        <v>348</v>
      </c>
      <c r="G83" s="4">
        <v>3205903</v>
      </c>
      <c r="H83" s="4" t="s">
        <v>353</v>
      </c>
      <c r="I83" s="4">
        <v>3200200</v>
      </c>
    </row>
    <row r="84" spans="2:9" x14ac:dyDescent="0.3">
      <c r="B84" s="44">
        <v>45976</v>
      </c>
      <c r="C84" s="3" t="s">
        <v>416</v>
      </c>
      <c r="D84" s="3" t="s">
        <v>610</v>
      </c>
      <c r="E84" s="101"/>
      <c r="F84" s="3" t="s">
        <v>458</v>
      </c>
      <c r="G84" s="4">
        <v>3200304</v>
      </c>
      <c r="H84" s="4" t="s">
        <v>352</v>
      </c>
      <c r="I84" s="4">
        <v>3197208</v>
      </c>
    </row>
    <row r="85" spans="2:9" x14ac:dyDescent="0.3">
      <c r="B85" s="44">
        <v>45976</v>
      </c>
      <c r="C85" s="3" t="s">
        <v>416</v>
      </c>
      <c r="D85" s="3" t="s">
        <v>610</v>
      </c>
      <c r="E85" s="101"/>
      <c r="F85" s="3" t="s">
        <v>382</v>
      </c>
      <c r="G85" s="4">
        <v>3200804</v>
      </c>
      <c r="H85" s="4" t="s">
        <v>433</v>
      </c>
      <c r="I85" s="4">
        <v>3198905</v>
      </c>
    </row>
    <row r="86" spans="2:9" x14ac:dyDescent="0.3">
      <c r="B86" s="44">
        <v>45976</v>
      </c>
      <c r="C86" s="3" t="s">
        <v>416</v>
      </c>
      <c r="D86" s="3" t="s">
        <v>610</v>
      </c>
      <c r="E86" s="101"/>
      <c r="F86" s="3" t="s">
        <v>351</v>
      </c>
      <c r="G86" s="4">
        <v>3201001</v>
      </c>
      <c r="H86" s="4" t="s">
        <v>350</v>
      </c>
      <c r="I86" s="4">
        <v>3202802</v>
      </c>
    </row>
    <row r="87" spans="2:9" x14ac:dyDescent="0.3">
      <c r="B87" s="44">
        <v>45976</v>
      </c>
      <c r="C87" s="3" t="s">
        <v>416</v>
      </c>
      <c r="D87" s="3" t="s">
        <v>610</v>
      </c>
      <c r="E87" s="101"/>
      <c r="F87" s="3" t="s">
        <v>450</v>
      </c>
      <c r="G87" s="4">
        <v>3198405</v>
      </c>
      <c r="H87" s="4" t="s">
        <v>347</v>
      </c>
      <c r="I87" s="4">
        <v>3818504</v>
      </c>
    </row>
    <row r="88" spans="2:9" x14ac:dyDescent="0.3">
      <c r="B88" s="4"/>
      <c r="E88" s="101"/>
      <c r="F88" s="3" t="s">
        <v>418</v>
      </c>
      <c r="G88" s="4" t="s">
        <v>418</v>
      </c>
      <c r="H88" s="4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610</v>
      </c>
      <c r="E89" s="101"/>
      <c r="F89" s="3" t="s">
        <v>433</v>
      </c>
      <c r="G89" s="4">
        <v>3198905</v>
      </c>
      <c r="H89" s="4" t="s">
        <v>381</v>
      </c>
      <c r="I89" s="4">
        <v>3201209</v>
      </c>
    </row>
    <row r="90" spans="2:9" x14ac:dyDescent="0.3">
      <c r="B90" s="44">
        <v>45983</v>
      </c>
      <c r="C90" s="3" t="s">
        <v>416</v>
      </c>
      <c r="D90" s="3" t="s">
        <v>610</v>
      </c>
      <c r="E90" s="101"/>
      <c r="F90" s="3" t="s">
        <v>350</v>
      </c>
      <c r="G90" s="4">
        <v>3202802</v>
      </c>
      <c r="H90" s="4" t="s">
        <v>458</v>
      </c>
      <c r="I90" s="4">
        <v>3200304</v>
      </c>
    </row>
    <row r="91" spans="2:9" x14ac:dyDescent="0.3">
      <c r="B91" s="44">
        <v>45983</v>
      </c>
      <c r="C91" s="3" t="s">
        <v>416</v>
      </c>
      <c r="D91" s="3" t="s">
        <v>610</v>
      </c>
      <c r="E91" s="101"/>
      <c r="F91" s="3" t="s">
        <v>352</v>
      </c>
      <c r="G91" s="4">
        <v>3197208</v>
      </c>
      <c r="H91" s="4" t="s">
        <v>382</v>
      </c>
      <c r="I91" s="4">
        <v>3200804</v>
      </c>
    </row>
    <row r="92" spans="2:9" x14ac:dyDescent="0.3">
      <c r="B92" s="44">
        <v>45983</v>
      </c>
      <c r="C92" s="3" t="s">
        <v>416</v>
      </c>
      <c r="D92" s="3" t="s">
        <v>610</v>
      </c>
      <c r="E92" s="101"/>
      <c r="F92" s="3" t="s">
        <v>611</v>
      </c>
      <c r="G92" s="4">
        <v>3204800</v>
      </c>
      <c r="H92" s="4" t="s">
        <v>353</v>
      </c>
      <c r="I92" s="4">
        <v>3200200</v>
      </c>
    </row>
    <row r="93" spans="2:9" x14ac:dyDescent="0.3">
      <c r="B93" s="44">
        <v>45983</v>
      </c>
      <c r="C93" s="3" t="s">
        <v>416</v>
      </c>
      <c r="D93" s="3" t="s">
        <v>610</v>
      </c>
      <c r="E93" s="101"/>
      <c r="F93" s="3" t="s">
        <v>450</v>
      </c>
      <c r="G93" s="4">
        <v>3198405</v>
      </c>
      <c r="H93" s="4" t="s">
        <v>348</v>
      </c>
      <c r="I93" s="4">
        <v>3205903</v>
      </c>
    </row>
    <row r="94" spans="2:9" x14ac:dyDescent="0.3">
      <c r="B94" s="44">
        <v>45983</v>
      </c>
      <c r="C94" s="3" t="s">
        <v>416</v>
      </c>
      <c r="D94" s="3" t="s">
        <v>610</v>
      </c>
      <c r="E94" s="101"/>
      <c r="F94" s="3" t="s">
        <v>347</v>
      </c>
      <c r="G94" s="4">
        <v>3818504</v>
      </c>
      <c r="H94" s="4" t="s">
        <v>351</v>
      </c>
      <c r="I94" s="4">
        <v>3201001</v>
      </c>
    </row>
    <row r="95" spans="2:9" x14ac:dyDescent="0.3">
      <c r="B95" s="4"/>
      <c r="E95" s="101"/>
      <c r="F95" s="3" t="s">
        <v>418</v>
      </c>
      <c r="G95" s="4" t="s">
        <v>418</v>
      </c>
      <c r="H95" s="4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610</v>
      </c>
      <c r="E96" s="101"/>
      <c r="F96" s="3" t="s">
        <v>381</v>
      </c>
      <c r="G96" s="4">
        <v>3201209</v>
      </c>
      <c r="H96" s="4" t="s">
        <v>352</v>
      </c>
      <c r="I96" s="4">
        <v>3197208</v>
      </c>
    </row>
    <row r="97" spans="2:9" x14ac:dyDescent="0.3">
      <c r="B97" s="44">
        <v>45990</v>
      </c>
      <c r="C97" s="3" t="s">
        <v>416</v>
      </c>
      <c r="D97" s="3" t="s">
        <v>610</v>
      </c>
      <c r="E97" s="101"/>
      <c r="F97" s="3" t="s">
        <v>348</v>
      </c>
      <c r="G97" s="4">
        <v>3205903</v>
      </c>
      <c r="H97" s="4" t="s">
        <v>611</v>
      </c>
      <c r="I97" s="4">
        <v>3204800</v>
      </c>
    </row>
    <row r="98" spans="2:9" x14ac:dyDescent="0.3">
      <c r="B98" s="44">
        <v>45990</v>
      </c>
      <c r="C98" s="3" t="s">
        <v>416</v>
      </c>
      <c r="D98" s="3" t="s">
        <v>610</v>
      </c>
      <c r="E98" s="101"/>
      <c r="F98" s="3" t="s">
        <v>458</v>
      </c>
      <c r="G98" s="4">
        <v>3200304</v>
      </c>
      <c r="H98" s="4" t="s">
        <v>347</v>
      </c>
      <c r="I98" s="4">
        <v>3818504</v>
      </c>
    </row>
    <row r="99" spans="2:9" x14ac:dyDescent="0.3">
      <c r="B99" s="44">
        <v>45990</v>
      </c>
      <c r="C99" s="3" t="s">
        <v>416</v>
      </c>
      <c r="D99" s="3" t="s">
        <v>610</v>
      </c>
      <c r="E99" s="101"/>
      <c r="F99" s="3" t="s">
        <v>382</v>
      </c>
      <c r="G99" s="4">
        <v>3200804</v>
      </c>
      <c r="H99" s="4" t="s">
        <v>350</v>
      </c>
      <c r="I99" s="4">
        <v>3202802</v>
      </c>
    </row>
    <row r="100" spans="2:9" x14ac:dyDescent="0.3">
      <c r="B100" s="44">
        <v>45990</v>
      </c>
      <c r="C100" s="3" t="s">
        <v>416</v>
      </c>
      <c r="D100" s="3" t="s">
        <v>610</v>
      </c>
      <c r="E100" s="101"/>
      <c r="F100" s="3" t="s">
        <v>351</v>
      </c>
      <c r="G100" s="4">
        <v>3201001</v>
      </c>
      <c r="H100" s="4" t="s">
        <v>450</v>
      </c>
      <c r="I100" s="4">
        <v>3198405</v>
      </c>
    </row>
    <row r="101" spans="2:9" x14ac:dyDescent="0.3">
      <c r="B101" s="44">
        <v>45990</v>
      </c>
      <c r="C101" s="3" t="s">
        <v>416</v>
      </c>
      <c r="D101" s="3" t="s">
        <v>610</v>
      </c>
      <c r="E101" s="101"/>
      <c r="F101" s="3" t="s">
        <v>353</v>
      </c>
      <c r="G101" s="4">
        <v>3200200</v>
      </c>
      <c r="H101" s="4" t="s">
        <v>433</v>
      </c>
      <c r="I101" s="4">
        <v>3198905</v>
      </c>
    </row>
    <row r="102" spans="2:9" x14ac:dyDescent="0.3">
      <c r="B102" s="4"/>
      <c r="E102" s="101"/>
      <c r="F102" s="3" t="s">
        <v>418</v>
      </c>
      <c r="G102" s="4" t="s">
        <v>418</v>
      </c>
      <c r="H102" s="4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610</v>
      </c>
      <c r="E103" s="101"/>
      <c r="F103" s="3" t="s">
        <v>381</v>
      </c>
      <c r="G103" s="4">
        <v>3201209</v>
      </c>
      <c r="H103" s="4" t="s">
        <v>350</v>
      </c>
      <c r="I103" s="4">
        <v>3202802</v>
      </c>
    </row>
    <row r="104" spans="2:9" x14ac:dyDescent="0.3">
      <c r="B104" s="44">
        <v>46032</v>
      </c>
      <c r="C104" s="3" t="s">
        <v>416</v>
      </c>
      <c r="D104" s="3" t="s">
        <v>610</v>
      </c>
      <c r="E104" s="101"/>
      <c r="F104" s="3" t="s">
        <v>348</v>
      </c>
      <c r="G104" s="4">
        <v>3205903</v>
      </c>
      <c r="H104" s="4" t="s">
        <v>351</v>
      </c>
      <c r="I104" s="4">
        <v>3201001</v>
      </c>
    </row>
    <row r="105" spans="2:9" x14ac:dyDescent="0.3">
      <c r="B105" s="44">
        <v>46032</v>
      </c>
      <c r="C105" s="3" t="s">
        <v>416</v>
      </c>
      <c r="D105" s="3" t="s">
        <v>610</v>
      </c>
      <c r="E105" s="101"/>
      <c r="F105" s="3" t="s">
        <v>458</v>
      </c>
      <c r="G105" s="4">
        <v>3200304</v>
      </c>
      <c r="H105" s="4" t="s">
        <v>450</v>
      </c>
      <c r="I105" s="4">
        <v>3198405</v>
      </c>
    </row>
    <row r="106" spans="2:9" x14ac:dyDescent="0.3">
      <c r="B106" s="44">
        <v>46032</v>
      </c>
      <c r="C106" s="3" t="s">
        <v>416</v>
      </c>
      <c r="D106" s="3" t="s">
        <v>610</v>
      </c>
      <c r="E106" s="101"/>
      <c r="F106" s="3" t="s">
        <v>382</v>
      </c>
      <c r="G106" s="4">
        <v>3200804</v>
      </c>
      <c r="H106" s="4" t="s">
        <v>347</v>
      </c>
      <c r="I106" s="4">
        <v>3818504</v>
      </c>
    </row>
    <row r="107" spans="2:9" x14ac:dyDescent="0.3">
      <c r="B107" s="44">
        <v>46032</v>
      </c>
      <c r="C107" s="3" t="s">
        <v>416</v>
      </c>
      <c r="D107" s="3" t="s">
        <v>610</v>
      </c>
      <c r="E107" s="101"/>
      <c r="F107" s="3" t="s">
        <v>353</v>
      </c>
      <c r="G107" s="4">
        <v>3200200</v>
      </c>
      <c r="H107" s="4" t="s">
        <v>352</v>
      </c>
      <c r="I107" s="4">
        <v>3197208</v>
      </c>
    </row>
    <row r="108" spans="2:9" x14ac:dyDescent="0.3">
      <c r="B108" s="44">
        <v>46032</v>
      </c>
      <c r="C108" s="3" t="s">
        <v>416</v>
      </c>
      <c r="D108" s="3" t="s">
        <v>610</v>
      </c>
      <c r="E108" s="101"/>
      <c r="F108" s="3" t="s">
        <v>611</v>
      </c>
      <c r="G108" s="4">
        <v>3204800</v>
      </c>
      <c r="H108" s="4" t="s">
        <v>433</v>
      </c>
      <c r="I108" s="4">
        <v>3198905</v>
      </c>
    </row>
    <row r="109" spans="2:9" x14ac:dyDescent="0.3">
      <c r="B109" s="4"/>
      <c r="E109" s="101"/>
      <c r="F109" s="3" t="s">
        <v>418</v>
      </c>
      <c r="G109" s="4" t="s">
        <v>418</v>
      </c>
      <c r="H109" s="4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610</v>
      </c>
      <c r="E110" s="101"/>
      <c r="F110" s="3" t="s">
        <v>433</v>
      </c>
      <c r="G110" s="4">
        <v>3198905</v>
      </c>
      <c r="H110" s="4" t="s">
        <v>348</v>
      </c>
      <c r="I110" s="4">
        <v>3205903</v>
      </c>
    </row>
    <row r="111" spans="2:9" x14ac:dyDescent="0.3">
      <c r="B111" s="44">
        <v>46039</v>
      </c>
      <c r="C111" s="3" t="s">
        <v>416</v>
      </c>
      <c r="D111" s="3" t="s">
        <v>610</v>
      </c>
      <c r="E111" s="101"/>
      <c r="F111" s="3" t="s">
        <v>351</v>
      </c>
      <c r="G111" s="4">
        <v>3201001</v>
      </c>
      <c r="H111" s="4" t="s">
        <v>458</v>
      </c>
      <c r="I111" s="4">
        <v>3200304</v>
      </c>
    </row>
    <row r="112" spans="2:9" x14ac:dyDescent="0.3">
      <c r="B112" s="44">
        <v>46039</v>
      </c>
      <c r="C112" s="3" t="s">
        <v>416</v>
      </c>
      <c r="D112" s="3" t="s">
        <v>610</v>
      </c>
      <c r="E112" s="101"/>
      <c r="F112" s="3" t="s">
        <v>350</v>
      </c>
      <c r="G112" s="4">
        <v>3202802</v>
      </c>
      <c r="H112" s="4" t="s">
        <v>353</v>
      </c>
      <c r="I112" s="4">
        <v>3200200</v>
      </c>
    </row>
    <row r="113" spans="2:9" x14ac:dyDescent="0.3">
      <c r="B113" s="44">
        <v>46039</v>
      </c>
      <c r="C113" s="3" t="s">
        <v>416</v>
      </c>
      <c r="D113" s="3" t="s">
        <v>610</v>
      </c>
      <c r="E113" s="101"/>
      <c r="F113" s="3" t="s">
        <v>352</v>
      </c>
      <c r="G113" s="4">
        <v>3197208</v>
      </c>
      <c r="H113" s="4" t="s">
        <v>611</v>
      </c>
      <c r="I113" s="4">
        <v>3204800</v>
      </c>
    </row>
    <row r="114" spans="2:9" x14ac:dyDescent="0.3">
      <c r="B114" s="44">
        <v>46039</v>
      </c>
      <c r="C114" s="3" t="s">
        <v>416</v>
      </c>
      <c r="D114" s="3" t="s">
        <v>610</v>
      </c>
      <c r="E114" s="101"/>
      <c r="F114" s="3" t="s">
        <v>450</v>
      </c>
      <c r="G114" s="4">
        <v>3198405</v>
      </c>
      <c r="H114" s="4" t="s">
        <v>382</v>
      </c>
      <c r="I114" s="4">
        <v>3200804</v>
      </c>
    </row>
    <row r="115" spans="2:9" x14ac:dyDescent="0.3">
      <c r="B115" s="44">
        <v>46039</v>
      </c>
      <c r="C115" s="3" t="s">
        <v>416</v>
      </c>
      <c r="D115" s="3" t="s">
        <v>610</v>
      </c>
      <c r="E115" s="101"/>
      <c r="F115" s="3" t="s">
        <v>347</v>
      </c>
      <c r="G115" s="4">
        <v>3818504</v>
      </c>
      <c r="H115" s="4" t="s">
        <v>381</v>
      </c>
      <c r="I115" s="4">
        <v>3201209</v>
      </c>
    </row>
    <row r="116" spans="2:9" x14ac:dyDescent="0.3">
      <c r="B116" s="4"/>
      <c r="E116" s="101"/>
      <c r="F116" s="3" t="s">
        <v>418</v>
      </c>
      <c r="G116" s="4" t="s">
        <v>418</v>
      </c>
      <c r="H116" s="4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610</v>
      </c>
      <c r="E117" s="101"/>
      <c r="F117" s="3" t="s">
        <v>381</v>
      </c>
      <c r="G117" s="4">
        <v>3201209</v>
      </c>
      <c r="H117" s="4" t="s">
        <v>450</v>
      </c>
      <c r="I117" s="4">
        <v>3198405</v>
      </c>
    </row>
    <row r="118" spans="2:9" x14ac:dyDescent="0.3">
      <c r="B118" s="44">
        <v>46046</v>
      </c>
      <c r="C118" s="3" t="s">
        <v>416</v>
      </c>
      <c r="D118" s="3" t="s">
        <v>610</v>
      </c>
      <c r="E118" s="101"/>
      <c r="F118" s="3" t="s">
        <v>433</v>
      </c>
      <c r="G118" s="4">
        <v>3198905</v>
      </c>
      <c r="H118" s="4" t="s">
        <v>352</v>
      </c>
      <c r="I118" s="4">
        <v>3197208</v>
      </c>
    </row>
    <row r="119" spans="2:9" x14ac:dyDescent="0.3">
      <c r="B119" s="44">
        <v>46046</v>
      </c>
      <c r="C119" s="3" t="s">
        <v>416</v>
      </c>
      <c r="D119" s="3" t="s">
        <v>610</v>
      </c>
      <c r="E119" s="101"/>
      <c r="F119" s="3" t="s">
        <v>458</v>
      </c>
      <c r="G119" s="4">
        <v>3200304</v>
      </c>
      <c r="H119" s="4" t="s">
        <v>348</v>
      </c>
      <c r="I119" s="4">
        <v>3205903</v>
      </c>
    </row>
    <row r="120" spans="2:9" x14ac:dyDescent="0.3">
      <c r="B120" s="44">
        <v>46046</v>
      </c>
      <c r="C120" s="3" t="s">
        <v>416</v>
      </c>
      <c r="D120" s="3" t="s">
        <v>610</v>
      </c>
      <c r="E120" s="101"/>
      <c r="F120" s="3" t="s">
        <v>382</v>
      </c>
      <c r="G120" s="4">
        <v>3200804</v>
      </c>
      <c r="H120" s="4" t="s">
        <v>351</v>
      </c>
      <c r="I120" s="4">
        <v>3201001</v>
      </c>
    </row>
    <row r="121" spans="2:9" x14ac:dyDescent="0.3">
      <c r="B121" s="44">
        <v>46046</v>
      </c>
      <c r="C121" s="3" t="s">
        <v>416</v>
      </c>
      <c r="D121" s="3" t="s">
        <v>610</v>
      </c>
      <c r="E121" s="101"/>
      <c r="F121" s="3" t="s">
        <v>353</v>
      </c>
      <c r="G121" s="4">
        <v>3200200</v>
      </c>
      <c r="H121" s="4" t="s">
        <v>347</v>
      </c>
      <c r="I121" s="4">
        <v>3818504</v>
      </c>
    </row>
    <row r="122" spans="2:9" x14ac:dyDescent="0.3">
      <c r="B122" s="44">
        <v>46046</v>
      </c>
      <c r="C122" s="3" t="s">
        <v>416</v>
      </c>
      <c r="D122" s="3" t="s">
        <v>610</v>
      </c>
      <c r="E122" s="101"/>
      <c r="F122" s="3" t="s">
        <v>611</v>
      </c>
      <c r="G122" s="4">
        <v>3204800</v>
      </c>
      <c r="H122" s="4" t="s">
        <v>350</v>
      </c>
      <c r="I122" s="4">
        <v>3202802</v>
      </c>
    </row>
    <row r="123" spans="2:9" x14ac:dyDescent="0.3">
      <c r="B123" s="4"/>
      <c r="E123" s="101"/>
      <c r="F123" s="3" t="s">
        <v>418</v>
      </c>
      <c r="G123" s="4" t="s">
        <v>418</v>
      </c>
      <c r="H123" s="4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610</v>
      </c>
      <c r="E124" s="101"/>
      <c r="F124" s="3" t="s">
        <v>348</v>
      </c>
      <c r="G124" s="4">
        <v>3205903</v>
      </c>
      <c r="H124" s="4" t="s">
        <v>352</v>
      </c>
      <c r="I124" s="4">
        <v>3197208</v>
      </c>
    </row>
    <row r="125" spans="2:9" x14ac:dyDescent="0.3">
      <c r="B125" s="44">
        <v>46053</v>
      </c>
      <c r="C125" s="3" t="s">
        <v>416</v>
      </c>
      <c r="D125" s="3" t="s">
        <v>610</v>
      </c>
      <c r="E125" s="101"/>
      <c r="F125" s="3" t="s">
        <v>458</v>
      </c>
      <c r="G125" s="4">
        <v>3200304</v>
      </c>
      <c r="H125" s="4" t="s">
        <v>382</v>
      </c>
      <c r="I125" s="4">
        <v>3200804</v>
      </c>
    </row>
    <row r="126" spans="2:9" x14ac:dyDescent="0.3">
      <c r="B126" s="44">
        <v>46053</v>
      </c>
      <c r="C126" s="3" t="s">
        <v>416</v>
      </c>
      <c r="D126" s="3" t="s">
        <v>610</v>
      </c>
      <c r="E126" s="101"/>
      <c r="F126" s="3" t="s">
        <v>351</v>
      </c>
      <c r="G126" s="4">
        <v>3201001</v>
      </c>
      <c r="H126" s="4" t="s">
        <v>381</v>
      </c>
      <c r="I126" s="4">
        <v>3201209</v>
      </c>
    </row>
    <row r="127" spans="2:9" x14ac:dyDescent="0.3">
      <c r="B127" s="44">
        <v>46053</v>
      </c>
      <c r="C127" s="3" t="s">
        <v>416</v>
      </c>
      <c r="D127" s="3" t="s">
        <v>610</v>
      </c>
      <c r="E127" s="101"/>
      <c r="F127" s="3" t="s">
        <v>350</v>
      </c>
      <c r="G127" s="4">
        <v>3202802</v>
      </c>
      <c r="H127" s="4" t="s">
        <v>433</v>
      </c>
      <c r="I127" s="4">
        <v>3198905</v>
      </c>
    </row>
    <row r="128" spans="2:9" x14ac:dyDescent="0.3">
      <c r="B128" s="44">
        <v>46053</v>
      </c>
      <c r="C128" s="3" t="s">
        <v>416</v>
      </c>
      <c r="D128" s="3" t="s">
        <v>610</v>
      </c>
      <c r="E128" s="101"/>
      <c r="F128" s="3" t="s">
        <v>450</v>
      </c>
      <c r="G128" s="4">
        <v>3198405</v>
      </c>
      <c r="H128" s="4" t="s">
        <v>353</v>
      </c>
      <c r="I128" s="4">
        <v>3200200</v>
      </c>
    </row>
    <row r="129" spans="2:9" x14ac:dyDescent="0.3">
      <c r="B129" s="44">
        <v>46053</v>
      </c>
      <c r="C129" s="3" t="s">
        <v>416</v>
      </c>
      <c r="D129" s="3" t="s">
        <v>610</v>
      </c>
      <c r="E129" s="101"/>
      <c r="F129" s="3" t="s">
        <v>347</v>
      </c>
      <c r="G129" s="4">
        <v>3818504</v>
      </c>
      <c r="H129" s="4" t="s">
        <v>611</v>
      </c>
      <c r="I129" s="4">
        <v>3204800</v>
      </c>
    </row>
    <row r="130" spans="2:9" x14ac:dyDescent="0.3">
      <c r="B130" s="4"/>
      <c r="E130" s="101"/>
      <c r="F130" s="3" t="s">
        <v>418</v>
      </c>
      <c r="G130" s="4" t="s">
        <v>418</v>
      </c>
      <c r="H130" s="4" t="s">
        <v>418</v>
      </c>
      <c r="I130" s="4" t="s">
        <v>418</v>
      </c>
    </row>
    <row r="131" spans="2:9" x14ac:dyDescent="0.3">
      <c r="B131" s="44">
        <v>46060</v>
      </c>
      <c r="C131" s="3" t="s">
        <v>416</v>
      </c>
      <c r="D131" s="3" t="s">
        <v>610</v>
      </c>
      <c r="E131" s="101"/>
      <c r="F131" s="3" t="s">
        <v>381</v>
      </c>
      <c r="G131" s="4">
        <v>3201209</v>
      </c>
      <c r="H131" s="4" t="s">
        <v>458</v>
      </c>
      <c r="I131" s="4">
        <v>3200304</v>
      </c>
    </row>
    <row r="132" spans="2:9" x14ac:dyDescent="0.3">
      <c r="B132" s="44">
        <v>46060</v>
      </c>
      <c r="C132" s="3" t="s">
        <v>416</v>
      </c>
      <c r="D132" s="3" t="s">
        <v>610</v>
      </c>
      <c r="E132" s="101"/>
      <c r="F132" s="3" t="s">
        <v>433</v>
      </c>
      <c r="G132" s="4">
        <v>3198905</v>
      </c>
      <c r="H132" s="4" t="s">
        <v>347</v>
      </c>
      <c r="I132" s="4">
        <v>3818504</v>
      </c>
    </row>
    <row r="133" spans="2:9" x14ac:dyDescent="0.3">
      <c r="B133" s="44">
        <v>46060</v>
      </c>
      <c r="C133" s="3" t="s">
        <v>416</v>
      </c>
      <c r="D133" s="3" t="s">
        <v>610</v>
      </c>
      <c r="E133" s="101"/>
      <c r="F133" s="3" t="s">
        <v>382</v>
      </c>
      <c r="G133" s="4">
        <v>3200804</v>
      </c>
      <c r="H133" s="4" t="s">
        <v>348</v>
      </c>
      <c r="I133" s="4">
        <v>3205903</v>
      </c>
    </row>
    <row r="134" spans="2:9" x14ac:dyDescent="0.3">
      <c r="B134" s="44">
        <v>46060</v>
      </c>
      <c r="C134" s="3" t="s">
        <v>416</v>
      </c>
      <c r="D134" s="3" t="s">
        <v>610</v>
      </c>
      <c r="E134" s="101"/>
      <c r="F134" s="3" t="s">
        <v>353</v>
      </c>
      <c r="G134" s="4">
        <v>3200200</v>
      </c>
      <c r="H134" s="4" t="s">
        <v>351</v>
      </c>
      <c r="I134" s="4">
        <v>3201001</v>
      </c>
    </row>
    <row r="135" spans="2:9" x14ac:dyDescent="0.3">
      <c r="B135" s="44">
        <v>46060</v>
      </c>
      <c r="C135" s="3" t="s">
        <v>416</v>
      </c>
      <c r="D135" s="3" t="s">
        <v>610</v>
      </c>
      <c r="E135" s="101"/>
      <c r="F135" s="3" t="s">
        <v>352</v>
      </c>
      <c r="G135" s="4">
        <v>3197208</v>
      </c>
      <c r="H135" s="4" t="s">
        <v>350</v>
      </c>
      <c r="I135" s="4">
        <v>3202802</v>
      </c>
    </row>
    <row r="136" spans="2:9" x14ac:dyDescent="0.3">
      <c r="B136" s="44">
        <v>46060</v>
      </c>
      <c r="C136" s="3" t="s">
        <v>416</v>
      </c>
      <c r="D136" s="3" t="s">
        <v>610</v>
      </c>
      <c r="E136" s="101"/>
      <c r="F136" s="3" t="s">
        <v>611</v>
      </c>
      <c r="G136" s="4">
        <v>3204800</v>
      </c>
      <c r="H136" s="4" t="s">
        <v>450</v>
      </c>
      <c r="I136" s="4">
        <v>3198405</v>
      </c>
    </row>
    <row r="137" spans="2:9" x14ac:dyDescent="0.3">
      <c r="B137" s="4"/>
      <c r="E137" s="101"/>
      <c r="F137" s="3" t="s">
        <v>418</v>
      </c>
      <c r="G137" s="4" t="s">
        <v>418</v>
      </c>
      <c r="H137" s="4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610</v>
      </c>
      <c r="E138" s="101"/>
      <c r="F138" s="3" t="s">
        <v>348</v>
      </c>
      <c r="G138" s="4">
        <v>3205903</v>
      </c>
      <c r="H138" s="4" t="s">
        <v>350</v>
      </c>
      <c r="I138" s="4">
        <v>3202802</v>
      </c>
    </row>
    <row r="139" spans="2:9" x14ac:dyDescent="0.3">
      <c r="B139" s="44">
        <v>46074</v>
      </c>
      <c r="C139" s="3" t="s">
        <v>416</v>
      </c>
      <c r="D139" s="3" t="s">
        <v>610</v>
      </c>
      <c r="E139" s="101"/>
      <c r="F139" s="3" t="s">
        <v>458</v>
      </c>
      <c r="G139" s="4">
        <v>3200304</v>
      </c>
      <c r="H139" s="4" t="s">
        <v>353</v>
      </c>
      <c r="I139" s="4">
        <v>3200200</v>
      </c>
    </row>
    <row r="140" spans="2:9" x14ac:dyDescent="0.3">
      <c r="B140" s="44">
        <v>46074</v>
      </c>
      <c r="C140" s="3" t="s">
        <v>416</v>
      </c>
      <c r="D140" s="3" t="s">
        <v>610</v>
      </c>
      <c r="E140" s="101"/>
      <c r="F140" s="3" t="s">
        <v>382</v>
      </c>
      <c r="G140" s="4">
        <v>3200804</v>
      </c>
      <c r="H140" s="4" t="s">
        <v>381</v>
      </c>
      <c r="I140" s="4">
        <v>3201209</v>
      </c>
    </row>
    <row r="141" spans="2:9" x14ac:dyDescent="0.3">
      <c r="B141" s="44">
        <v>46074</v>
      </c>
      <c r="C141" s="3" t="s">
        <v>416</v>
      </c>
      <c r="D141" s="3" t="s">
        <v>610</v>
      </c>
      <c r="E141" s="101"/>
      <c r="F141" s="3" t="s">
        <v>351</v>
      </c>
      <c r="G141" s="4">
        <v>3201001</v>
      </c>
      <c r="H141" s="4" t="s">
        <v>611</v>
      </c>
      <c r="I141" s="4">
        <v>3204800</v>
      </c>
    </row>
    <row r="142" spans="2:9" x14ac:dyDescent="0.3">
      <c r="B142" s="44">
        <v>46074</v>
      </c>
      <c r="C142" s="3" t="s">
        <v>416</v>
      </c>
      <c r="D142" s="3" t="s">
        <v>610</v>
      </c>
      <c r="E142" s="101"/>
      <c r="F142" s="3" t="s">
        <v>450</v>
      </c>
      <c r="G142" s="4">
        <v>3198405</v>
      </c>
      <c r="H142" s="4" t="s">
        <v>433</v>
      </c>
      <c r="I142" s="4">
        <v>3198905</v>
      </c>
    </row>
    <row r="143" spans="2:9" x14ac:dyDescent="0.3">
      <c r="B143" s="44">
        <v>46074</v>
      </c>
      <c r="C143" s="3" t="s">
        <v>416</v>
      </c>
      <c r="D143" s="3" t="s">
        <v>610</v>
      </c>
      <c r="E143" s="101"/>
      <c r="F143" s="3" t="s">
        <v>347</v>
      </c>
      <c r="G143" s="4">
        <v>3818504</v>
      </c>
      <c r="H143" s="4" t="s">
        <v>352</v>
      </c>
      <c r="I143" s="4">
        <v>3197208</v>
      </c>
    </row>
    <row r="144" spans="2:9" x14ac:dyDescent="0.3">
      <c r="B144" s="4"/>
      <c r="E144" s="101"/>
      <c r="F144" s="3" t="s">
        <v>418</v>
      </c>
      <c r="G144" s="4" t="s">
        <v>418</v>
      </c>
      <c r="H144" s="4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610</v>
      </c>
      <c r="E145" s="101"/>
      <c r="F145" s="3" t="s">
        <v>381</v>
      </c>
      <c r="G145" s="4">
        <v>3201209</v>
      </c>
      <c r="H145" s="4" t="s">
        <v>348</v>
      </c>
      <c r="I145" s="4">
        <v>3205903</v>
      </c>
    </row>
    <row r="146" spans="2:9" x14ac:dyDescent="0.3">
      <c r="B146" s="44">
        <v>46081</v>
      </c>
      <c r="C146" s="3" t="s">
        <v>416</v>
      </c>
      <c r="D146" s="3" t="s">
        <v>610</v>
      </c>
      <c r="E146" s="101"/>
      <c r="F146" s="3" t="s">
        <v>433</v>
      </c>
      <c r="G146" s="4">
        <v>3198905</v>
      </c>
      <c r="H146" s="4" t="s">
        <v>351</v>
      </c>
      <c r="I146" s="4">
        <v>3201001</v>
      </c>
    </row>
    <row r="147" spans="2:9" x14ac:dyDescent="0.3">
      <c r="B147" s="44">
        <v>46081</v>
      </c>
      <c r="C147" s="3" t="s">
        <v>416</v>
      </c>
      <c r="D147" s="3" t="s">
        <v>610</v>
      </c>
      <c r="E147" s="101"/>
      <c r="F147" s="3" t="s">
        <v>350</v>
      </c>
      <c r="G147" s="4">
        <v>3202802</v>
      </c>
      <c r="H147" s="4" t="s">
        <v>347</v>
      </c>
      <c r="I147" s="4">
        <v>3818504</v>
      </c>
    </row>
    <row r="148" spans="2:9" x14ac:dyDescent="0.3">
      <c r="B148" s="44">
        <v>46081</v>
      </c>
      <c r="C148" s="3" t="s">
        <v>416</v>
      </c>
      <c r="D148" s="3" t="s">
        <v>610</v>
      </c>
      <c r="E148" s="101"/>
      <c r="F148" s="3" t="s">
        <v>353</v>
      </c>
      <c r="G148" s="4">
        <v>3200200</v>
      </c>
      <c r="H148" s="4" t="s">
        <v>382</v>
      </c>
      <c r="I148" s="4">
        <v>3200804</v>
      </c>
    </row>
    <row r="149" spans="2:9" x14ac:dyDescent="0.3">
      <c r="B149" s="44">
        <v>46081</v>
      </c>
      <c r="C149" s="3" t="s">
        <v>416</v>
      </c>
      <c r="D149" s="3" t="s">
        <v>610</v>
      </c>
      <c r="E149" s="101"/>
      <c r="F149" s="3" t="s">
        <v>352</v>
      </c>
      <c r="G149" s="4">
        <v>3197208</v>
      </c>
      <c r="H149" s="4" t="s">
        <v>450</v>
      </c>
      <c r="I149" s="4">
        <v>3198405</v>
      </c>
    </row>
    <row r="150" spans="2:9" x14ac:dyDescent="0.3">
      <c r="B150" s="44">
        <v>46081</v>
      </c>
      <c r="C150" s="3" t="s">
        <v>416</v>
      </c>
      <c r="D150" s="3" t="s">
        <v>610</v>
      </c>
      <c r="E150" s="101"/>
      <c r="F150" s="3" t="s">
        <v>611</v>
      </c>
      <c r="G150" s="4">
        <v>3204800</v>
      </c>
      <c r="H150" s="4" t="s">
        <v>458</v>
      </c>
      <c r="I150" s="4">
        <v>3200304</v>
      </c>
    </row>
    <row r="151" spans="2:9" x14ac:dyDescent="0.3">
      <c r="B151" s="4"/>
      <c r="E151" s="101"/>
      <c r="F151" s="3" t="s">
        <v>418</v>
      </c>
      <c r="G151" s="4" t="s">
        <v>418</v>
      </c>
      <c r="H151" s="4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610</v>
      </c>
      <c r="E152" s="101"/>
      <c r="F152" s="3" t="s">
        <v>381</v>
      </c>
      <c r="G152" s="4">
        <v>3201209</v>
      </c>
      <c r="H152" s="4" t="s">
        <v>353</v>
      </c>
      <c r="I152" s="4">
        <v>3200200</v>
      </c>
    </row>
    <row r="153" spans="2:9" x14ac:dyDescent="0.3">
      <c r="B153" s="44">
        <v>46088</v>
      </c>
      <c r="C153" s="3" t="s">
        <v>416</v>
      </c>
      <c r="D153" s="3" t="s">
        <v>610</v>
      </c>
      <c r="E153" s="101"/>
      <c r="F153" s="3" t="s">
        <v>348</v>
      </c>
      <c r="G153" s="4">
        <v>3205903</v>
      </c>
      <c r="H153" s="4" t="s">
        <v>347</v>
      </c>
      <c r="I153" s="4">
        <v>3818504</v>
      </c>
    </row>
    <row r="154" spans="2:9" x14ac:dyDescent="0.3">
      <c r="B154" s="44">
        <v>46088</v>
      </c>
      <c r="C154" s="3" t="s">
        <v>416</v>
      </c>
      <c r="D154" s="3" t="s">
        <v>610</v>
      </c>
      <c r="E154" s="101"/>
      <c r="F154" s="3" t="s">
        <v>458</v>
      </c>
      <c r="G154" s="4">
        <v>3200304</v>
      </c>
      <c r="H154" s="4" t="s">
        <v>433</v>
      </c>
      <c r="I154" s="4">
        <v>3198905</v>
      </c>
    </row>
    <row r="155" spans="2:9" x14ac:dyDescent="0.3">
      <c r="B155" s="44">
        <v>46088</v>
      </c>
      <c r="C155" s="3" t="s">
        <v>416</v>
      </c>
      <c r="D155" s="3" t="s">
        <v>610</v>
      </c>
      <c r="E155" s="101"/>
      <c r="F155" s="3" t="s">
        <v>382</v>
      </c>
      <c r="G155" s="4">
        <v>3200804</v>
      </c>
      <c r="H155" s="4" t="s">
        <v>611</v>
      </c>
      <c r="I155" s="4">
        <v>3204800</v>
      </c>
    </row>
    <row r="156" spans="2:9" x14ac:dyDescent="0.3">
      <c r="B156" s="44">
        <v>46088</v>
      </c>
      <c r="C156" s="3" t="s">
        <v>416</v>
      </c>
      <c r="D156" s="3" t="s">
        <v>610</v>
      </c>
      <c r="E156" s="101"/>
      <c r="F156" s="3" t="s">
        <v>351</v>
      </c>
      <c r="G156" s="4">
        <v>3201001</v>
      </c>
      <c r="H156" s="4" t="s">
        <v>352</v>
      </c>
      <c r="I156" s="4">
        <v>3197208</v>
      </c>
    </row>
    <row r="157" spans="2:9" x14ac:dyDescent="0.3">
      <c r="B157" s="44">
        <v>46088</v>
      </c>
      <c r="C157" s="3" t="s">
        <v>416</v>
      </c>
      <c r="D157" s="3" t="s">
        <v>610</v>
      </c>
      <c r="E157" s="101"/>
      <c r="F157" s="3" t="s">
        <v>450</v>
      </c>
      <c r="G157" s="4">
        <v>3198405</v>
      </c>
      <c r="H157" s="4" t="s">
        <v>350</v>
      </c>
      <c r="I157" s="4">
        <v>3202802</v>
      </c>
    </row>
    <row r="158" spans="2:9" x14ac:dyDescent="0.3">
      <c r="B158" s="4"/>
      <c r="E158" s="101"/>
      <c r="F158" s="3" t="s">
        <v>418</v>
      </c>
      <c r="G158" s="4" t="s">
        <v>418</v>
      </c>
      <c r="H158" s="4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610</v>
      </c>
      <c r="E159" s="101"/>
      <c r="F159" s="3" t="s">
        <v>433</v>
      </c>
      <c r="G159" s="4">
        <v>3198905</v>
      </c>
      <c r="H159" s="4" t="s">
        <v>382</v>
      </c>
      <c r="I159" s="4">
        <v>3200804</v>
      </c>
    </row>
    <row r="160" spans="2:9" x14ac:dyDescent="0.3">
      <c r="B160" s="44">
        <v>46095</v>
      </c>
      <c r="C160" s="3" t="s">
        <v>416</v>
      </c>
      <c r="D160" s="3" t="s">
        <v>610</v>
      </c>
      <c r="E160" s="101"/>
      <c r="F160" s="3" t="s">
        <v>350</v>
      </c>
      <c r="G160" s="4">
        <v>3202802</v>
      </c>
      <c r="H160" s="4" t="s">
        <v>351</v>
      </c>
      <c r="I160" s="4">
        <v>3201001</v>
      </c>
    </row>
    <row r="161" spans="2:9" x14ac:dyDescent="0.3">
      <c r="B161" s="44">
        <v>46095</v>
      </c>
      <c r="C161" s="3" t="s">
        <v>416</v>
      </c>
      <c r="D161" s="3" t="s">
        <v>610</v>
      </c>
      <c r="E161" s="101"/>
      <c r="F161" s="3" t="s">
        <v>353</v>
      </c>
      <c r="G161" s="4">
        <v>3200200</v>
      </c>
      <c r="H161" s="4" t="s">
        <v>348</v>
      </c>
      <c r="I161" s="4">
        <v>3205903</v>
      </c>
    </row>
    <row r="162" spans="2:9" x14ac:dyDescent="0.3">
      <c r="B162" s="44">
        <v>46095</v>
      </c>
      <c r="C162" s="3" t="s">
        <v>416</v>
      </c>
      <c r="D162" s="3" t="s">
        <v>610</v>
      </c>
      <c r="E162" s="101"/>
      <c r="F162" s="3" t="s">
        <v>352</v>
      </c>
      <c r="G162" s="4">
        <v>3197208</v>
      </c>
      <c r="H162" s="4" t="s">
        <v>458</v>
      </c>
      <c r="I162" s="4">
        <v>3200304</v>
      </c>
    </row>
    <row r="163" spans="2:9" x14ac:dyDescent="0.3">
      <c r="B163" s="44">
        <v>46095</v>
      </c>
      <c r="C163" s="3" t="s">
        <v>416</v>
      </c>
      <c r="D163" s="3" t="s">
        <v>610</v>
      </c>
      <c r="E163" s="101"/>
      <c r="F163" s="3" t="s">
        <v>611</v>
      </c>
      <c r="G163" s="4">
        <v>3204800</v>
      </c>
      <c r="H163" s="4" t="s">
        <v>381</v>
      </c>
      <c r="I163" s="4">
        <v>3201209</v>
      </c>
    </row>
    <row r="164" spans="2:9" x14ac:dyDescent="0.3">
      <c r="B164" s="44">
        <v>46095</v>
      </c>
      <c r="C164" s="3" t="s">
        <v>416</v>
      </c>
      <c r="D164" s="3" t="s">
        <v>610</v>
      </c>
      <c r="E164" s="101"/>
      <c r="F164" s="3" t="s">
        <v>347</v>
      </c>
      <c r="G164" s="4">
        <v>3818504</v>
      </c>
      <c r="H164" s="4" t="s">
        <v>450</v>
      </c>
      <c r="I164" s="4">
        <v>3198405</v>
      </c>
    </row>
    <row r="165" spans="2:9" x14ac:dyDescent="0.3">
      <c r="B165" s="4"/>
      <c r="E165" s="101"/>
      <c r="F165" s="3" t="s">
        <v>418</v>
      </c>
      <c r="G165" s="4" t="s">
        <v>418</v>
      </c>
      <c r="H165" s="4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610</v>
      </c>
      <c r="E166" s="101"/>
      <c r="F166" s="3" t="s">
        <v>381</v>
      </c>
      <c r="G166" s="4">
        <v>3201209</v>
      </c>
      <c r="H166" s="4" t="s">
        <v>433</v>
      </c>
      <c r="I166" s="4">
        <v>3198905</v>
      </c>
    </row>
    <row r="167" spans="2:9" x14ac:dyDescent="0.3">
      <c r="B167" s="44">
        <v>46102</v>
      </c>
      <c r="C167" s="3" t="s">
        <v>416</v>
      </c>
      <c r="D167" s="3" t="s">
        <v>610</v>
      </c>
      <c r="E167" s="101"/>
      <c r="F167" s="3" t="s">
        <v>348</v>
      </c>
      <c r="G167" s="4">
        <v>3205903</v>
      </c>
      <c r="H167" s="4" t="s">
        <v>450</v>
      </c>
      <c r="I167" s="4">
        <v>3198405</v>
      </c>
    </row>
    <row r="168" spans="2:9" x14ac:dyDescent="0.3">
      <c r="B168" s="44">
        <v>46102</v>
      </c>
      <c r="C168" s="3" t="s">
        <v>416</v>
      </c>
      <c r="D168" s="3" t="s">
        <v>610</v>
      </c>
      <c r="E168" s="101"/>
      <c r="F168" s="3" t="s">
        <v>458</v>
      </c>
      <c r="G168" s="4">
        <v>3200304</v>
      </c>
      <c r="H168" s="4" t="s">
        <v>350</v>
      </c>
      <c r="I168" s="4">
        <v>3202802</v>
      </c>
    </row>
    <row r="169" spans="2:9" x14ac:dyDescent="0.3">
      <c r="B169" s="44">
        <v>46102</v>
      </c>
      <c r="C169" s="3" t="s">
        <v>416</v>
      </c>
      <c r="D169" s="3" t="s">
        <v>610</v>
      </c>
      <c r="E169" s="101"/>
      <c r="F169" s="3" t="s">
        <v>382</v>
      </c>
      <c r="G169" s="4">
        <v>3200804</v>
      </c>
      <c r="H169" s="4" t="s">
        <v>352</v>
      </c>
      <c r="I169" s="4">
        <v>3197208</v>
      </c>
    </row>
    <row r="170" spans="2:9" x14ac:dyDescent="0.3">
      <c r="B170" s="44">
        <v>46102</v>
      </c>
      <c r="C170" s="3" t="s">
        <v>416</v>
      </c>
      <c r="D170" s="3" t="s">
        <v>610</v>
      </c>
      <c r="E170" s="101"/>
      <c r="F170" s="3" t="s">
        <v>351</v>
      </c>
      <c r="G170" s="4">
        <v>3201001</v>
      </c>
      <c r="H170" s="4" t="s">
        <v>347</v>
      </c>
      <c r="I170" s="4">
        <v>3818504</v>
      </c>
    </row>
    <row r="171" spans="2:9" x14ac:dyDescent="0.3">
      <c r="B171" s="44">
        <v>46102</v>
      </c>
      <c r="C171" s="3" t="s">
        <v>416</v>
      </c>
      <c r="D171" s="3" t="s">
        <v>610</v>
      </c>
      <c r="E171" s="101"/>
      <c r="F171" s="3" t="s">
        <v>353</v>
      </c>
      <c r="G171" s="4">
        <v>3200200</v>
      </c>
      <c r="H171" s="4" t="s">
        <v>611</v>
      </c>
      <c r="I171" s="4">
        <v>3204800</v>
      </c>
    </row>
    <row r="172" spans="2:9" x14ac:dyDescent="0.3">
      <c r="B172" s="4"/>
      <c r="E172" s="101"/>
      <c r="F172" s="3" t="s">
        <v>418</v>
      </c>
      <c r="G172" s="4" t="s">
        <v>418</v>
      </c>
      <c r="H172" s="4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610</v>
      </c>
      <c r="E173" s="101"/>
      <c r="F173" s="3" t="s">
        <v>433</v>
      </c>
      <c r="G173" s="4">
        <v>3198905</v>
      </c>
      <c r="H173" s="4" t="s">
        <v>353</v>
      </c>
      <c r="I173" s="4">
        <v>3200200</v>
      </c>
    </row>
    <row r="174" spans="2:9" x14ac:dyDescent="0.3">
      <c r="B174" s="44">
        <v>46109</v>
      </c>
      <c r="C174" s="3" t="s">
        <v>416</v>
      </c>
      <c r="D174" s="3" t="s">
        <v>610</v>
      </c>
      <c r="E174" s="101"/>
      <c r="F174" s="3" t="s">
        <v>350</v>
      </c>
      <c r="G174" s="4">
        <v>3202802</v>
      </c>
      <c r="H174" s="4" t="s">
        <v>382</v>
      </c>
      <c r="I174" s="4">
        <v>3200804</v>
      </c>
    </row>
    <row r="175" spans="2:9" x14ac:dyDescent="0.3">
      <c r="B175" s="44">
        <v>46109</v>
      </c>
      <c r="C175" s="3" t="s">
        <v>416</v>
      </c>
      <c r="D175" s="3" t="s">
        <v>610</v>
      </c>
      <c r="E175" s="101"/>
      <c r="F175" s="3" t="s">
        <v>611</v>
      </c>
      <c r="G175" s="4">
        <v>3204800</v>
      </c>
      <c r="H175" s="4" t="s">
        <v>348</v>
      </c>
      <c r="I175" s="4">
        <v>3205903</v>
      </c>
    </row>
    <row r="176" spans="2:9" x14ac:dyDescent="0.3">
      <c r="B176" s="44">
        <v>46109</v>
      </c>
      <c r="C176" s="3" t="s">
        <v>416</v>
      </c>
      <c r="D176" s="3" t="s">
        <v>610</v>
      </c>
      <c r="E176" s="101"/>
      <c r="F176" s="3" t="s">
        <v>450</v>
      </c>
      <c r="G176" s="4">
        <v>3198405</v>
      </c>
      <c r="H176" s="4" t="s">
        <v>351</v>
      </c>
      <c r="I176" s="4">
        <v>3201001</v>
      </c>
    </row>
    <row r="177" spans="2:9" x14ac:dyDescent="0.3">
      <c r="B177" s="44">
        <v>46109</v>
      </c>
      <c r="C177" s="3" t="s">
        <v>416</v>
      </c>
      <c r="D177" s="3" t="s">
        <v>610</v>
      </c>
      <c r="E177" s="101"/>
      <c r="F177" s="3" t="s">
        <v>347</v>
      </c>
      <c r="G177" s="4">
        <v>3818504</v>
      </c>
      <c r="H177" s="4" t="s">
        <v>458</v>
      </c>
      <c r="I177" s="4">
        <v>3200304</v>
      </c>
    </row>
    <row r="178" spans="2:9" x14ac:dyDescent="0.3">
      <c r="B178" s="44">
        <v>46109</v>
      </c>
      <c r="C178" s="3" t="s">
        <v>416</v>
      </c>
      <c r="D178" s="3" t="s">
        <v>610</v>
      </c>
      <c r="E178" s="101"/>
      <c r="F178" s="3" t="s">
        <v>352</v>
      </c>
      <c r="G178" s="4">
        <v>3197208</v>
      </c>
      <c r="H178" s="4" t="s">
        <v>381</v>
      </c>
      <c r="I178" s="4">
        <v>3201209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3894" priority="533"/>
  </conditionalFormatting>
  <conditionalFormatting sqref="B12:B14 B16:B18">
    <cfRule type="duplicateValues" dxfId="3893" priority="2161"/>
  </conditionalFormatting>
  <conditionalFormatting sqref="G33">
    <cfRule type="duplicateValues" dxfId="3892" priority="250"/>
  </conditionalFormatting>
  <conditionalFormatting sqref="G34">
    <cfRule type="duplicateValues" dxfId="3891" priority="128"/>
  </conditionalFormatting>
  <conditionalFormatting sqref="G35">
    <cfRule type="duplicateValues" dxfId="3890" priority="106"/>
  </conditionalFormatting>
  <conditionalFormatting sqref="G36">
    <cfRule type="duplicateValues" dxfId="3889" priority="85"/>
  </conditionalFormatting>
  <conditionalFormatting sqref="G37">
    <cfRule type="duplicateValues" dxfId="3888" priority="43"/>
  </conditionalFormatting>
  <conditionalFormatting sqref="G38">
    <cfRule type="duplicateValues" dxfId="3887" priority="64"/>
  </conditionalFormatting>
  <conditionalFormatting sqref="G40">
    <cfRule type="duplicateValues" dxfId="3886" priority="249"/>
  </conditionalFormatting>
  <conditionalFormatting sqref="G41">
    <cfRule type="duplicateValues" dxfId="3885" priority="231"/>
  </conditionalFormatting>
  <conditionalFormatting sqref="G42">
    <cfRule type="duplicateValues" dxfId="3884" priority="210"/>
  </conditionalFormatting>
  <conditionalFormatting sqref="G43">
    <cfRule type="duplicateValues" dxfId="3883" priority="190"/>
  </conditionalFormatting>
  <conditionalFormatting sqref="G44">
    <cfRule type="duplicateValues" dxfId="3882" priority="169"/>
  </conditionalFormatting>
  <conditionalFormatting sqref="G45">
    <cfRule type="duplicateValues" dxfId="3881" priority="148"/>
  </conditionalFormatting>
  <conditionalFormatting sqref="G47">
    <cfRule type="duplicateValues" dxfId="3880" priority="268"/>
  </conditionalFormatting>
  <conditionalFormatting sqref="G48">
    <cfRule type="duplicateValues" dxfId="3879" priority="230"/>
  </conditionalFormatting>
  <conditionalFormatting sqref="G49">
    <cfRule type="duplicateValues" dxfId="3878" priority="104"/>
  </conditionalFormatting>
  <conditionalFormatting sqref="G50">
    <cfRule type="duplicateValues" dxfId="3877" priority="83"/>
  </conditionalFormatting>
  <conditionalFormatting sqref="G51">
    <cfRule type="duplicateValues" dxfId="3876" priority="41"/>
  </conditionalFormatting>
  <conditionalFormatting sqref="G52">
    <cfRule type="duplicateValues" dxfId="3875" priority="62"/>
  </conditionalFormatting>
  <conditionalFormatting sqref="G54">
    <cfRule type="duplicateValues" dxfId="3874" priority="248"/>
  </conditionalFormatting>
  <conditionalFormatting sqref="G55">
    <cfRule type="duplicateValues" dxfId="3873" priority="124"/>
  </conditionalFormatting>
  <conditionalFormatting sqref="G56">
    <cfRule type="duplicateValues" dxfId="3872" priority="208"/>
  </conditionalFormatting>
  <conditionalFormatting sqref="G57">
    <cfRule type="duplicateValues" dxfId="3871" priority="188"/>
  </conditionalFormatting>
  <conditionalFormatting sqref="G58">
    <cfRule type="duplicateValues" dxfId="3870" priority="167"/>
  </conditionalFormatting>
  <conditionalFormatting sqref="G59">
    <cfRule type="duplicateValues" dxfId="3869" priority="146"/>
  </conditionalFormatting>
  <conditionalFormatting sqref="G61">
    <cfRule type="duplicateValues" dxfId="3868" priority="266"/>
  </conditionalFormatting>
  <conditionalFormatting sqref="G62">
    <cfRule type="duplicateValues" dxfId="3867" priority="228"/>
  </conditionalFormatting>
  <conditionalFormatting sqref="G63">
    <cfRule type="duplicateValues" dxfId="3866" priority="207"/>
  </conditionalFormatting>
  <conditionalFormatting sqref="G64">
    <cfRule type="duplicateValues" dxfId="3865" priority="81"/>
  </conditionalFormatting>
  <conditionalFormatting sqref="G65">
    <cfRule type="duplicateValues" dxfId="3864" priority="39"/>
  </conditionalFormatting>
  <conditionalFormatting sqref="G66">
    <cfRule type="duplicateValues" dxfId="3863" priority="60"/>
  </conditionalFormatting>
  <conditionalFormatting sqref="G68">
    <cfRule type="duplicateValues" dxfId="3862" priority="246"/>
  </conditionalFormatting>
  <conditionalFormatting sqref="G69">
    <cfRule type="duplicateValues" dxfId="3861" priority="122"/>
  </conditionalFormatting>
  <conditionalFormatting sqref="G70">
    <cfRule type="duplicateValues" dxfId="3860" priority="101"/>
  </conditionalFormatting>
  <conditionalFormatting sqref="G71">
    <cfRule type="duplicateValues" dxfId="3859" priority="186"/>
  </conditionalFormatting>
  <conditionalFormatting sqref="G72">
    <cfRule type="duplicateValues" dxfId="3858" priority="165"/>
  </conditionalFormatting>
  <conditionalFormatting sqref="G73">
    <cfRule type="duplicateValues" dxfId="3857" priority="144"/>
  </conditionalFormatting>
  <conditionalFormatting sqref="G75">
    <cfRule type="duplicateValues" dxfId="3856" priority="264"/>
  </conditionalFormatting>
  <conditionalFormatting sqref="G76">
    <cfRule type="duplicateValues" dxfId="3855" priority="226"/>
  </conditionalFormatting>
  <conditionalFormatting sqref="G77">
    <cfRule type="duplicateValues" dxfId="3854" priority="205"/>
  </conditionalFormatting>
  <conditionalFormatting sqref="G78">
    <cfRule type="duplicateValues" dxfId="3853" priority="185"/>
  </conditionalFormatting>
  <conditionalFormatting sqref="G79">
    <cfRule type="duplicateValues" dxfId="3852" priority="79"/>
  </conditionalFormatting>
  <conditionalFormatting sqref="G80">
    <cfRule type="duplicateValues" dxfId="3851" priority="58"/>
  </conditionalFormatting>
  <conditionalFormatting sqref="G82">
    <cfRule type="duplicateValues" dxfId="3850" priority="244"/>
  </conditionalFormatting>
  <conditionalFormatting sqref="G83">
    <cfRule type="duplicateValues" dxfId="3849" priority="120"/>
  </conditionalFormatting>
  <conditionalFormatting sqref="G84">
    <cfRule type="duplicateValues" dxfId="3848" priority="99"/>
  </conditionalFormatting>
  <conditionalFormatting sqref="G85">
    <cfRule type="duplicateValues" dxfId="3847" priority="163"/>
  </conditionalFormatting>
  <conditionalFormatting sqref="G86">
    <cfRule type="duplicateValues" dxfId="3846" priority="142"/>
  </conditionalFormatting>
  <conditionalFormatting sqref="G87">
    <cfRule type="duplicateValues" dxfId="3845" priority="36"/>
  </conditionalFormatting>
  <conditionalFormatting sqref="G89">
    <cfRule type="duplicateValues" dxfId="3844" priority="262"/>
  </conditionalFormatting>
  <conditionalFormatting sqref="G90">
    <cfRule type="duplicateValues" dxfId="3843" priority="224"/>
  </conditionalFormatting>
  <conditionalFormatting sqref="G91">
    <cfRule type="duplicateValues" dxfId="3842" priority="22"/>
  </conditionalFormatting>
  <conditionalFormatting sqref="G92">
    <cfRule type="duplicateValues" dxfId="3841" priority="183"/>
  </conditionalFormatting>
  <conditionalFormatting sqref="G93">
    <cfRule type="duplicateValues" dxfId="3840" priority="162"/>
  </conditionalFormatting>
  <conditionalFormatting sqref="G94">
    <cfRule type="duplicateValues" dxfId="3839" priority="77"/>
  </conditionalFormatting>
  <conditionalFormatting sqref="G96">
    <cfRule type="duplicateValues" dxfId="3838" priority="242"/>
  </conditionalFormatting>
  <conditionalFormatting sqref="G97">
    <cfRule type="duplicateValues" dxfId="3837" priority="118"/>
  </conditionalFormatting>
  <conditionalFormatting sqref="G98">
    <cfRule type="duplicateValues" dxfId="3836" priority="97"/>
  </conditionalFormatting>
  <conditionalFormatting sqref="G99">
    <cfRule type="duplicateValues" dxfId="3835" priority="140"/>
  </conditionalFormatting>
  <conditionalFormatting sqref="G100">
    <cfRule type="duplicateValues" dxfId="3834" priority="34"/>
  </conditionalFormatting>
  <conditionalFormatting sqref="G101">
    <cfRule type="duplicateValues" dxfId="3833" priority="55"/>
  </conditionalFormatting>
  <conditionalFormatting sqref="G103">
    <cfRule type="duplicateValues" dxfId="3832" priority="241"/>
  </conditionalFormatting>
  <conditionalFormatting sqref="G104">
    <cfRule type="duplicateValues" dxfId="3831" priority="117"/>
  </conditionalFormatting>
  <conditionalFormatting sqref="G105">
    <cfRule type="duplicateValues" dxfId="3830" priority="96"/>
  </conditionalFormatting>
  <conditionalFormatting sqref="G106">
    <cfRule type="duplicateValues" dxfId="3829" priority="75"/>
  </conditionalFormatting>
  <conditionalFormatting sqref="G107">
    <cfRule type="duplicateValues" dxfId="3828" priority="33"/>
  </conditionalFormatting>
  <conditionalFormatting sqref="G108">
    <cfRule type="duplicateValues" dxfId="3827" priority="54"/>
  </conditionalFormatting>
  <conditionalFormatting sqref="G110">
    <cfRule type="duplicateValues" dxfId="3826" priority="261"/>
  </conditionalFormatting>
  <conditionalFormatting sqref="G111">
    <cfRule type="duplicateValues" dxfId="3825" priority="220"/>
  </conditionalFormatting>
  <conditionalFormatting sqref="G112">
    <cfRule type="duplicateValues" dxfId="3824" priority="201"/>
  </conditionalFormatting>
  <conditionalFormatting sqref="G113">
    <cfRule type="duplicateValues" dxfId="3823" priority="180"/>
  </conditionalFormatting>
  <conditionalFormatting sqref="G114">
    <cfRule type="duplicateValues" dxfId="3822" priority="159"/>
  </conditionalFormatting>
  <conditionalFormatting sqref="G115">
    <cfRule type="duplicateValues" dxfId="3821" priority="138"/>
  </conditionalFormatting>
  <conditionalFormatting sqref="G117">
    <cfRule type="duplicateValues" dxfId="3820" priority="259"/>
  </conditionalFormatting>
  <conditionalFormatting sqref="G118">
    <cfRule type="duplicateValues" dxfId="3819" priority="115"/>
  </conditionalFormatting>
  <conditionalFormatting sqref="G119">
    <cfRule type="duplicateValues" dxfId="3818" priority="94"/>
  </conditionalFormatting>
  <conditionalFormatting sqref="G120">
    <cfRule type="duplicateValues" dxfId="3817" priority="73"/>
  </conditionalFormatting>
  <conditionalFormatting sqref="G121">
    <cfRule type="duplicateValues" dxfId="3816" priority="31"/>
  </conditionalFormatting>
  <conditionalFormatting sqref="G122">
    <cfRule type="duplicateValues" dxfId="3815" priority="52"/>
  </conditionalFormatting>
  <conditionalFormatting sqref="G124">
    <cfRule type="duplicateValues" dxfId="3814" priority="239"/>
  </conditionalFormatting>
  <conditionalFormatting sqref="G125">
    <cfRule type="duplicateValues" dxfId="3813" priority="114"/>
  </conditionalFormatting>
  <conditionalFormatting sqref="G126">
    <cfRule type="duplicateValues" dxfId="3812" priority="199"/>
  </conditionalFormatting>
  <conditionalFormatting sqref="G127">
    <cfRule type="duplicateValues" dxfId="3811" priority="178"/>
  </conditionalFormatting>
  <conditionalFormatting sqref="G128">
    <cfRule type="duplicateValues" dxfId="3810" priority="157"/>
  </conditionalFormatting>
  <conditionalFormatting sqref="G129">
    <cfRule type="duplicateValues" dxfId="3809" priority="135"/>
  </conditionalFormatting>
  <conditionalFormatting sqref="G131">
    <cfRule type="duplicateValues" dxfId="3808" priority="257"/>
  </conditionalFormatting>
  <conditionalFormatting sqref="G132">
    <cfRule type="duplicateValues" dxfId="3807" priority="218"/>
  </conditionalFormatting>
  <conditionalFormatting sqref="G133">
    <cfRule type="duplicateValues" dxfId="3806" priority="92"/>
  </conditionalFormatting>
  <conditionalFormatting sqref="G134">
    <cfRule type="duplicateValues" dxfId="3805" priority="71"/>
  </conditionalFormatting>
  <conditionalFormatting sqref="G135">
    <cfRule type="duplicateValues" dxfId="3804" priority="29"/>
  </conditionalFormatting>
  <conditionalFormatting sqref="G136">
    <cfRule type="duplicateValues" dxfId="3803" priority="50"/>
  </conditionalFormatting>
  <conditionalFormatting sqref="G138">
    <cfRule type="duplicateValues" dxfId="3802" priority="238"/>
  </conditionalFormatting>
  <conditionalFormatting sqref="G139">
    <cfRule type="duplicateValues" dxfId="3801" priority="112"/>
  </conditionalFormatting>
  <conditionalFormatting sqref="G140">
    <cfRule type="duplicateValues" dxfId="3800" priority="91"/>
  </conditionalFormatting>
  <conditionalFormatting sqref="G141">
    <cfRule type="duplicateValues" dxfId="3799" priority="176"/>
  </conditionalFormatting>
  <conditionalFormatting sqref="G142">
    <cfRule type="duplicateValues" dxfId="3798" priority="155"/>
  </conditionalFormatting>
  <conditionalFormatting sqref="G143">
    <cfRule type="duplicateValues" dxfId="3797" priority="134"/>
  </conditionalFormatting>
  <conditionalFormatting sqref="G145">
    <cfRule type="duplicateValues" dxfId="3796" priority="255"/>
  </conditionalFormatting>
  <conditionalFormatting sqref="G146">
    <cfRule type="duplicateValues" dxfId="3795" priority="216"/>
  </conditionalFormatting>
  <conditionalFormatting sqref="G147">
    <cfRule type="duplicateValues" dxfId="3794" priority="196"/>
  </conditionalFormatting>
  <conditionalFormatting sqref="G148">
    <cfRule type="duplicateValues" dxfId="3793" priority="69"/>
  </conditionalFormatting>
  <conditionalFormatting sqref="G149">
    <cfRule type="duplicateValues" dxfId="3792" priority="27"/>
  </conditionalFormatting>
  <conditionalFormatting sqref="G150">
    <cfRule type="duplicateValues" dxfId="3791" priority="48"/>
  </conditionalFormatting>
  <conditionalFormatting sqref="G152">
    <cfRule type="duplicateValues" dxfId="3790" priority="237"/>
  </conditionalFormatting>
  <conditionalFormatting sqref="G153">
    <cfRule type="duplicateValues" dxfId="3789" priority="110"/>
  </conditionalFormatting>
  <conditionalFormatting sqref="G154">
    <cfRule type="duplicateValues" dxfId="3788" priority="89"/>
  </conditionalFormatting>
  <conditionalFormatting sqref="G155">
    <cfRule type="duplicateValues" dxfId="3787" priority="153"/>
  </conditionalFormatting>
  <conditionalFormatting sqref="G156">
    <cfRule type="duplicateValues" dxfId="3786" priority="132"/>
  </conditionalFormatting>
  <conditionalFormatting sqref="G157">
    <cfRule type="duplicateValues" dxfId="3785" priority="26"/>
  </conditionalFormatting>
  <conditionalFormatting sqref="G159">
    <cfRule type="duplicateValues" dxfId="3784" priority="253"/>
  </conditionalFormatting>
  <conditionalFormatting sqref="G160">
    <cfRule type="duplicateValues" dxfId="3783" priority="214"/>
  </conditionalFormatting>
  <conditionalFormatting sqref="G161">
    <cfRule type="duplicateValues" dxfId="3782" priority="194"/>
  </conditionalFormatting>
  <conditionalFormatting sqref="G162">
    <cfRule type="duplicateValues" dxfId="3781" priority="173"/>
  </conditionalFormatting>
  <conditionalFormatting sqref="G163">
    <cfRule type="duplicateValues" dxfId="3780" priority="67"/>
  </conditionalFormatting>
  <conditionalFormatting sqref="G164">
    <cfRule type="duplicateValues" dxfId="3779" priority="46"/>
  </conditionalFormatting>
  <conditionalFormatting sqref="G166">
    <cfRule type="duplicateValues" dxfId="3778" priority="235"/>
  </conditionalFormatting>
  <conditionalFormatting sqref="G167">
    <cfRule type="duplicateValues" dxfId="3777" priority="108"/>
  </conditionalFormatting>
  <conditionalFormatting sqref="G168">
    <cfRule type="duplicateValues" dxfId="3776" priority="87"/>
  </conditionalFormatting>
  <conditionalFormatting sqref="G169">
    <cfRule type="duplicateValues" dxfId="3775" priority="130"/>
  </conditionalFormatting>
  <conditionalFormatting sqref="G170">
    <cfRule type="duplicateValues" dxfId="3774" priority="24"/>
  </conditionalFormatting>
  <conditionalFormatting sqref="G171">
    <cfRule type="duplicateValues" dxfId="3773" priority="45"/>
  </conditionalFormatting>
  <conditionalFormatting sqref="G173">
    <cfRule type="duplicateValues" dxfId="3772" priority="251"/>
  </conditionalFormatting>
  <conditionalFormatting sqref="G174">
    <cfRule type="duplicateValues" dxfId="3771" priority="212"/>
  </conditionalFormatting>
  <conditionalFormatting sqref="G175">
    <cfRule type="duplicateValues" dxfId="3770" priority="171"/>
  </conditionalFormatting>
  <conditionalFormatting sqref="G176">
    <cfRule type="duplicateValues" dxfId="3769" priority="150"/>
  </conditionalFormatting>
  <conditionalFormatting sqref="G177">
    <cfRule type="duplicateValues" dxfId="3768" priority="65"/>
  </conditionalFormatting>
  <conditionalFormatting sqref="G178">
    <cfRule type="duplicateValues" dxfId="3767" priority="10"/>
  </conditionalFormatting>
  <conditionalFormatting sqref="G14:G19">
    <cfRule type="duplicateValues" dxfId="3766" priority="2157"/>
  </conditionalFormatting>
  <conditionalFormatting sqref="G26:G31">
    <cfRule type="duplicateValues" dxfId="3765" priority="14"/>
  </conditionalFormatting>
  <conditionalFormatting sqref="H26:H31">
    <cfRule type="duplicateValues" dxfId="3764" priority="17"/>
  </conditionalFormatting>
  <conditionalFormatting sqref="H33:I33">
    <cfRule type="duplicateValues" dxfId="3763" priority="270"/>
  </conditionalFormatting>
  <conditionalFormatting sqref="H34:I34">
    <cfRule type="duplicateValues" dxfId="3762" priority="149"/>
  </conditionalFormatting>
  <conditionalFormatting sqref="H35:I35">
    <cfRule type="duplicateValues" dxfId="3761" priority="170"/>
  </conditionalFormatting>
  <conditionalFormatting sqref="H36:I36">
    <cfRule type="duplicateValues" dxfId="3760" priority="232"/>
  </conditionalFormatting>
  <conditionalFormatting sqref="H37:I37">
    <cfRule type="duplicateValues" dxfId="3759" priority="191"/>
  </conditionalFormatting>
  <conditionalFormatting sqref="H38:I38">
    <cfRule type="duplicateValues" dxfId="3758" priority="211"/>
  </conditionalFormatting>
  <conditionalFormatting sqref="H40:I40">
    <cfRule type="duplicateValues" dxfId="3757" priority="127"/>
  </conditionalFormatting>
  <conditionalFormatting sqref="H41:I41">
    <cfRule type="duplicateValues" dxfId="3756" priority="269"/>
  </conditionalFormatting>
  <conditionalFormatting sqref="H42:I42">
    <cfRule type="duplicateValues" dxfId="3755" priority="84"/>
  </conditionalFormatting>
  <conditionalFormatting sqref="H43:I43">
    <cfRule type="duplicateValues" dxfId="3754" priority="63"/>
  </conditionalFormatting>
  <conditionalFormatting sqref="H44:I44">
    <cfRule type="duplicateValues" dxfId="3753" priority="42"/>
  </conditionalFormatting>
  <conditionalFormatting sqref="H45:I45">
    <cfRule type="duplicateValues" dxfId="3752" priority="105"/>
  </conditionalFormatting>
  <conditionalFormatting sqref="H47:I47">
    <cfRule type="duplicateValues" dxfId="3751" priority="209"/>
  </conditionalFormatting>
  <conditionalFormatting sqref="H48:I48">
    <cfRule type="duplicateValues" dxfId="3750" priority="125"/>
  </conditionalFormatting>
  <conditionalFormatting sqref="H49:I49">
    <cfRule type="duplicateValues" dxfId="3749" priority="126"/>
  </conditionalFormatting>
  <conditionalFormatting sqref="H50:I50">
    <cfRule type="duplicateValues" dxfId="3748" priority="189"/>
  </conditionalFormatting>
  <conditionalFormatting sqref="H51:I51">
    <cfRule type="duplicateValues" dxfId="3747" priority="147"/>
  </conditionalFormatting>
  <conditionalFormatting sqref="H52:I52">
    <cfRule type="duplicateValues" dxfId="3746" priority="168"/>
  </conditionalFormatting>
  <conditionalFormatting sqref="H54:I54">
    <cfRule type="duplicateValues" dxfId="3745" priority="103"/>
  </conditionalFormatting>
  <conditionalFormatting sqref="H55:I55">
    <cfRule type="duplicateValues" dxfId="3744" priority="40"/>
  </conditionalFormatting>
  <conditionalFormatting sqref="H56:I56">
    <cfRule type="duplicateValues" dxfId="3743" priority="229"/>
  </conditionalFormatting>
  <conditionalFormatting sqref="H57:I57">
    <cfRule type="duplicateValues" dxfId="3742" priority="267"/>
  </conditionalFormatting>
  <conditionalFormatting sqref="H58:I58">
    <cfRule type="duplicateValues" dxfId="3741" priority="82"/>
  </conditionalFormatting>
  <conditionalFormatting sqref="H59:I59">
    <cfRule type="duplicateValues" dxfId="3740" priority="61"/>
  </conditionalFormatting>
  <conditionalFormatting sqref="H61:I61">
    <cfRule type="duplicateValues" dxfId="3739" priority="166"/>
  </conditionalFormatting>
  <conditionalFormatting sqref="H62:I62">
    <cfRule type="duplicateValues" dxfId="3738" priority="187"/>
  </conditionalFormatting>
  <conditionalFormatting sqref="H63:I63">
    <cfRule type="duplicateValues" dxfId="3737" priority="247"/>
  </conditionalFormatting>
  <conditionalFormatting sqref="H64:I64">
    <cfRule type="duplicateValues" dxfId="3736" priority="145"/>
  </conditionalFormatting>
  <conditionalFormatting sqref="H65:I65">
    <cfRule type="duplicateValues" dxfId="3735" priority="102"/>
  </conditionalFormatting>
  <conditionalFormatting sqref="H66:I66">
    <cfRule type="duplicateValues" dxfId="3734" priority="123"/>
  </conditionalFormatting>
  <conditionalFormatting sqref="H68:I68">
    <cfRule type="duplicateValues" dxfId="3733" priority="38"/>
  </conditionalFormatting>
  <conditionalFormatting sqref="H69:I69">
    <cfRule type="duplicateValues" dxfId="3732" priority="80"/>
  </conditionalFormatting>
  <conditionalFormatting sqref="H70:I70">
    <cfRule type="duplicateValues" dxfId="3731" priority="59"/>
  </conditionalFormatting>
  <conditionalFormatting sqref="H71:I71">
    <cfRule type="duplicateValues" dxfId="3730" priority="206"/>
  </conditionalFormatting>
  <conditionalFormatting sqref="H72:I72">
    <cfRule type="duplicateValues" dxfId="3729" priority="227"/>
  </conditionalFormatting>
  <conditionalFormatting sqref="H73:I73">
    <cfRule type="duplicateValues" dxfId="3728" priority="265"/>
  </conditionalFormatting>
  <conditionalFormatting sqref="H75:I75">
    <cfRule type="duplicateValues" dxfId="3727" priority="121"/>
  </conditionalFormatting>
  <conditionalFormatting sqref="H76:I76">
    <cfRule type="duplicateValues" dxfId="3726" priority="143"/>
  </conditionalFormatting>
  <conditionalFormatting sqref="H77:I77">
    <cfRule type="duplicateValues" dxfId="3725" priority="164"/>
  </conditionalFormatting>
  <conditionalFormatting sqref="H78:I78">
    <cfRule type="duplicateValues" dxfId="3724" priority="245"/>
  </conditionalFormatting>
  <conditionalFormatting sqref="H79:I79">
    <cfRule type="duplicateValues" dxfId="3723" priority="100"/>
  </conditionalFormatting>
  <conditionalFormatting sqref="H80:I80">
    <cfRule type="duplicateValues" dxfId="3722" priority="37"/>
  </conditionalFormatting>
  <conditionalFormatting sqref="H82:I82">
    <cfRule type="duplicateValues" dxfId="3721" priority="57"/>
  </conditionalFormatting>
  <conditionalFormatting sqref="H83:I83">
    <cfRule type="duplicateValues" dxfId="3720" priority="225"/>
  </conditionalFormatting>
  <conditionalFormatting sqref="H84:I84">
    <cfRule type="duplicateValues" dxfId="3719" priority="263"/>
  </conditionalFormatting>
  <conditionalFormatting sqref="H85:I85">
    <cfRule type="duplicateValues" dxfId="3718" priority="184"/>
  </conditionalFormatting>
  <conditionalFormatting sqref="H86:I86">
    <cfRule type="duplicateValues" dxfId="3717" priority="204"/>
  </conditionalFormatting>
  <conditionalFormatting sqref="H87:I87">
    <cfRule type="duplicateValues" dxfId="3716" priority="78"/>
  </conditionalFormatting>
  <conditionalFormatting sqref="H89:I89">
    <cfRule type="duplicateValues" dxfId="3715" priority="35"/>
  </conditionalFormatting>
  <conditionalFormatting sqref="H90:I90">
    <cfRule type="duplicateValues" dxfId="3714" priority="98"/>
  </conditionalFormatting>
  <conditionalFormatting sqref="H91:I91">
    <cfRule type="duplicateValues" dxfId="3713" priority="119"/>
  </conditionalFormatting>
  <conditionalFormatting sqref="H92:I92">
    <cfRule type="duplicateValues" dxfId="3712" priority="141"/>
  </conditionalFormatting>
  <conditionalFormatting sqref="H93:I93">
    <cfRule type="duplicateValues" dxfId="3711" priority="243"/>
  </conditionalFormatting>
  <conditionalFormatting sqref="H94:I94">
    <cfRule type="duplicateValues" dxfId="3710" priority="56"/>
  </conditionalFormatting>
  <conditionalFormatting sqref="H96:I96">
    <cfRule type="duplicateValues" dxfId="3709" priority="76"/>
  </conditionalFormatting>
  <conditionalFormatting sqref="H97:I97">
    <cfRule type="duplicateValues" dxfId="3708" priority="182"/>
  </conditionalFormatting>
  <conditionalFormatting sqref="H98:I98">
    <cfRule type="duplicateValues" dxfId="3707" priority="203"/>
  </conditionalFormatting>
  <conditionalFormatting sqref="H99:I99">
    <cfRule type="duplicateValues" dxfId="3706" priority="161"/>
  </conditionalFormatting>
  <conditionalFormatting sqref="H100:I100">
    <cfRule type="duplicateValues" dxfId="3705" priority="223"/>
  </conditionalFormatting>
  <conditionalFormatting sqref="H101:I101">
    <cfRule type="duplicateValues" dxfId="3704" priority="21"/>
  </conditionalFormatting>
  <conditionalFormatting sqref="H103:I103">
    <cfRule type="duplicateValues" dxfId="3703" priority="139"/>
  </conditionalFormatting>
  <conditionalFormatting sqref="H104:I104">
    <cfRule type="duplicateValues" dxfId="3702" priority="160"/>
  </conditionalFormatting>
  <conditionalFormatting sqref="H105:I105">
    <cfRule type="duplicateValues" dxfId="3701" priority="181"/>
  </conditionalFormatting>
  <conditionalFormatting sqref="H106:I106">
    <cfRule type="duplicateValues" dxfId="3700" priority="260"/>
  </conditionalFormatting>
  <conditionalFormatting sqref="H107:I107">
    <cfRule type="duplicateValues" dxfId="3699" priority="202"/>
  </conditionalFormatting>
  <conditionalFormatting sqref="H108:I108">
    <cfRule type="duplicateValues" dxfId="3698" priority="222"/>
  </conditionalFormatting>
  <conditionalFormatting sqref="H110:I110">
    <cfRule type="duplicateValues" dxfId="3697" priority="240"/>
  </conditionalFormatting>
  <conditionalFormatting sqref="H111:I111">
    <cfRule type="duplicateValues" dxfId="3696" priority="74"/>
  </conditionalFormatting>
  <conditionalFormatting sqref="H112:I112">
    <cfRule type="duplicateValues" dxfId="3695" priority="53"/>
  </conditionalFormatting>
  <conditionalFormatting sqref="H113:I113">
    <cfRule type="duplicateValues" dxfId="3694" priority="32"/>
  </conditionalFormatting>
  <conditionalFormatting sqref="H114:I114">
    <cfRule type="duplicateValues" dxfId="3693" priority="95"/>
  </conditionalFormatting>
  <conditionalFormatting sqref="H115:I115">
    <cfRule type="duplicateValues" dxfId="3692" priority="116"/>
  </conditionalFormatting>
  <conditionalFormatting sqref="H117:I117">
    <cfRule type="duplicateValues" dxfId="3691" priority="221"/>
  </conditionalFormatting>
  <conditionalFormatting sqref="H118:I118">
    <cfRule type="duplicateValues" dxfId="3690" priority="20"/>
  </conditionalFormatting>
  <conditionalFormatting sqref="H119:I119">
    <cfRule type="duplicateValues" dxfId="3689" priority="137"/>
  </conditionalFormatting>
  <conditionalFormatting sqref="H120:I120">
    <cfRule type="duplicateValues" dxfId="3688" priority="200"/>
  </conditionalFormatting>
  <conditionalFormatting sqref="H121:I121">
    <cfRule type="duplicateValues" dxfId="3687" priority="158"/>
  </conditionalFormatting>
  <conditionalFormatting sqref="H122:I122">
    <cfRule type="duplicateValues" dxfId="3686" priority="179"/>
  </conditionalFormatting>
  <conditionalFormatting sqref="H124:I124">
    <cfRule type="duplicateValues" dxfId="3685" priority="219"/>
  </conditionalFormatting>
  <conditionalFormatting sqref="H125:I125">
    <cfRule type="duplicateValues" dxfId="3684" priority="93"/>
  </conditionalFormatting>
  <conditionalFormatting sqref="H126:I126">
    <cfRule type="duplicateValues" dxfId="3683" priority="258"/>
  </conditionalFormatting>
  <conditionalFormatting sqref="H127:I127">
    <cfRule type="duplicateValues" dxfId="3682" priority="72"/>
  </conditionalFormatting>
  <conditionalFormatting sqref="H128:I128">
    <cfRule type="duplicateValues" dxfId="3681" priority="51"/>
  </conditionalFormatting>
  <conditionalFormatting sqref="H129:I129">
    <cfRule type="duplicateValues" dxfId="3680" priority="30"/>
  </conditionalFormatting>
  <conditionalFormatting sqref="H131:I131">
    <cfRule type="duplicateValues" dxfId="3679" priority="177"/>
  </conditionalFormatting>
  <conditionalFormatting sqref="H132:I132">
    <cfRule type="duplicateValues" dxfId="3678" priority="198"/>
  </conditionalFormatting>
  <conditionalFormatting sqref="H133:I133">
    <cfRule type="duplicateValues" dxfId="3677" priority="19"/>
  </conditionalFormatting>
  <conditionalFormatting sqref="H134:I134">
    <cfRule type="duplicateValues" dxfId="3676" priority="156"/>
  </conditionalFormatting>
  <conditionalFormatting sqref="H135:I135">
    <cfRule type="duplicateValues" dxfId="3675" priority="113"/>
  </conditionalFormatting>
  <conditionalFormatting sqref="H136:I136">
    <cfRule type="duplicateValues" dxfId="3674" priority="136"/>
  </conditionalFormatting>
  <conditionalFormatting sqref="H138:I138">
    <cfRule type="duplicateValues" dxfId="3673" priority="197"/>
  </conditionalFormatting>
  <conditionalFormatting sqref="H139:I139">
    <cfRule type="duplicateValues" dxfId="3672" priority="49"/>
  </conditionalFormatting>
  <conditionalFormatting sqref="H140:I140">
    <cfRule type="duplicateValues" dxfId="3671" priority="28"/>
  </conditionalFormatting>
  <conditionalFormatting sqref="H141:I141">
    <cfRule type="duplicateValues" dxfId="3670" priority="217"/>
  </conditionalFormatting>
  <conditionalFormatting sqref="H142:I142">
    <cfRule type="duplicateValues" dxfId="3669" priority="256"/>
  </conditionalFormatting>
  <conditionalFormatting sqref="H143:I143">
    <cfRule type="duplicateValues" dxfId="3668" priority="70"/>
  </conditionalFormatting>
  <conditionalFormatting sqref="H145:I145">
    <cfRule type="duplicateValues" dxfId="3667" priority="133"/>
  </conditionalFormatting>
  <conditionalFormatting sqref="H146:I146">
    <cfRule type="duplicateValues" dxfId="3666" priority="154"/>
  </conditionalFormatting>
  <conditionalFormatting sqref="H147:I147">
    <cfRule type="duplicateValues" dxfId="3665" priority="175"/>
  </conditionalFormatting>
  <conditionalFormatting sqref="H148:I148">
    <cfRule type="duplicateValues" dxfId="3664" priority="111"/>
  </conditionalFormatting>
  <conditionalFormatting sqref="H149:I149">
    <cfRule type="duplicateValues" dxfId="3663" priority="236"/>
  </conditionalFormatting>
  <conditionalFormatting sqref="H150:I150">
    <cfRule type="duplicateValues" dxfId="3662" priority="90"/>
  </conditionalFormatting>
  <conditionalFormatting sqref="H152:I152">
    <cfRule type="duplicateValues" dxfId="3661" priority="174"/>
  </conditionalFormatting>
  <conditionalFormatting sqref="H153:I153">
    <cfRule type="duplicateValues" dxfId="3660" priority="254"/>
  </conditionalFormatting>
  <conditionalFormatting sqref="H154:I154">
    <cfRule type="duplicateValues" dxfId="3659" priority="68"/>
  </conditionalFormatting>
  <conditionalFormatting sqref="H155:I155">
    <cfRule type="duplicateValues" dxfId="3658" priority="195"/>
  </conditionalFormatting>
  <conditionalFormatting sqref="H156:I156">
    <cfRule type="duplicateValues" dxfId="3657" priority="215"/>
  </conditionalFormatting>
  <conditionalFormatting sqref="H157:I157">
    <cfRule type="duplicateValues" dxfId="3656" priority="47"/>
  </conditionalFormatting>
  <conditionalFormatting sqref="H159:I159">
    <cfRule type="duplicateValues" dxfId="3655" priority="88"/>
  </conditionalFormatting>
  <conditionalFormatting sqref="H160:I160">
    <cfRule type="duplicateValues" dxfId="3654" priority="109"/>
  </conditionalFormatting>
  <conditionalFormatting sqref="H161:I161">
    <cfRule type="duplicateValues" dxfId="3653" priority="131"/>
  </conditionalFormatting>
  <conditionalFormatting sqref="H162:I162">
    <cfRule type="duplicateValues" dxfId="3652" priority="152"/>
  </conditionalFormatting>
  <conditionalFormatting sqref="H163:I163">
    <cfRule type="duplicateValues" dxfId="3651" priority="25"/>
  </conditionalFormatting>
  <conditionalFormatting sqref="H164:I164">
    <cfRule type="duplicateValues" dxfId="3650" priority="234"/>
  </conditionalFormatting>
  <conditionalFormatting sqref="H166:I166">
    <cfRule type="duplicateValues" dxfId="3649" priority="151"/>
  </conditionalFormatting>
  <conditionalFormatting sqref="H167:I167">
    <cfRule type="duplicateValues" dxfId="3648" priority="193"/>
  </conditionalFormatting>
  <conditionalFormatting sqref="H168:I168">
    <cfRule type="duplicateValues" dxfId="3647" priority="213"/>
  </conditionalFormatting>
  <conditionalFormatting sqref="H169:I169">
    <cfRule type="duplicateValues" dxfId="3646" priority="172"/>
  </conditionalFormatting>
  <conditionalFormatting sqref="H170:I170">
    <cfRule type="duplicateValues" dxfId="3645" priority="252"/>
  </conditionalFormatting>
  <conditionalFormatting sqref="H171:I171">
    <cfRule type="duplicateValues" dxfId="3644" priority="66"/>
  </conditionalFormatting>
  <conditionalFormatting sqref="H173:I173">
    <cfRule type="duplicateValues" dxfId="3643" priority="44"/>
  </conditionalFormatting>
  <conditionalFormatting sqref="H174:I174">
    <cfRule type="duplicateValues" dxfId="3642" priority="23"/>
  </conditionalFormatting>
  <conditionalFormatting sqref="H175:I175">
    <cfRule type="duplicateValues" dxfId="3641" priority="107"/>
  </conditionalFormatting>
  <conditionalFormatting sqref="H176:I176">
    <cfRule type="duplicateValues" dxfId="3640" priority="129"/>
  </conditionalFormatting>
  <conditionalFormatting sqref="H177:I177">
    <cfRule type="duplicateValues" dxfId="3639" priority="233"/>
  </conditionalFormatting>
  <conditionalFormatting sqref="H178:I178">
    <cfRule type="duplicateValues" dxfId="3638" priority="9"/>
  </conditionalFormatting>
  <conditionalFormatting sqref="I5:I8">
    <cfRule type="duplicateValues" dxfId="3637" priority="2155"/>
  </conditionalFormatting>
  <conditionalFormatting sqref="I26:I31">
    <cfRule type="duplicateValues" dxfId="3636" priority="13"/>
  </conditionalFormatting>
  <conditionalFormatting sqref="K3:K4 K7:K8">
    <cfRule type="duplicateValues" dxfId="3635" priority="2156"/>
  </conditionalFormatting>
  <conditionalFormatting sqref="K5">
    <cfRule type="duplicateValues" dxfId="3634" priority="531"/>
  </conditionalFormatting>
  <conditionalFormatting sqref="I10:L21">
    <cfRule type="cellIs" dxfId="3633" priority="4" operator="lessThan">
      <formula>5</formula>
    </cfRule>
    <cfRule type="cellIs" dxfId="3632" priority="5" operator="greaterThan">
      <formula>6</formula>
    </cfRule>
  </conditionalFormatting>
  <conditionalFormatting sqref="J10:J21">
    <cfRule type="containsText" dxfId="3631" priority="8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3630" priority="7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3629" priority="6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3628" priority="3" operator="containsText" text="c'[Fixtures All.xlsx]Women Filtered'!$F$2">
      <formula>NOT(ISERROR(SEARCH("c'[Fixtures All.xlsx]Women Filtered'!$F$2",J10)))</formula>
    </cfRule>
  </conditionalFormatting>
  <hyperlinks>
    <hyperlink ref="K3" location="Contents!A1" display="Back to Contents" xr:uid="{8F54A327-773D-4F23-928D-4428F0D0BDAF}"/>
    <hyperlink ref="K5:K6" location="'All Fixtures'!A1" display="See all NW Fixtures" xr:uid="{130C9BFC-9C45-4E89-866E-4FD55B882910}"/>
  </hyperlinks>
  <pageMargins left="0.7" right="0.7" top="0.75" bottom="0.75" header="0.3" footer="0.3"/>
  <ignoredErrors>
    <ignoredError sqref="J10:J16 K10:K16 J18:J21 K18:K21" formula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9AE43-370C-43CD-B0A8-C3EA3B46BDB2}">
  <dimension ref="A1:AQ130"/>
  <sheetViews>
    <sheetView workbookViewId="0"/>
  </sheetViews>
  <sheetFormatPr defaultRowHeight="14.4" x14ac:dyDescent="0.3"/>
  <cols>
    <col min="1" max="1" width="3.5546875" style="47" customWidth="1"/>
    <col min="2" max="2" width="25.6640625" style="3" bestFit="1" customWidth="1"/>
    <col min="3" max="3" width="27.88671875" style="3" customWidth="1"/>
    <col min="4" max="4" width="34.33203125" style="3" customWidth="1"/>
    <col min="5" max="5" width="15.77734375" style="3" customWidth="1"/>
    <col min="6" max="6" width="37.6640625" style="4" customWidth="1"/>
    <col min="7" max="7" width="10.5546875" style="4" customWidth="1"/>
    <col min="8" max="8" width="25.109375" style="4" customWidth="1"/>
    <col min="9" max="9" width="8.88671875" style="4"/>
    <col min="10" max="10" width="8.88671875" style="3"/>
    <col min="11" max="11" width="17.88671875" style="31" customWidth="1"/>
    <col min="12" max="43" width="8.88671875" style="3"/>
  </cols>
  <sheetData>
    <row r="1" spans="1:43" x14ac:dyDescent="0.3">
      <c r="C1" s="118"/>
    </row>
    <row r="2" spans="1:43" ht="15" thickBot="1" x14ac:dyDescent="0.35"/>
    <row r="3" spans="1:43" ht="37.200000000000003" thickBot="1" x14ac:dyDescent="0.75">
      <c r="E3" s="16" t="s">
        <v>69</v>
      </c>
      <c r="I3" s="16"/>
      <c r="K3" s="45" t="s">
        <v>86</v>
      </c>
    </row>
    <row r="4" spans="1:43" ht="15" customHeight="1" thickBot="1" x14ac:dyDescent="0.35"/>
    <row r="5" spans="1:43" ht="15" customHeight="1" x14ac:dyDescent="0.3">
      <c r="K5" s="185" t="s">
        <v>417</v>
      </c>
    </row>
    <row r="6" spans="1:43" ht="15" customHeight="1" thickBot="1" x14ac:dyDescent="0.35">
      <c r="K6" s="186"/>
    </row>
    <row r="7" spans="1:43" ht="15" customHeight="1" x14ac:dyDescent="0.3"/>
    <row r="8" spans="1:43" ht="15" customHeight="1" x14ac:dyDescent="0.7">
      <c r="B8" s="16"/>
    </row>
    <row r="9" spans="1:43" s="76" customFormat="1" ht="15" customHeight="1" x14ac:dyDescent="0.4">
      <c r="A9" s="59"/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J9" s="3"/>
      <c r="K9" s="77" t="s">
        <v>558</v>
      </c>
      <c r="L9" s="3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</row>
    <row r="10" spans="1:43" s="76" customFormat="1" ht="15" customHeight="1" x14ac:dyDescent="0.3">
      <c r="A10" s="79">
        <f>COUNTIF(F$24:I$130,"Bowdon 7 (W)")</f>
        <v>18</v>
      </c>
      <c r="B10" s="15" t="s">
        <v>392</v>
      </c>
      <c r="C10" s="74">
        <v>3210706</v>
      </c>
      <c r="D10" s="80">
        <f>COUNTIF(F$24:I$130,"3210706")</f>
        <v>18</v>
      </c>
      <c r="E10" s="79"/>
      <c r="F10" s="80">
        <f>COUNTIF(F$24:F$130,"Bowdon 7 (W)")</f>
        <v>9</v>
      </c>
      <c r="G10" s="80"/>
      <c r="H10" s="80">
        <f>COUNTIF(H$24:H$130,"Bowdon 7 (W)")</f>
        <v>9</v>
      </c>
      <c r="I10" s="57">
        <f>COUNTIF(F$24:F$76,"Bowdon 7 (W)")</f>
        <v>5</v>
      </c>
      <c r="J10" s="57">
        <f>COUNTIF(F$77:F$130,"Bowdon 7 (W)")</f>
        <v>4</v>
      </c>
      <c r="K10" s="57">
        <f>COUNTIF(H$24:H$76,"Bowdon 7 (W)")</f>
        <v>4</v>
      </c>
      <c r="L10" s="57">
        <f>COUNTIF(H$77:H$130,"Bowdon 7 (W)")</f>
        <v>5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s="76" customFormat="1" ht="15" customHeight="1" x14ac:dyDescent="0.3">
      <c r="A11" s="79">
        <f>COUNTIF(F$24:H$130,"Buxton 2 (W)")</f>
        <v>18</v>
      </c>
      <c r="B11" s="15" t="s">
        <v>393</v>
      </c>
      <c r="C11" s="74">
        <v>3209701</v>
      </c>
      <c r="D11" s="80">
        <f>COUNTIF(F$24:I$130,"3209701")</f>
        <v>18</v>
      </c>
      <c r="E11" s="79"/>
      <c r="F11" s="80">
        <f>COUNTIF(F$24:F$130,"Buxton 2 (W)")</f>
        <v>9</v>
      </c>
      <c r="G11" s="80"/>
      <c r="H11" s="80">
        <f>COUNTIF(H$24:H$130,"Buxton 2 (W)")</f>
        <v>9</v>
      </c>
      <c r="I11" s="57">
        <f>COUNTIF(F$24:F$76,"Buxton 2 (W)")</f>
        <v>5</v>
      </c>
      <c r="J11" s="57">
        <f>COUNTIF(F$77:F$130,"Buxton 2 (W)")</f>
        <v>4</v>
      </c>
      <c r="K11" s="57">
        <f>COUNTIF(H$24:H$76,"Buxton 2 (W)")</f>
        <v>4</v>
      </c>
      <c r="L11" s="57">
        <f>COUNTIF(H$77:H$130,"Buxton 2 (W)")</f>
        <v>5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s="76" customFormat="1" ht="15" customHeight="1" x14ac:dyDescent="0.3">
      <c r="A12" s="79">
        <f>COUNTIF(F$24:H$130,"Macclesfield 3 (W)")</f>
        <v>18</v>
      </c>
      <c r="B12" s="15" t="s">
        <v>376</v>
      </c>
      <c r="C12" s="74">
        <v>3201303</v>
      </c>
      <c r="D12" s="80">
        <f>COUNTIF(F$24:I$130,"3201303")</f>
        <v>18</v>
      </c>
      <c r="E12" s="79"/>
      <c r="F12" s="80">
        <f>COUNTIF(F$24:F$130,"Macclesfield 3 (W)")</f>
        <v>9</v>
      </c>
      <c r="G12" s="80"/>
      <c r="H12" s="80">
        <f>COUNTIF(H$24:H$130,"Macclesfield 3 (W)")</f>
        <v>9</v>
      </c>
      <c r="I12" s="57">
        <f>COUNTIF(F$24:F$76,"Macclesfield 3 (W)")</f>
        <v>5</v>
      </c>
      <c r="J12" s="57">
        <f>COUNTIF(F$77:F$130,"Macclesfield 3 (W)")</f>
        <v>4</v>
      </c>
      <c r="K12" s="57">
        <f>COUNTIF(H$24:H$76,"Macclesfield 3 (W)")</f>
        <v>4</v>
      </c>
      <c r="L12" s="57">
        <f>COUNTIF(H$77:H$130,"Macclesfield 3 (W)")</f>
        <v>5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s="76" customFormat="1" ht="15" customHeight="1" x14ac:dyDescent="0.3">
      <c r="A13" s="79">
        <f>COUNTIF(F$24:H$130,"Macclesfield 4 (W)")</f>
        <v>18</v>
      </c>
      <c r="B13" s="15" t="s">
        <v>402</v>
      </c>
      <c r="C13" s="74">
        <v>3201407</v>
      </c>
      <c r="D13" s="80">
        <f>COUNTIF(F$24:I$130,"3201407")</f>
        <v>18</v>
      </c>
      <c r="E13" s="79"/>
      <c r="F13" s="80">
        <f>COUNTIF(F$24:F$130,"Macclesfield 4 (W)")</f>
        <v>9</v>
      </c>
      <c r="G13" s="80"/>
      <c r="H13" s="80">
        <f>COUNTIF(H$24:H$130,"Macclesfield 4 (W)")</f>
        <v>9</v>
      </c>
      <c r="I13" s="57">
        <f>COUNTIF(F$24:F$76,"Macclesfield 4 (W)")</f>
        <v>4</v>
      </c>
      <c r="J13" s="57">
        <f>COUNTIF(F$77:F$130,"Macclesfield 4 (W)")</f>
        <v>5</v>
      </c>
      <c r="K13" s="57">
        <f>COUNTIF(H$24:H$76,"Macclesfield 4 (W)")</f>
        <v>5</v>
      </c>
      <c r="L13" s="57">
        <f>COUNTIF(H$77:H$130,"Macclesfield 4 (W)")</f>
        <v>4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s="76" customFormat="1" x14ac:dyDescent="0.3">
      <c r="A14" s="79">
        <f>COUNTIF(F$24:H$130,"Manchester Moss Park 3 (W)")</f>
        <v>18</v>
      </c>
      <c r="B14" s="81" t="s">
        <v>394</v>
      </c>
      <c r="C14" s="74">
        <v>3201105</v>
      </c>
      <c r="D14" s="80">
        <f>COUNTIF(F$24:I$130,"3201105")</f>
        <v>18</v>
      </c>
      <c r="E14" s="79"/>
      <c r="F14" s="80">
        <f>COUNTIF(F$24:F$130,"Manchester Moss Park 3 (W)")</f>
        <v>9</v>
      </c>
      <c r="G14" s="80"/>
      <c r="H14" s="80">
        <f>COUNTIF(H$24:H$130,"Manchester Moss Park 3 (W)")</f>
        <v>9</v>
      </c>
      <c r="I14" s="57">
        <f>COUNTIF(F$24:F$76,"Manchester Moss Park 3 (W)")</f>
        <v>5</v>
      </c>
      <c r="J14" s="57">
        <f>COUNTIF(F$77:F$130,"Manchester Moss Park 3 (W)")</f>
        <v>4</v>
      </c>
      <c r="K14" s="57">
        <f>COUNTIF(H$24:H$76,"Manchester Moss Park 3 (W)")</f>
        <v>4</v>
      </c>
      <c r="L14" s="57">
        <f>COUNTIF(H$77:H$130,"Manchester Moss Park 3 (W)")</f>
        <v>5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s="76" customFormat="1" x14ac:dyDescent="0.3">
      <c r="A15" s="79">
        <f>COUNTIF(F$24:H$130,"Oldham 3 (W)")</f>
        <v>18</v>
      </c>
      <c r="B15" s="4" t="s">
        <v>361</v>
      </c>
      <c r="C15" s="74">
        <v>3200002</v>
      </c>
      <c r="D15" s="80">
        <f>COUNTIF(F$24:I$130,"3200002")</f>
        <v>18</v>
      </c>
      <c r="E15" s="79"/>
      <c r="F15" s="80">
        <f>COUNTIF(F$24:F$130,"Oldham 3 (W)")</f>
        <v>9</v>
      </c>
      <c r="G15" s="80"/>
      <c r="H15" s="80">
        <f>COUNTIF(H$24:H$130,"Oldham 3 (W)")</f>
        <v>9</v>
      </c>
      <c r="I15" s="57">
        <f>COUNTIF(F$24:F$76,"Oldham 3 (W)")</f>
        <v>4</v>
      </c>
      <c r="J15" s="57">
        <f>COUNTIF(F$77:F$130,"Oldham 3 (W)")</f>
        <v>5</v>
      </c>
      <c r="K15" s="57">
        <f>COUNTIF(H$24:H$76,"Oldham 3 (W)")</f>
        <v>5</v>
      </c>
      <c r="L15" s="57">
        <f>COUNTIF(H$77:H$130,"Oldham 3 (W)")</f>
        <v>4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s="76" customFormat="1" x14ac:dyDescent="0.3">
      <c r="A16" s="79">
        <f>COUNTIF(F$24:H$130,"Sale 3 (W)")</f>
        <v>18</v>
      </c>
      <c r="B16" s="4" t="s">
        <v>395</v>
      </c>
      <c r="C16" s="74">
        <v>3197604</v>
      </c>
      <c r="D16" s="80">
        <f>COUNTIF(F$24:I$130,"3197604")</f>
        <v>18</v>
      </c>
      <c r="E16" s="79"/>
      <c r="F16" s="80">
        <f>COUNTIF(F$24:F$130,"Sale 3 (W)")</f>
        <v>9</v>
      </c>
      <c r="G16" s="80"/>
      <c r="H16" s="80">
        <f>COUNTIF(H$24:H$130,"Sale 3 (W)")</f>
        <v>9</v>
      </c>
      <c r="I16" s="57">
        <f>COUNTIF(F$24:F$76,"Sale 3 (W)")</f>
        <v>5</v>
      </c>
      <c r="J16" s="57">
        <f>COUNTIF(F$77:F$130,"Sale 3 (W)")</f>
        <v>4</v>
      </c>
      <c r="K16" s="57">
        <f>COUNTIF(H$24:H$76,"Sale 3 (W)")</f>
        <v>4</v>
      </c>
      <c r="L16" s="57">
        <f>COUNTIF(H$77:H$130,"Sale 3 (W)")</f>
        <v>5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s="76" customFormat="1" x14ac:dyDescent="0.3">
      <c r="A17" s="79">
        <f>COUNTIF(F$24:H$130,"Stockport Bramhall 3 (W)")</f>
        <v>18</v>
      </c>
      <c r="B17" s="15" t="s">
        <v>362</v>
      </c>
      <c r="C17" s="74">
        <v>3197406</v>
      </c>
      <c r="D17" s="80">
        <f>COUNTIF(F$24:I$130,"3197406")</f>
        <v>18</v>
      </c>
      <c r="E17" s="79"/>
      <c r="F17" s="80">
        <f>COUNTIF(F$24:F$130,"Stockport Bramhall 3 (W)")</f>
        <v>9</v>
      </c>
      <c r="G17" s="80"/>
      <c r="H17" s="80">
        <f>COUNTIF(H$24:H$130,"Stockport Bramhall 3 (W)")</f>
        <v>9</v>
      </c>
      <c r="I17" s="57">
        <f>COUNTIF(F$24:F$76,"Stockport Bramhall 3 (W)")</f>
        <v>4</v>
      </c>
      <c r="J17" s="57">
        <f>COUNTIF(F$77:F$130,"Stockport Bramhall 3 (W)")</f>
        <v>5</v>
      </c>
      <c r="K17" s="57">
        <f>COUNTIF(H$24:H$76,"Stockport Bramhall 3 (W)")</f>
        <v>5</v>
      </c>
      <c r="L17" s="57">
        <f>COUNTIF(H$77:H$130,"Stockport Bramhall 3 (W)")</f>
        <v>4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s="76" customFormat="1" x14ac:dyDescent="0.3">
      <c r="A18" s="79">
        <f>COUNTIF(F$24:H$130,"Timperley 6 (W)")</f>
        <v>18</v>
      </c>
      <c r="B18" s="15" t="s">
        <v>364</v>
      </c>
      <c r="C18" s="74">
        <v>3197000</v>
      </c>
      <c r="D18" s="80">
        <f>COUNTIF(F$24:I$130,"3197000")</f>
        <v>18</v>
      </c>
      <c r="E18" s="79"/>
      <c r="F18" s="80">
        <f>COUNTIF(F$24:F$130,"Timperley 6 (W)")</f>
        <v>9</v>
      </c>
      <c r="G18" s="80"/>
      <c r="H18" s="80">
        <f>COUNTIF(H$24:H$130,"Timperley 6 (W)")</f>
        <v>9</v>
      </c>
      <c r="I18" s="57">
        <f>COUNTIF(F$24:F$76,"Timperley 6 (W)")</f>
        <v>4</v>
      </c>
      <c r="J18" s="57">
        <f>COUNTIF(F$77:F$130,"Timperley 6 (W)")</f>
        <v>5</v>
      </c>
      <c r="K18" s="57">
        <f>COUNTIF(H$24:H$76,"Timperley 6 (W)")</f>
        <v>5</v>
      </c>
      <c r="L18" s="57">
        <f>COUNTIF(H$77:H$130,"Timperley 6 (W)")</f>
        <v>4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s="76" customFormat="1" x14ac:dyDescent="0.3">
      <c r="A19" s="79">
        <f>COUNTIF(F$24:H$130,"Urmston 2 (W)")</f>
        <v>18</v>
      </c>
      <c r="B19" s="15" t="s">
        <v>365</v>
      </c>
      <c r="C19" s="74">
        <v>3195804</v>
      </c>
      <c r="D19" s="80">
        <f>COUNTIF(F$24:I$130,"3195804")</f>
        <v>18</v>
      </c>
      <c r="E19" s="79"/>
      <c r="F19" s="80">
        <f>COUNTIF(F$24:F$130,"Urmston 2 (W)")</f>
        <v>9</v>
      </c>
      <c r="G19" s="80"/>
      <c r="H19" s="80">
        <f>COUNTIF(H$24:H$130,"Urmston 2 (W)")</f>
        <v>9</v>
      </c>
      <c r="I19" s="57">
        <f>COUNTIF(F$24:F$76,"Urmston 2 (W)")</f>
        <v>4</v>
      </c>
      <c r="J19" s="57">
        <f>COUNTIF(F$77:F$130,"Urmston 2 (W)")</f>
        <v>5</v>
      </c>
      <c r="K19" s="57">
        <f>COUNTIF(H$24:H$76,"Urmston 2 (W)")</f>
        <v>5</v>
      </c>
      <c r="L19" s="57">
        <f>COUNTIF(H$77:H$130,"Urmston 2 (W)")</f>
        <v>4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1" spans="1:43" ht="21" x14ac:dyDescent="0.4">
      <c r="B21" s="22" t="s">
        <v>93</v>
      </c>
    </row>
    <row r="22" spans="1:43" x14ac:dyDescent="0.3">
      <c r="B22" s="40" t="s">
        <v>408</v>
      </c>
      <c r="C22" s="14" t="s">
        <v>409</v>
      </c>
      <c r="D22" s="14" t="s">
        <v>410</v>
      </c>
      <c r="E22" s="14" t="s">
        <v>411</v>
      </c>
      <c r="F22" s="14" t="s">
        <v>412</v>
      </c>
      <c r="G22" s="14" t="s">
        <v>413</v>
      </c>
      <c r="H22" s="14" t="s">
        <v>414</v>
      </c>
      <c r="I22" s="14" t="s">
        <v>415</v>
      </c>
    </row>
    <row r="23" spans="1:43" x14ac:dyDescent="0.3">
      <c r="B23" s="40"/>
      <c r="C23" s="14"/>
      <c r="D23" s="14"/>
      <c r="E23" s="14"/>
      <c r="F23" s="14"/>
      <c r="G23" s="14"/>
      <c r="H23" s="14"/>
      <c r="I23" s="14"/>
    </row>
    <row r="24" spans="1:43" x14ac:dyDescent="0.3">
      <c r="B24" s="44">
        <v>45920</v>
      </c>
      <c r="C24" s="3" t="s">
        <v>416</v>
      </c>
      <c r="D24" s="3" t="s">
        <v>69</v>
      </c>
      <c r="E24" s="101"/>
      <c r="F24" s="3" t="s">
        <v>393</v>
      </c>
      <c r="G24" s="4">
        <v>3209701</v>
      </c>
      <c r="H24" s="3" t="s">
        <v>364</v>
      </c>
      <c r="I24" s="4">
        <v>3197000</v>
      </c>
    </row>
    <row r="25" spans="1:43" x14ac:dyDescent="0.3">
      <c r="B25" s="44">
        <v>45920</v>
      </c>
      <c r="C25" s="3" t="s">
        <v>416</v>
      </c>
      <c r="D25" s="3" t="s">
        <v>69</v>
      </c>
      <c r="E25" s="101"/>
      <c r="F25" s="3" t="s">
        <v>394</v>
      </c>
      <c r="G25" s="4">
        <v>3201105</v>
      </c>
      <c r="H25" s="3" t="s">
        <v>365</v>
      </c>
      <c r="I25" s="4">
        <v>3195804</v>
      </c>
    </row>
    <row r="26" spans="1:43" x14ac:dyDescent="0.3">
      <c r="B26" s="44">
        <v>45920</v>
      </c>
      <c r="C26" s="3" t="s">
        <v>416</v>
      </c>
      <c r="D26" s="3" t="s">
        <v>69</v>
      </c>
      <c r="E26" s="101"/>
      <c r="F26" s="3" t="s">
        <v>376</v>
      </c>
      <c r="G26" s="74">
        <v>3201303</v>
      </c>
      <c r="H26" s="3" t="s">
        <v>402</v>
      </c>
      <c r="I26" s="4">
        <v>3201407</v>
      </c>
      <c r="K26" s="4"/>
      <c r="L26" s="4"/>
    </row>
    <row r="27" spans="1:43" x14ac:dyDescent="0.3">
      <c r="B27" s="44">
        <v>45920</v>
      </c>
      <c r="C27" s="3" t="s">
        <v>416</v>
      </c>
      <c r="D27" s="3" t="s">
        <v>69</v>
      </c>
      <c r="E27" s="101"/>
      <c r="F27" s="3" t="s">
        <v>392</v>
      </c>
      <c r="G27" s="74">
        <v>3210706</v>
      </c>
      <c r="H27" s="3" t="s">
        <v>362</v>
      </c>
      <c r="I27" s="4">
        <v>3197406</v>
      </c>
    </row>
    <row r="28" spans="1:43" x14ac:dyDescent="0.3">
      <c r="B28" s="44">
        <v>45920</v>
      </c>
      <c r="C28" s="3" t="s">
        <v>416</v>
      </c>
      <c r="D28" s="3" t="s">
        <v>69</v>
      </c>
      <c r="E28" s="101"/>
      <c r="F28" s="3" t="s">
        <v>395</v>
      </c>
      <c r="G28" s="4">
        <v>3197604</v>
      </c>
      <c r="H28" s="3" t="s">
        <v>361</v>
      </c>
      <c r="I28" s="4">
        <v>3200002</v>
      </c>
      <c r="K28" s="4"/>
      <c r="L28" s="4"/>
    </row>
    <row r="29" spans="1:43" x14ac:dyDescent="0.3">
      <c r="B29" s="44"/>
      <c r="E29" s="101"/>
      <c r="F29" s="3" t="s">
        <v>418</v>
      </c>
      <c r="G29" s="4" t="s">
        <v>418</v>
      </c>
      <c r="H29" s="3" t="s">
        <v>418</v>
      </c>
      <c r="I29" s="4" t="s">
        <v>418</v>
      </c>
      <c r="J29" s="4"/>
      <c r="K29" s="4"/>
    </row>
    <row r="30" spans="1:43" x14ac:dyDescent="0.3">
      <c r="B30" s="44">
        <v>45927</v>
      </c>
      <c r="C30" s="3" t="s">
        <v>416</v>
      </c>
      <c r="D30" s="3" t="s">
        <v>69</v>
      </c>
      <c r="E30" s="101"/>
      <c r="F30" s="3" t="s">
        <v>365</v>
      </c>
      <c r="G30" s="4">
        <v>3195804</v>
      </c>
      <c r="H30" s="3" t="s">
        <v>376</v>
      </c>
      <c r="I30" s="53">
        <v>3201303</v>
      </c>
    </row>
    <row r="31" spans="1:43" x14ac:dyDescent="0.3">
      <c r="B31" s="44">
        <v>45927</v>
      </c>
      <c r="C31" s="3" t="s">
        <v>416</v>
      </c>
      <c r="D31" s="3" t="s">
        <v>69</v>
      </c>
      <c r="E31" s="101"/>
      <c r="F31" s="3" t="s">
        <v>364</v>
      </c>
      <c r="G31" s="4">
        <v>3197000</v>
      </c>
      <c r="H31" s="3" t="s">
        <v>361</v>
      </c>
      <c r="I31" s="4">
        <v>3200002</v>
      </c>
    </row>
    <row r="32" spans="1:43" x14ac:dyDescent="0.3">
      <c r="B32" s="44">
        <v>45927</v>
      </c>
      <c r="C32" s="3" t="s">
        <v>416</v>
      </c>
      <c r="D32" s="3" t="s">
        <v>69</v>
      </c>
      <c r="E32" s="101"/>
      <c r="F32" s="3" t="s">
        <v>362</v>
      </c>
      <c r="G32" s="4">
        <v>3197406</v>
      </c>
      <c r="H32" s="3" t="s">
        <v>393</v>
      </c>
      <c r="I32" s="4">
        <v>3209701</v>
      </c>
    </row>
    <row r="33" spans="2:9" x14ac:dyDescent="0.3">
      <c r="B33" s="44">
        <v>45927</v>
      </c>
      <c r="C33" s="3" t="s">
        <v>416</v>
      </c>
      <c r="D33" s="3" t="s">
        <v>69</v>
      </c>
      <c r="E33" s="101"/>
      <c r="F33" s="3" t="s">
        <v>395</v>
      </c>
      <c r="G33" s="4">
        <v>3197604</v>
      </c>
      <c r="H33" s="3" t="s">
        <v>394</v>
      </c>
      <c r="I33" s="4">
        <v>3201105</v>
      </c>
    </row>
    <row r="34" spans="2:9" x14ac:dyDescent="0.3">
      <c r="B34" s="44">
        <v>45927</v>
      </c>
      <c r="C34" s="3" t="s">
        <v>416</v>
      </c>
      <c r="D34" s="3" t="s">
        <v>69</v>
      </c>
      <c r="E34" s="101"/>
      <c r="F34" s="3" t="s">
        <v>402</v>
      </c>
      <c r="G34" s="4">
        <v>3201407</v>
      </c>
      <c r="H34" s="3" t="s">
        <v>392</v>
      </c>
      <c r="I34" s="53">
        <v>3210706</v>
      </c>
    </row>
    <row r="35" spans="2:9" x14ac:dyDescent="0.3">
      <c r="B35" s="44"/>
      <c r="E35" s="101"/>
      <c r="F35" s="3" t="s">
        <v>418</v>
      </c>
      <c r="G35" s="4" t="s">
        <v>418</v>
      </c>
      <c r="H35" s="3" t="s">
        <v>418</v>
      </c>
      <c r="I35" s="4" t="s">
        <v>418</v>
      </c>
    </row>
    <row r="36" spans="2:9" x14ac:dyDescent="0.3">
      <c r="B36" s="44">
        <v>45934</v>
      </c>
      <c r="C36" s="3" t="s">
        <v>416</v>
      </c>
      <c r="D36" s="3" t="s">
        <v>69</v>
      </c>
      <c r="E36" s="101"/>
      <c r="F36" s="3" t="s">
        <v>365</v>
      </c>
      <c r="G36" s="4">
        <v>3195804</v>
      </c>
      <c r="H36" s="3" t="s">
        <v>395</v>
      </c>
      <c r="I36" s="4">
        <v>3197604</v>
      </c>
    </row>
    <row r="37" spans="2:9" x14ac:dyDescent="0.3">
      <c r="B37" s="44">
        <v>45934</v>
      </c>
      <c r="C37" s="3" t="s">
        <v>416</v>
      </c>
      <c r="D37" s="3" t="s">
        <v>69</v>
      </c>
      <c r="E37" s="101"/>
      <c r="F37" s="3" t="s">
        <v>393</v>
      </c>
      <c r="G37" s="4">
        <v>3209701</v>
      </c>
      <c r="H37" s="3" t="s">
        <v>402</v>
      </c>
      <c r="I37" s="4">
        <v>3201407</v>
      </c>
    </row>
    <row r="38" spans="2:9" x14ac:dyDescent="0.3">
      <c r="B38" s="44">
        <v>45934</v>
      </c>
      <c r="C38" s="3" t="s">
        <v>416</v>
      </c>
      <c r="D38" s="3" t="s">
        <v>69</v>
      </c>
      <c r="E38" s="101"/>
      <c r="F38" s="3" t="s">
        <v>394</v>
      </c>
      <c r="G38" s="4">
        <v>3201105</v>
      </c>
      <c r="H38" s="3" t="s">
        <v>364</v>
      </c>
      <c r="I38" s="4">
        <v>3197000</v>
      </c>
    </row>
    <row r="39" spans="2:9" x14ac:dyDescent="0.3">
      <c r="B39" s="44">
        <v>45934</v>
      </c>
      <c r="C39" s="3" t="s">
        <v>416</v>
      </c>
      <c r="D39" s="3" t="s">
        <v>69</v>
      </c>
      <c r="E39" s="101"/>
      <c r="F39" s="3" t="s">
        <v>392</v>
      </c>
      <c r="G39" s="53">
        <v>3210706</v>
      </c>
      <c r="H39" s="3" t="s">
        <v>376</v>
      </c>
      <c r="I39" s="53">
        <v>3201303</v>
      </c>
    </row>
    <row r="40" spans="2:9" x14ac:dyDescent="0.3">
      <c r="B40" s="44">
        <v>45934</v>
      </c>
      <c r="C40" s="3" t="s">
        <v>416</v>
      </c>
      <c r="D40" s="3" t="s">
        <v>69</v>
      </c>
      <c r="E40" s="101"/>
      <c r="F40" s="3" t="s">
        <v>361</v>
      </c>
      <c r="G40" s="4">
        <v>3200002</v>
      </c>
      <c r="H40" s="3" t="s">
        <v>362</v>
      </c>
      <c r="I40" s="4">
        <v>3197406</v>
      </c>
    </row>
    <row r="41" spans="2:9" x14ac:dyDescent="0.3">
      <c r="B41" s="44"/>
      <c r="E41" s="101"/>
      <c r="F41" s="3" t="s">
        <v>418</v>
      </c>
      <c r="G41" s="4" t="s">
        <v>418</v>
      </c>
      <c r="H41" s="3" t="s">
        <v>418</v>
      </c>
      <c r="I41" s="4" t="s">
        <v>418</v>
      </c>
    </row>
    <row r="42" spans="2:9" x14ac:dyDescent="0.3">
      <c r="B42" s="44">
        <v>45941</v>
      </c>
      <c r="C42" s="3" t="s">
        <v>416</v>
      </c>
      <c r="D42" s="3" t="s">
        <v>69</v>
      </c>
      <c r="E42" s="101"/>
      <c r="F42" s="3" t="s">
        <v>364</v>
      </c>
      <c r="G42" s="4">
        <v>3197000</v>
      </c>
      <c r="H42" s="3" t="s">
        <v>395</v>
      </c>
      <c r="I42" s="4">
        <v>3197604</v>
      </c>
    </row>
    <row r="43" spans="2:9" x14ac:dyDescent="0.3">
      <c r="B43" s="44">
        <v>45941</v>
      </c>
      <c r="C43" s="3" t="s">
        <v>416</v>
      </c>
      <c r="D43" s="3" t="s">
        <v>69</v>
      </c>
      <c r="E43" s="101"/>
      <c r="F43" s="3" t="s">
        <v>362</v>
      </c>
      <c r="G43" s="4">
        <v>3197406</v>
      </c>
      <c r="H43" s="3" t="s">
        <v>394</v>
      </c>
      <c r="I43" s="4">
        <v>3201105</v>
      </c>
    </row>
    <row r="44" spans="2:9" x14ac:dyDescent="0.3">
      <c r="B44" s="44">
        <v>45941</v>
      </c>
      <c r="C44" s="3" t="s">
        <v>416</v>
      </c>
      <c r="D44" s="3" t="s">
        <v>69</v>
      </c>
      <c r="E44" s="101"/>
      <c r="F44" s="3" t="s">
        <v>376</v>
      </c>
      <c r="G44" s="53">
        <v>3201303</v>
      </c>
      <c r="H44" s="3" t="s">
        <v>393</v>
      </c>
      <c r="I44" s="4">
        <v>3209701</v>
      </c>
    </row>
    <row r="45" spans="2:9" x14ac:dyDescent="0.3">
      <c r="B45" s="44">
        <v>45941</v>
      </c>
      <c r="C45" s="3" t="s">
        <v>416</v>
      </c>
      <c r="D45" s="3" t="s">
        <v>69</v>
      </c>
      <c r="E45" s="101"/>
      <c r="F45" s="3" t="s">
        <v>392</v>
      </c>
      <c r="G45" s="53">
        <v>3210706</v>
      </c>
      <c r="H45" s="3" t="s">
        <v>365</v>
      </c>
      <c r="I45" s="4">
        <v>3195804</v>
      </c>
    </row>
    <row r="46" spans="2:9" x14ac:dyDescent="0.3">
      <c r="B46" s="44">
        <v>45941</v>
      </c>
      <c r="C46" s="3" t="s">
        <v>416</v>
      </c>
      <c r="D46" s="3" t="s">
        <v>69</v>
      </c>
      <c r="E46" s="101"/>
      <c r="F46" s="3" t="s">
        <v>402</v>
      </c>
      <c r="G46" s="4">
        <v>3201407</v>
      </c>
      <c r="H46" s="3" t="s">
        <v>361</v>
      </c>
      <c r="I46" s="4">
        <v>3200002</v>
      </c>
    </row>
    <row r="47" spans="2:9" x14ac:dyDescent="0.3">
      <c r="B47" s="44"/>
      <c r="E47" s="101"/>
      <c r="F47" s="3" t="s">
        <v>418</v>
      </c>
      <c r="G47" s="4" t="s">
        <v>418</v>
      </c>
      <c r="H47" s="3" t="s">
        <v>418</v>
      </c>
      <c r="I47" s="4" t="s">
        <v>418</v>
      </c>
    </row>
    <row r="48" spans="2:9" x14ac:dyDescent="0.3">
      <c r="B48" s="44">
        <v>45962</v>
      </c>
      <c r="C48" s="3" t="s">
        <v>416</v>
      </c>
      <c r="D48" s="3" t="s">
        <v>69</v>
      </c>
      <c r="E48" s="101"/>
      <c r="F48" s="3" t="s">
        <v>365</v>
      </c>
      <c r="G48" s="4">
        <v>3195804</v>
      </c>
      <c r="H48" s="3" t="s">
        <v>364</v>
      </c>
      <c r="I48" s="4">
        <v>3197000</v>
      </c>
    </row>
    <row r="49" spans="2:14" x14ac:dyDescent="0.3">
      <c r="B49" s="44">
        <v>45962</v>
      </c>
      <c r="C49" s="3" t="s">
        <v>416</v>
      </c>
      <c r="D49" s="3" t="s">
        <v>69</v>
      </c>
      <c r="E49" s="101"/>
      <c r="F49" s="3" t="s">
        <v>393</v>
      </c>
      <c r="G49" s="4">
        <v>3209701</v>
      </c>
      <c r="H49" s="3" t="s">
        <v>392</v>
      </c>
      <c r="I49" s="53">
        <v>3210706</v>
      </c>
      <c r="J49" s="4"/>
      <c r="K49" s="4"/>
    </row>
    <row r="50" spans="2:14" x14ac:dyDescent="0.3">
      <c r="B50" s="44">
        <v>45962</v>
      </c>
      <c r="C50" s="3" t="s">
        <v>416</v>
      </c>
      <c r="D50" s="3" t="s">
        <v>69</v>
      </c>
      <c r="E50" s="101"/>
      <c r="F50" s="3" t="s">
        <v>394</v>
      </c>
      <c r="G50" s="4">
        <v>3201105</v>
      </c>
      <c r="H50" s="3" t="s">
        <v>402</v>
      </c>
      <c r="I50" s="4">
        <v>3201407</v>
      </c>
    </row>
    <row r="51" spans="2:14" x14ac:dyDescent="0.3">
      <c r="B51" s="44">
        <v>45962</v>
      </c>
      <c r="C51" s="3" t="s">
        <v>416</v>
      </c>
      <c r="D51" s="3" t="s">
        <v>69</v>
      </c>
      <c r="E51" s="101"/>
      <c r="F51" s="3" t="s">
        <v>395</v>
      </c>
      <c r="G51" s="4">
        <v>3197604</v>
      </c>
      <c r="H51" s="3" t="s">
        <v>362</v>
      </c>
      <c r="I51" s="4">
        <v>3197406</v>
      </c>
    </row>
    <row r="52" spans="2:14" x14ac:dyDescent="0.3">
      <c r="B52" s="44">
        <v>45962</v>
      </c>
      <c r="C52" s="3" t="s">
        <v>416</v>
      </c>
      <c r="D52" s="3" t="s">
        <v>69</v>
      </c>
      <c r="E52" s="101"/>
      <c r="F52" s="3" t="s">
        <v>361</v>
      </c>
      <c r="G52" s="4">
        <v>3200002</v>
      </c>
      <c r="H52" s="3" t="s">
        <v>376</v>
      </c>
      <c r="I52" s="53">
        <v>3201303</v>
      </c>
    </row>
    <row r="53" spans="2:14" x14ac:dyDescent="0.3">
      <c r="B53" s="44"/>
      <c r="E53" s="101"/>
      <c r="F53" s="3" t="s">
        <v>418</v>
      </c>
      <c r="G53" s="4" t="s">
        <v>418</v>
      </c>
      <c r="H53" s="3" t="s">
        <v>418</v>
      </c>
      <c r="I53" s="4" t="s">
        <v>418</v>
      </c>
    </row>
    <row r="54" spans="2:14" x14ac:dyDescent="0.3">
      <c r="B54" s="44">
        <v>45969</v>
      </c>
      <c r="C54" s="3" t="s">
        <v>416</v>
      </c>
      <c r="D54" s="3" t="s">
        <v>69</v>
      </c>
      <c r="E54" s="101"/>
      <c r="F54" s="3" t="s">
        <v>393</v>
      </c>
      <c r="G54" s="4">
        <v>3209701</v>
      </c>
      <c r="H54" s="3" t="s">
        <v>365</v>
      </c>
      <c r="I54" s="4">
        <v>3195804</v>
      </c>
    </row>
    <row r="55" spans="2:14" x14ac:dyDescent="0.3">
      <c r="B55" s="44">
        <v>45969</v>
      </c>
      <c r="C55" s="3" t="s">
        <v>416</v>
      </c>
      <c r="D55" s="3" t="s">
        <v>69</v>
      </c>
      <c r="E55" s="101"/>
      <c r="F55" s="3" t="s">
        <v>362</v>
      </c>
      <c r="G55" s="4">
        <v>3197406</v>
      </c>
      <c r="H55" s="3" t="s">
        <v>364</v>
      </c>
      <c r="I55" s="4">
        <v>3197000</v>
      </c>
    </row>
    <row r="56" spans="2:14" x14ac:dyDescent="0.3">
      <c r="B56" s="44">
        <v>45969</v>
      </c>
      <c r="C56" s="3" t="s">
        <v>416</v>
      </c>
      <c r="D56" s="3" t="s">
        <v>69</v>
      </c>
      <c r="E56" s="101"/>
      <c r="F56" s="3" t="s">
        <v>376</v>
      </c>
      <c r="G56" s="53">
        <v>3201303</v>
      </c>
      <c r="H56" s="3" t="s">
        <v>394</v>
      </c>
      <c r="I56" s="4">
        <v>3201105</v>
      </c>
    </row>
    <row r="57" spans="2:14" x14ac:dyDescent="0.3">
      <c r="B57" s="44">
        <v>45969</v>
      </c>
      <c r="C57" s="3" t="s">
        <v>416</v>
      </c>
      <c r="D57" s="3" t="s">
        <v>69</v>
      </c>
      <c r="E57" s="101"/>
      <c r="F57" s="3" t="s">
        <v>392</v>
      </c>
      <c r="G57" s="53">
        <v>3210706</v>
      </c>
      <c r="H57" s="3" t="s">
        <v>361</v>
      </c>
      <c r="I57" s="4">
        <v>3200002</v>
      </c>
    </row>
    <row r="58" spans="2:14" x14ac:dyDescent="0.3">
      <c r="B58" s="44">
        <v>45969</v>
      </c>
      <c r="C58" s="3" t="s">
        <v>416</v>
      </c>
      <c r="D58" s="3" t="s">
        <v>69</v>
      </c>
      <c r="E58" s="101"/>
      <c r="F58" s="3" t="s">
        <v>402</v>
      </c>
      <c r="G58" s="4">
        <v>3201407</v>
      </c>
      <c r="H58" s="3" t="s">
        <v>395</v>
      </c>
      <c r="I58" s="4">
        <v>3197604</v>
      </c>
    </row>
    <row r="59" spans="2:14" x14ac:dyDescent="0.3">
      <c r="B59" s="4"/>
      <c r="E59" s="101"/>
      <c r="F59" s="3" t="s">
        <v>418</v>
      </c>
      <c r="G59" s="4" t="s">
        <v>418</v>
      </c>
      <c r="H59" s="3" t="s">
        <v>418</v>
      </c>
      <c r="I59" s="4" t="s">
        <v>418</v>
      </c>
    </row>
    <row r="60" spans="2:14" x14ac:dyDescent="0.3">
      <c r="B60" s="44">
        <v>45976</v>
      </c>
      <c r="C60" s="3" t="s">
        <v>416</v>
      </c>
      <c r="D60" s="3" t="s">
        <v>69</v>
      </c>
      <c r="E60" s="101"/>
      <c r="F60" s="3" t="s">
        <v>365</v>
      </c>
      <c r="G60" s="4">
        <v>3195804</v>
      </c>
      <c r="H60" s="3" t="s">
        <v>362</v>
      </c>
      <c r="I60" s="4">
        <v>3197406</v>
      </c>
    </row>
    <row r="61" spans="2:14" x14ac:dyDescent="0.3">
      <c r="B61" s="44">
        <v>45976</v>
      </c>
      <c r="C61" s="3" t="s">
        <v>416</v>
      </c>
      <c r="D61" s="3" t="s">
        <v>69</v>
      </c>
      <c r="E61" s="101"/>
      <c r="F61" s="3" t="s">
        <v>394</v>
      </c>
      <c r="G61" s="4">
        <v>3201105</v>
      </c>
      <c r="H61" s="3" t="s">
        <v>392</v>
      </c>
      <c r="I61" s="53">
        <v>3210706</v>
      </c>
    </row>
    <row r="62" spans="2:14" x14ac:dyDescent="0.3">
      <c r="B62" s="44">
        <v>45976</v>
      </c>
      <c r="C62" s="3" t="s">
        <v>416</v>
      </c>
      <c r="D62" s="3" t="s">
        <v>69</v>
      </c>
      <c r="E62" s="101"/>
      <c r="F62" s="3" t="s">
        <v>364</v>
      </c>
      <c r="G62" s="4">
        <v>3197000</v>
      </c>
      <c r="H62" s="3" t="s">
        <v>402</v>
      </c>
      <c r="I62" s="4">
        <v>3201407</v>
      </c>
      <c r="J62" s="4"/>
      <c r="K62" s="4"/>
      <c r="L62" s="4"/>
      <c r="M62" s="4"/>
      <c r="N62" s="4"/>
    </row>
    <row r="63" spans="2:14" x14ac:dyDescent="0.3">
      <c r="B63" s="44">
        <v>45976</v>
      </c>
      <c r="C63" s="3" t="s">
        <v>416</v>
      </c>
      <c r="D63" s="3" t="s">
        <v>69</v>
      </c>
      <c r="E63" s="101"/>
      <c r="F63" s="3" t="s">
        <v>376</v>
      </c>
      <c r="G63" s="53">
        <v>3201303</v>
      </c>
      <c r="H63" s="3" t="s">
        <v>395</v>
      </c>
      <c r="I63" s="4">
        <v>3197604</v>
      </c>
    </row>
    <row r="64" spans="2:14" x14ac:dyDescent="0.3">
      <c r="B64" s="44">
        <v>45976</v>
      </c>
      <c r="C64" s="3" t="s">
        <v>416</v>
      </c>
      <c r="D64" s="3" t="s">
        <v>69</v>
      </c>
      <c r="E64" s="101"/>
      <c r="F64" s="3" t="s">
        <v>361</v>
      </c>
      <c r="G64" s="4">
        <v>3200002</v>
      </c>
      <c r="H64" s="3" t="s">
        <v>393</v>
      </c>
      <c r="I64" s="4">
        <v>3209701</v>
      </c>
    </row>
    <row r="65" spans="2:11" x14ac:dyDescent="0.3">
      <c r="B65" s="4"/>
      <c r="E65" s="101"/>
      <c r="F65" s="3" t="s">
        <v>418</v>
      </c>
      <c r="G65" s="4" t="s">
        <v>418</v>
      </c>
      <c r="H65" s="3" t="s">
        <v>418</v>
      </c>
      <c r="I65" s="4" t="s">
        <v>418</v>
      </c>
    </row>
    <row r="66" spans="2:11" x14ac:dyDescent="0.3">
      <c r="B66" s="44">
        <v>45983</v>
      </c>
      <c r="C66" s="3" t="s">
        <v>416</v>
      </c>
      <c r="D66" s="3" t="s">
        <v>69</v>
      </c>
      <c r="E66" s="101"/>
      <c r="F66" s="3" t="s">
        <v>393</v>
      </c>
      <c r="G66" s="4">
        <v>3209701</v>
      </c>
      <c r="H66" s="3" t="s">
        <v>394</v>
      </c>
      <c r="I66" s="4">
        <v>3201105</v>
      </c>
    </row>
    <row r="67" spans="2:11" x14ac:dyDescent="0.3">
      <c r="B67" s="44">
        <v>45983</v>
      </c>
      <c r="C67" s="3" t="s">
        <v>416</v>
      </c>
      <c r="D67" s="3" t="s">
        <v>69</v>
      </c>
      <c r="E67" s="101"/>
      <c r="F67" s="3" t="s">
        <v>364</v>
      </c>
      <c r="G67" s="4">
        <v>3197000</v>
      </c>
      <c r="H67" s="3" t="s">
        <v>376</v>
      </c>
      <c r="I67" s="53">
        <v>3201303</v>
      </c>
    </row>
    <row r="68" spans="2:11" x14ac:dyDescent="0.3">
      <c r="B68" s="44">
        <v>45983</v>
      </c>
      <c r="C68" s="3" t="s">
        <v>416</v>
      </c>
      <c r="D68" s="3" t="s">
        <v>69</v>
      </c>
      <c r="E68" s="101"/>
      <c r="F68" s="3" t="s">
        <v>395</v>
      </c>
      <c r="G68" s="4">
        <v>3197604</v>
      </c>
      <c r="H68" s="3" t="s">
        <v>392</v>
      </c>
      <c r="I68" s="53">
        <v>3210706</v>
      </c>
    </row>
    <row r="69" spans="2:11" x14ac:dyDescent="0.3">
      <c r="B69" s="44">
        <v>45983</v>
      </c>
      <c r="C69" s="3" t="s">
        <v>416</v>
      </c>
      <c r="D69" s="3" t="s">
        <v>69</v>
      </c>
      <c r="E69" s="101"/>
      <c r="F69" s="3" t="s">
        <v>362</v>
      </c>
      <c r="G69" s="4">
        <v>3197406</v>
      </c>
      <c r="H69" s="3" t="s">
        <v>402</v>
      </c>
      <c r="I69" s="4">
        <v>3201407</v>
      </c>
    </row>
    <row r="70" spans="2:11" x14ac:dyDescent="0.3">
      <c r="B70" s="44">
        <v>45983</v>
      </c>
      <c r="C70" s="3" t="s">
        <v>416</v>
      </c>
      <c r="D70" s="3" t="s">
        <v>69</v>
      </c>
      <c r="E70" s="101"/>
      <c r="F70" s="3" t="s">
        <v>361</v>
      </c>
      <c r="G70" s="4">
        <v>3200002</v>
      </c>
      <c r="H70" s="3" t="s">
        <v>365</v>
      </c>
      <c r="I70" s="4">
        <v>3195804</v>
      </c>
      <c r="J70" s="4"/>
      <c r="K70" s="4"/>
    </row>
    <row r="71" spans="2:11" x14ac:dyDescent="0.3">
      <c r="B71" s="4"/>
      <c r="E71" s="101"/>
      <c r="F71" s="3" t="s">
        <v>418</v>
      </c>
      <c r="G71" s="4" t="s">
        <v>418</v>
      </c>
      <c r="H71" s="3" t="s">
        <v>418</v>
      </c>
      <c r="I71" s="4" t="s">
        <v>418</v>
      </c>
    </row>
    <row r="72" spans="2:11" x14ac:dyDescent="0.3">
      <c r="B72" s="44">
        <v>45990</v>
      </c>
      <c r="C72" s="3" t="s">
        <v>416</v>
      </c>
      <c r="D72" s="3" t="s">
        <v>69</v>
      </c>
      <c r="E72" s="101"/>
      <c r="F72" s="3" t="s">
        <v>402</v>
      </c>
      <c r="G72" s="4">
        <v>3201407</v>
      </c>
      <c r="H72" s="3" t="s">
        <v>365</v>
      </c>
      <c r="I72" s="4">
        <v>3195804</v>
      </c>
    </row>
    <row r="73" spans="2:11" x14ac:dyDescent="0.3">
      <c r="B73" s="44">
        <v>45990</v>
      </c>
      <c r="C73" s="3" t="s">
        <v>416</v>
      </c>
      <c r="D73" s="3" t="s">
        <v>69</v>
      </c>
      <c r="E73" s="101"/>
      <c r="F73" s="3" t="s">
        <v>394</v>
      </c>
      <c r="G73" s="4">
        <v>3201105</v>
      </c>
      <c r="H73" s="3" t="s">
        <v>361</v>
      </c>
      <c r="I73" s="4">
        <v>3200002</v>
      </c>
    </row>
    <row r="74" spans="2:11" x14ac:dyDescent="0.3">
      <c r="B74" s="44">
        <v>45990</v>
      </c>
      <c r="C74" s="3" t="s">
        <v>416</v>
      </c>
      <c r="D74" s="3" t="s">
        <v>69</v>
      </c>
      <c r="E74" s="101"/>
      <c r="F74" s="3" t="s">
        <v>392</v>
      </c>
      <c r="G74" s="53">
        <v>3210706</v>
      </c>
      <c r="H74" s="3" t="s">
        <v>364</v>
      </c>
      <c r="I74" s="4">
        <v>3197000</v>
      </c>
    </row>
    <row r="75" spans="2:11" x14ac:dyDescent="0.3">
      <c r="B75" s="44">
        <v>45990</v>
      </c>
      <c r="C75" s="3" t="s">
        <v>416</v>
      </c>
      <c r="D75" s="3" t="s">
        <v>69</v>
      </c>
      <c r="E75" s="101"/>
      <c r="F75" s="3" t="s">
        <v>376</v>
      </c>
      <c r="G75" s="53">
        <v>3201303</v>
      </c>
      <c r="H75" s="3" t="s">
        <v>362</v>
      </c>
      <c r="I75" s="4">
        <v>3197406</v>
      </c>
    </row>
    <row r="76" spans="2:11" x14ac:dyDescent="0.3">
      <c r="B76" s="44">
        <v>45990</v>
      </c>
      <c r="C76" s="3" t="s">
        <v>416</v>
      </c>
      <c r="D76" s="3" t="s">
        <v>69</v>
      </c>
      <c r="E76" s="101"/>
      <c r="F76" s="3" t="s">
        <v>395</v>
      </c>
      <c r="G76" s="4">
        <v>3197604</v>
      </c>
      <c r="H76" s="3" t="s">
        <v>393</v>
      </c>
      <c r="I76" s="4">
        <v>3209701</v>
      </c>
    </row>
    <row r="77" spans="2:11" x14ac:dyDescent="0.3">
      <c r="B77" s="44"/>
      <c r="E77" s="101"/>
      <c r="F77" s="3" t="s">
        <v>418</v>
      </c>
      <c r="G77" s="4" t="s">
        <v>418</v>
      </c>
      <c r="H77" s="3" t="s">
        <v>418</v>
      </c>
      <c r="I77" s="4" t="s">
        <v>418</v>
      </c>
      <c r="J77" s="4"/>
      <c r="K77" s="4"/>
    </row>
    <row r="78" spans="2:11" x14ac:dyDescent="0.3">
      <c r="B78" s="44">
        <v>46039</v>
      </c>
      <c r="C78" s="3" t="s">
        <v>416</v>
      </c>
      <c r="D78" s="3" t="s">
        <v>69</v>
      </c>
      <c r="E78" s="101"/>
      <c r="F78" s="3" t="s">
        <v>365</v>
      </c>
      <c r="G78" s="4">
        <v>3195804</v>
      </c>
      <c r="H78" s="3" t="s">
        <v>394</v>
      </c>
      <c r="I78" s="4">
        <v>3201105</v>
      </c>
    </row>
    <row r="79" spans="2:11" x14ac:dyDescent="0.3">
      <c r="B79" s="44">
        <v>46039</v>
      </c>
      <c r="C79" s="3" t="s">
        <v>416</v>
      </c>
      <c r="D79" s="3" t="s">
        <v>69</v>
      </c>
      <c r="E79" s="101"/>
      <c r="F79" s="3" t="s">
        <v>364</v>
      </c>
      <c r="G79" s="4">
        <v>3197000</v>
      </c>
      <c r="H79" s="3" t="s">
        <v>393</v>
      </c>
      <c r="I79" s="4">
        <v>3209701</v>
      </c>
    </row>
    <row r="80" spans="2:11" x14ac:dyDescent="0.3">
      <c r="B80" s="44">
        <v>46039</v>
      </c>
      <c r="C80" s="3" t="s">
        <v>416</v>
      </c>
      <c r="D80" s="3" t="s">
        <v>69</v>
      </c>
      <c r="E80" s="101"/>
      <c r="F80" s="3" t="s">
        <v>362</v>
      </c>
      <c r="G80" s="4">
        <v>3197406</v>
      </c>
      <c r="H80" s="3" t="s">
        <v>392</v>
      </c>
      <c r="I80" s="53">
        <v>3210706</v>
      </c>
    </row>
    <row r="81" spans="2:11" x14ac:dyDescent="0.3">
      <c r="B81" s="44">
        <v>46039</v>
      </c>
      <c r="C81" s="3" t="s">
        <v>416</v>
      </c>
      <c r="D81" s="3" t="s">
        <v>69</v>
      </c>
      <c r="E81" s="101"/>
      <c r="F81" s="3" t="s">
        <v>361</v>
      </c>
      <c r="G81" s="4">
        <v>3200002</v>
      </c>
      <c r="H81" s="3" t="s">
        <v>395</v>
      </c>
      <c r="I81" s="4">
        <v>3197604</v>
      </c>
      <c r="J81" s="4"/>
      <c r="K81" s="4"/>
    </row>
    <row r="82" spans="2:11" x14ac:dyDescent="0.3">
      <c r="B82" s="44">
        <v>46039</v>
      </c>
      <c r="C82" s="3" t="s">
        <v>416</v>
      </c>
      <c r="D82" s="3" t="s">
        <v>69</v>
      </c>
      <c r="E82" s="101"/>
      <c r="F82" s="3" t="s">
        <v>402</v>
      </c>
      <c r="G82" s="4">
        <v>3201407</v>
      </c>
      <c r="H82" s="3" t="s">
        <v>376</v>
      </c>
      <c r="I82" s="53">
        <v>3201303</v>
      </c>
    </row>
    <row r="83" spans="2:11" x14ac:dyDescent="0.3">
      <c r="B83" s="44"/>
      <c r="E83" s="101"/>
      <c r="F83" s="3" t="s">
        <v>418</v>
      </c>
      <c r="G83" s="4" t="s">
        <v>418</v>
      </c>
      <c r="H83" s="3" t="s">
        <v>418</v>
      </c>
      <c r="I83" s="4" t="s">
        <v>418</v>
      </c>
    </row>
    <row r="84" spans="2:11" x14ac:dyDescent="0.3">
      <c r="B84" s="44">
        <v>46046</v>
      </c>
      <c r="C84" s="3" t="s">
        <v>416</v>
      </c>
      <c r="D84" s="3" t="s">
        <v>69</v>
      </c>
      <c r="E84" s="101"/>
      <c r="F84" s="3" t="s">
        <v>393</v>
      </c>
      <c r="G84" s="4">
        <v>3209701</v>
      </c>
      <c r="H84" s="3" t="s">
        <v>362</v>
      </c>
      <c r="I84" s="4">
        <v>3197406</v>
      </c>
    </row>
    <row r="85" spans="2:11" x14ac:dyDescent="0.3">
      <c r="B85" s="44">
        <v>46046</v>
      </c>
      <c r="C85" s="3" t="s">
        <v>416</v>
      </c>
      <c r="D85" s="3" t="s">
        <v>69</v>
      </c>
      <c r="E85" s="101"/>
      <c r="F85" s="3" t="s">
        <v>394</v>
      </c>
      <c r="G85" s="4">
        <v>3201105</v>
      </c>
      <c r="H85" s="3" t="s">
        <v>395</v>
      </c>
      <c r="I85" s="4">
        <v>3197604</v>
      </c>
    </row>
    <row r="86" spans="2:11" x14ac:dyDescent="0.3">
      <c r="B86" s="44">
        <v>46046</v>
      </c>
      <c r="C86" s="3" t="s">
        <v>416</v>
      </c>
      <c r="D86" s="3" t="s">
        <v>69</v>
      </c>
      <c r="E86" s="101"/>
      <c r="F86" s="3" t="s">
        <v>376</v>
      </c>
      <c r="G86" s="53">
        <v>3201303</v>
      </c>
      <c r="H86" s="3" t="s">
        <v>365</v>
      </c>
      <c r="I86" s="4">
        <v>3195804</v>
      </c>
    </row>
    <row r="87" spans="2:11" x14ac:dyDescent="0.3">
      <c r="B87" s="44">
        <v>46046</v>
      </c>
      <c r="C87" s="3" t="s">
        <v>416</v>
      </c>
      <c r="D87" s="3" t="s">
        <v>69</v>
      </c>
      <c r="E87" s="101"/>
      <c r="F87" s="3" t="s">
        <v>392</v>
      </c>
      <c r="G87" s="53">
        <v>3210706</v>
      </c>
      <c r="H87" s="3" t="s">
        <v>402</v>
      </c>
      <c r="I87" s="4">
        <v>3201407</v>
      </c>
    </row>
    <row r="88" spans="2:11" x14ac:dyDescent="0.3">
      <c r="B88" s="44">
        <v>46046</v>
      </c>
      <c r="C88" s="3" t="s">
        <v>416</v>
      </c>
      <c r="D88" s="3" t="s">
        <v>69</v>
      </c>
      <c r="E88" s="101"/>
      <c r="F88" s="3" t="s">
        <v>361</v>
      </c>
      <c r="G88" s="4">
        <v>3200002</v>
      </c>
      <c r="H88" s="3" t="s">
        <v>364</v>
      </c>
      <c r="I88" s="4">
        <v>3197000</v>
      </c>
    </row>
    <row r="89" spans="2:11" x14ac:dyDescent="0.3">
      <c r="B89" s="44"/>
      <c r="E89" s="101"/>
      <c r="F89" s="3" t="s">
        <v>418</v>
      </c>
      <c r="G89" s="4" t="s">
        <v>418</v>
      </c>
      <c r="H89" s="3" t="s">
        <v>418</v>
      </c>
      <c r="I89" s="4" t="s">
        <v>418</v>
      </c>
    </row>
    <row r="90" spans="2:11" x14ac:dyDescent="0.3">
      <c r="B90" s="44">
        <v>46053</v>
      </c>
      <c r="C90" s="3" t="s">
        <v>416</v>
      </c>
      <c r="D90" s="3" t="s">
        <v>69</v>
      </c>
      <c r="E90" s="101"/>
      <c r="F90" s="3" t="s">
        <v>364</v>
      </c>
      <c r="G90" s="4">
        <v>3197000</v>
      </c>
      <c r="H90" s="3" t="s">
        <v>394</v>
      </c>
      <c r="I90" s="4">
        <v>3201105</v>
      </c>
    </row>
    <row r="91" spans="2:11" x14ac:dyDescent="0.3">
      <c r="B91" s="44">
        <v>46053</v>
      </c>
      <c r="C91" s="3" t="s">
        <v>416</v>
      </c>
      <c r="D91" s="3" t="s">
        <v>69</v>
      </c>
      <c r="E91" s="101"/>
      <c r="F91" s="3" t="s">
        <v>362</v>
      </c>
      <c r="G91" s="4">
        <v>3197406</v>
      </c>
      <c r="H91" s="3" t="s">
        <v>361</v>
      </c>
      <c r="I91" s="4">
        <v>3200002</v>
      </c>
    </row>
    <row r="92" spans="2:11" x14ac:dyDescent="0.3">
      <c r="B92" s="44">
        <v>46053</v>
      </c>
      <c r="C92" s="3" t="s">
        <v>416</v>
      </c>
      <c r="D92" s="3" t="s">
        <v>69</v>
      </c>
      <c r="E92" s="101"/>
      <c r="F92" s="3" t="s">
        <v>376</v>
      </c>
      <c r="G92" s="53">
        <v>3201303</v>
      </c>
      <c r="H92" s="3" t="s">
        <v>392</v>
      </c>
      <c r="I92" s="53">
        <v>3210706</v>
      </c>
    </row>
    <row r="93" spans="2:11" x14ac:dyDescent="0.3">
      <c r="B93" s="44">
        <v>46053</v>
      </c>
      <c r="C93" s="3" t="s">
        <v>416</v>
      </c>
      <c r="D93" s="3" t="s">
        <v>69</v>
      </c>
      <c r="E93" s="101"/>
      <c r="F93" s="3" t="s">
        <v>395</v>
      </c>
      <c r="G93" s="4">
        <v>3197604</v>
      </c>
      <c r="H93" s="3" t="s">
        <v>365</v>
      </c>
      <c r="I93" s="4">
        <v>3195804</v>
      </c>
    </row>
    <row r="94" spans="2:11" x14ac:dyDescent="0.3">
      <c r="B94" s="44">
        <v>46053</v>
      </c>
      <c r="C94" s="3" t="s">
        <v>416</v>
      </c>
      <c r="D94" s="3" t="s">
        <v>69</v>
      </c>
      <c r="E94" s="101"/>
      <c r="F94" s="3" t="s">
        <v>402</v>
      </c>
      <c r="G94" s="4">
        <v>3201407</v>
      </c>
      <c r="H94" s="3" t="s">
        <v>393</v>
      </c>
      <c r="I94" s="4">
        <v>3209701</v>
      </c>
    </row>
    <row r="95" spans="2:11" x14ac:dyDescent="0.3">
      <c r="B95" s="44"/>
      <c r="E95" s="101"/>
      <c r="F95" s="3" t="s">
        <v>418</v>
      </c>
      <c r="G95" s="4" t="s">
        <v>418</v>
      </c>
      <c r="H95" s="3" t="s">
        <v>418</v>
      </c>
      <c r="I95" s="4" t="s">
        <v>418</v>
      </c>
    </row>
    <row r="96" spans="2:11" x14ac:dyDescent="0.3">
      <c r="B96" s="44">
        <v>46060</v>
      </c>
      <c r="C96" s="3" t="s">
        <v>416</v>
      </c>
      <c r="D96" s="3" t="s">
        <v>69</v>
      </c>
      <c r="E96" s="101"/>
      <c r="F96" s="3" t="s">
        <v>365</v>
      </c>
      <c r="G96" s="4">
        <v>3195804</v>
      </c>
      <c r="H96" s="3" t="s">
        <v>392</v>
      </c>
      <c r="I96" s="53">
        <v>3210706</v>
      </c>
    </row>
    <row r="97" spans="2:9" x14ac:dyDescent="0.3">
      <c r="B97" s="44">
        <v>46060</v>
      </c>
      <c r="C97" s="3" t="s">
        <v>416</v>
      </c>
      <c r="D97" s="3" t="s">
        <v>69</v>
      </c>
      <c r="E97" s="101"/>
      <c r="F97" s="3" t="s">
        <v>393</v>
      </c>
      <c r="G97" s="4">
        <v>3209701</v>
      </c>
      <c r="H97" s="3" t="s">
        <v>376</v>
      </c>
      <c r="I97" s="53">
        <v>3201303</v>
      </c>
    </row>
    <row r="98" spans="2:9" x14ac:dyDescent="0.3">
      <c r="B98" s="44">
        <v>46060</v>
      </c>
      <c r="C98" s="3" t="s">
        <v>416</v>
      </c>
      <c r="D98" s="3" t="s">
        <v>69</v>
      </c>
      <c r="E98" s="101"/>
      <c r="F98" s="3" t="s">
        <v>394</v>
      </c>
      <c r="G98" s="4">
        <v>3201105</v>
      </c>
      <c r="H98" s="3" t="s">
        <v>362</v>
      </c>
      <c r="I98" s="4">
        <v>3197406</v>
      </c>
    </row>
    <row r="99" spans="2:9" x14ac:dyDescent="0.3">
      <c r="B99" s="44">
        <v>46060</v>
      </c>
      <c r="C99" s="3" t="s">
        <v>416</v>
      </c>
      <c r="D99" s="3" t="s">
        <v>69</v>
      </c>
      <c r="E99" s="101"/>
      <c r="F99" s="3" t="s">
        <v>395</v>
      </c>
      <c r="G99" s="4">
        <v>3197604</v>
      </c>
      <c r="H99" s="3" t="s">
        <v>364</v>
      </c>
      <c r="I99" s="4">
        <v>3197000</v>
      </c>
    </row>
    <row r="100" spans="2:9" x14ac:dyDescent="0.3">
      <c r="B100" s="44">
        <v>46060</v>
      </c>
      <c r="C100" s="3" t="s">
        <v>416</v>
      </c>
      <c r="D100" s="3" t="s">
        <v>69</v>
      </c>
      <c r="E100" s="101"/>
      <c r="F100" s="3" t="s">
        <v>361</v>
      </c>
      <c r="G100" s="4">
        <v>3200002</v>
      </c>
      <c r="H100" s="3" t="s">
        <v>402</v>
      </c>
      <c r="I100" s="4">
        <v>3201407</v>
      </c>
    </row>
    <row r="101" spans="2:9" x14ac:dyDescent="0.3">
      <c r="B101" s="44"/>
      <c r="E101" s="101"/>
      <c r="F101" s="3" t="s">
        <v>418</v>
      </c>
      <c r="G101" s="4" t="s">
        <v>418</v>
      </c>
      <c r="H101" s="3" t="s">
        <v>418</v>
      </c>
      <c r="I101" s="4" t="s">
        <v>418</v>
      </c>
    </row>
    <row r="102" spans="2:9" x14ac:dyDescent="0.3">
      <c r="B102" s="44">
        <v>46081</v>
      </c>
      <c r="C102" s="3" t="s">
        <v>416</v>
      </c>
      <c r="D102" s="3" t="s">
        <v>69</v>
      </c>
      <c r="E102" s="101"/>
      <c r="F102" s="3" t="s">
        <v>364</v>
      </c>
      <c r="G102" s="4">
        <v>3197000</v>
      </c>
      <c r="H102" s="3" t="s">
        <v>365</v>
      </c>
      <c r="I102" s="4">
        <v>3195804</v>
      </c>
    </row>
    <row r="103" spans="2:9" x14ac:dyDescent="0.3">
      <c r="B103" s="44">
        <v>46081</v>
      </c>
      <c r="C103" s="3" t="s">
        <v>416</v>
      </c>
      <c r="D103" s="3" t="s">
        <v>69</v>
      </c>
      <c r="E103" s="101"/>
      <c r="F103" s="3" t="s">
        <v>362</v>
      </c>
      <c r="G103" s="4">
        <v>3197406</v>
      </c>
      <c r="H103" s="3" t="s">
        <v>395</v>
      </c>
      <c r="I103" s="4">
        <v>3197604</v>
      </c>
    </row>
    <row r="104" spans="2:9" x14ac:dyDescent="0.3">
      <c r="B104" s="44">
        <v>46081</v>
      </c>
      <c r="C104" s="3" t="s">
        <v>416</v>
      </c>
      <c r="D104" s="3" t="s">
        <v>69</v>
      </c>
      <c r="E104" s="101"/>
      <c r="F104" s="3" t="s">
        <v>376</v>
      </c>
      <c r="G104" s="53">
        <v>3201303</v>
      </c>
      <c r="H104" s="3" t="s">
        <v>361</v>
      </c>
      <c r="I104" s="4">
        <v>3200002</v>
      </c>
    </row>
    <row r="105" spans="2:9" x14ac:dyDescent="0.3">
      <c r="B105" s="44">
        <v>46081</v>
      </c>
      <c r="C105" s="3" t="s">
        <v>416</v>
      </c>
      <c r="D105" s="3" t="s">
        <v>69</v>
      </c>
      <c r="E105" s="101"/>
      <c r="F105" s="3" t="s">
        <v>392</v>
      </c>
      <c r="G105" s="53">
        <v>3210706</v>
      </c>
      <c r="H105" s="3" t="s">
        <v>393</v>
      </c>
      <c r="I105" s="4">
        <v>3209701</v>
      </c>
    </row>
    <row r="106" spans="2:9" x14ac:dyDescent="0.3">
      <c r="B106" s="44">
        <v>46081</v>
      </c>
      <c r="C106" s="3" t="s">
        <v>416</v>
      </c>
      <c r="D106" s="3" t="s">
        <v>69</v>
      </c>
      <c r="E106" s="101"/>
      <c r="F106" s="3" t="s">
        <v>402</v>
      </c>
      <c r="G106" s="4">
        <v>3201407</v>
      </c>
      <c r="H106" s="3" t="s">
        <v>394</v>
      </c>
      <c r="I106" s="4">
        <v>3201105</v>
      </c>
    </row>
    <row r="107" spans="2:9" x14ac:dyDescent="0.3">
      <c r="B107" s="4"/>
      <c r="E107" s="101"/>
      <c r="F107" s="3" t="s">
        <v>418</v>
      </c>
      <c r="G107" s="4" t="s">
        <v>418</v>
      </c>
      <c r="H107" s="3" t="s">
        <v>418</v>
      </c>
      <c r="I107" s="4" t="s">
        <v>418</v>
      </c>
    </row>
    <row r="108" spans="2:9" x14ac:dyDescent="0.3">
      <c r="B108" s="44">
        <v>46088</v>
      </c>
      <c r="C108" s="3" t="s">
        <v>416</v>
      </c>
      <c r="D108" s="3" t="s">
        <v>69</v>
      </c>
      <c r="E108" s="101"/>
      <c r="F108" s="3" t="s">
        <v>365</v>
      </c>
      <c r="G108" s="4">
        <v>3195804</v>
      </c>
      <c r="H108" s="3" t="s">
        <v>393</v>
      </c>
      <c r="I108" s="4">
        <v>3209701</v>
      </c>
    </row>
    <row r="109" spans="2:9" x14ac:dyDescent="0.3">
      <c r="B109" s="44">
        <v>46088</v>
      </c>
      <c r="C109" s="3" t="s">
        <v>416</v>
      </c>
      <c r="D109" s="3" t="s">
        <v>69</v>
      </c>
      <c r="E109" s="101"/>
      <c r="F109" s="3" t="s">
        <v>394</v>
      </c>
      <c r="G109" s="4">
        <v>3201105</v>
      </c>
      <c r="H109" s="3" t="s">
        <v>376</v>
      </c>
      <c r="I109" s="53">
        <v>3201303</v>
      </c>
    </row>
    <row r="110" spans="2:9" x14ac:dyDescent="0.3">
      <c r="B110" s="44">
        <v>46088</v>
      </c>
      <c r="C110" s="3" t="s">
        <v>416</v>
      </c>
      <c r="D110" s="3" t="s">
        <v>69</v>
      </c>
      <c r="E110" s="101"/>
      <c r="F110" s="3" t="s">
        <v>364</v>
      </c>
      <c r="G110" s="4">
        <v>3197000</v>
      </c>
      <c r="H110" s="3" t="s">
        <v>362</v>
      </c>
      <c r="I110" s="4">
        <v>3197406</v>
      </c>
    </row>
    <row r="111" spans="2:9" x14ac:dyDescent="0.3">
      <c r="B111" s="44">
        <v>46088</v>
      </c>
      <c r="C111" s="3" t="s">
        <v>416</v>
      </c>
      <c r="D111" s="3" t="s">
        <v>69</v>
      </c>
      <c r="E111" s="101"/>
      <c r="F111" s="3" t="s">
        <v>395</v>
      </c>
      <c r="G111" s="4">
        <v>3197604</v>
      </c>
      <c r="H111" s="3" t="s">
        <v>402</v>
      </c>
      <c r="I111" s="4">
        <v>3201407</v>
      </c>
    </row>
    <row r="112" spans="2:9" x14ac:dyDescent="0.3">
      <c r="B112" s="44">
        <v>46088</v>
      </c>
      <c r="C112" s="3" t="s">
        <v>416</v>
      </c>
      <c r="D112" s="3" t="s">
        <v>69</v>
      </c>
      <c r="E112" s="101"/>
      <c r="F112" s="3" t="s">
        <v>361</v>
      </c>
      <c r="G112" s="4">
        <v>3200002</v>
      </c>
      <c r="H112" s="3" t="s">
        <v>392</v>
      </c>
      <c r="I112" s="53">
        <v>3210706</v>
      </c>
    </row>
    <row r="113" spans="2:9" x14ac:dyDescent="0.3">
      <c r="B113" s="44"/>
      <c r="E113" s="101"/>
      <c r="F113" s="3" t="s">
        <v>418</v>
      </c>
      <c r="G113" s="4" t="s">
        <v>418</v>
      </c>
      <c r="H113" s="3" t="s">
        <v>418</v>
      </c>
      <c r="I113" s="4" t="s">
        <v>418</v>
      </c>
    </row>
    <row r="114" spans="2:9" x14ac:dyDescent="0.3">
      <c r="B114" s="44">
        <v>46095</v>
      </c>
      <c r="C114" s="3" t="s">
        <v>416</v>
      </c>
      <c r="D114" s="3" t="s">
        <v>69</v>
      </c>
      <c r="E114" s="101"/>
      <c r="F114" s="3" t="s">
        <v>393</v>
      </c>
      <c r="G114" s="4">
        <v>3209701</v>
      </c>
      <c r="H114" s="3" t="s">
        <v>361</v>
      </c>
      <c r="I114" s="4">
        <v>3200002</v>
      </c>
    </row>
    <row r="115" spans="2:9" x14ac:dyDescent="0.3">
      <c r="B115" s="44">
        <v>46095</v>
      </c>
      <c r="C115" s="3" t="s">
        <v>416</v>
      </c>
      <c r="D115" s="3" t="s">
        <v>69</v>
      </c>
      <c r="E115" s="101"/>
      <c r="F115" s="3" t="s">
        <v>362</v>
      </c>
      <c r="G115" s="4">
        <v>3197406</v>
      </c>
      <c r="H115" s="3" t="s">
        <v>365</v>
      </c>
      <c r="I115" s="4">
        <v>3195804</v>
      </c>
    </row>
    <row r="116" spans="2:9" x14ac:dyDescent="0.3">
      <c r="B116" s="44">
        <v>46095</v>
      </c>
      <c r="C116" s="3" t="s">
        <v>416</v>
      </c>
      <c r="D116" s="3" t="s">
        <v>69</v>
      </c>
      <c r="E116" s="101"/>
      <c r="F116" s="3" t="s">
        <v>395</v>
      </c>
      <c r="G116" s="4">
        <v>3197604</v>
      </c>
      <c r="H116" s="3" t="s">
        <v>376</v>
      </c>
      <c r="I116" s="53">
        <v>3201303</v>
      </c>
    </row>
    <row r="117" spans="2:9" x14ac:dyDescent="0.3">
      <c r="B117" s="44">
        <v>46095</v>
      </c>
      <c r="C117" s="3" t="s">
        <v>416</v>
      </c>
      <c r="D117" s="3" t="s">
        <v>69</v>
      </c>
      <c r="E117" s="101"/>
      <c r="F117" s="3" t="s">
        <v>392</v>
      </c>
      <c r="G117" s="53">
        <v>3210706</v>
      </c>
      <c r="H117" s="3" t="s">
        <v>394</v>
      </c>
      <c r="I117" s="4">
        <v>3201105</v>
      </c>
    </row>
    <row r="118" spans="2:9" x14ac:dyDescent="0.3">
      <c r="B118" s="44">
        <v>46095</v>
      </c>
      <c r="C118" s="3" t="s">
        <v>416</v>
      </c>
      <c r="D118" s="3" t="s">
        <v>69</v>
      </c>
      <c r="E118" s="101"/>
      <c r="F118" s="3" t="s">
        <v>402</v>
      </c>
      <c r="G118" s="4">
        <v>3201407</v>
      </c>
      <c r="H118" s="3" t="s">
        <v>364</v>
      </c>
      <c r="I118" s="4">
        <v>3197000</v>
      </c>
    </row>
    <row r="119" spans="2:9" x14ac:dyDescent="0.3">
      <c r="B119" s="44"/>
      <c r="E119" s="101"/>
      <c r="F119" s="3" t="s">
        <v>418</v>
      </c>
      <c r="G119" s="4" t="s">
        <v>418</v>
      </c>
      <c r="H119" s="3" t="s">
        <v>418</v>
      </c>
      <c r="I119" s="4" t="s">
        <v>418</v>
      </c>
    </row>
    <row r="120" spans="2:9" x14ac:dyDescent="0.3">
      <c r="B120" s="44">
        <v>46102</v>
      </c>
      <c r="C120" s="3" t="s">
        <v>416</v>
      </c>
      <c r="D120" s="3" t="s">
        <v>69</v>
      </c>
      <c r="E120" s="101"/>
      <c r="F120" s="3" t="s">
        <v>365</v>
      </c>
      <c r="G120" s="4">
        <v>3195804</v>
      </c>
      <c r="H120" s="3" t="s">
        <v>361</v>
      </c>
      <c r="I120" s="4">
        <v>3200002</v>
      </c>
    </row>
    <row r="121" spans="2:9" x14ac:dyDescent="0.3">
      <c r="B121" s="44">
        <v>46102</v>
      </c>
      <c r="C121" s="3" t="s">
        <v>416</v>
      </c>
      <c r="D121" s="3" t="s">
        <v>69</v>
      </c>
      <c r="E121" s="101"/>
      <c r="F121" s="3" t="s">
        <v>394</v>
      </c>
      <c r="G121" s="4">
        <v>3201105</v>
      </c>
      <c r="H121" s="3" t="s">
        <v>393</v>
      </c>
      <c r="I121" s="4">
        <v>3209701</v>
      </c>
    </row>
    <row r="122" spans="2:9" x14ac:dyDescent="0.3">
      <c r="B122" s="44">
        <v>46102</v>
      </c>
      <c r="C122" s="3" t="s">
        <v>416</v>
      </c>
      <c r="D122" s="3" t="s">
        <v>69</v>
      </c>
      <c r="E122" s="101"/>
      <c r="F122" s="3" t="s">
        <v>376</v>
      </c>
      <c r="G122" s="53">
        <v>3201303</v>
      </c>
      <c r="H122" s="3" t="s">
        <v>364</v>
      </c>
      <c r="I122" s="4">
        <v>3197000</v>
      </c>
    </row>
    <row r="123" spans="2:9" x14ac:dyDescent="0.3">
      <c r="B123" s="44">
        <v>46102</v>
      </c>
      <c r="C123" s="3" t="s">
        <v>416</v>
      </c>
      <c r="D123" s="3" t="s">
        <v>69</v>
      </c>
      <c r="E123" s="101"/>
      <c r="F123" s="3" t="s">
        <v>402</v>
      </c>
      <c r="G123" s="4">
        <v>3201407</v>
      </c>
      <c r="H123" s="3" t="s">
        <v>362</v>
      </c>
      <c r="I123" s="4">
        <v>3197406</v>
      </c>
    </row>
    <row r="124" spans="2:9" x14ac:dyDescent="0.3">
      <c r="B124" s="44">
        <v>46102</v>
      </c>
      <c r="C124" s="3" t="s">
        <v>416</v>
      </c>
      <c r="D124" s="3" t="s">
        <v>69</v>
      </c>
      <c r="E124" s="101"/>
      <c r="F124" s="3" t="s">
        <v>392</v>
      </c>
      <c r="G124" s="53">
        <v>3210706</v>
      </c>
      <c r="H124" s="3" t="s">
        <v>395</v>
      </c>
      <c r="I124" s="4">
        <v>3197604</v>
      </c>
    </row>
    <row r="125" spans="2:9" x14ac:dyDescent="0.3">
      <c r="B125" s="44"/>
      <c r="E125" s="101"/>
      <c r="F125" s="3" t="s">
        <v>418</v>
      </c>
      <c r="G125" s="4" t="s">
        <v>418</v>
      </c>
      <c r="H125" s="3" t="s">
        <v>418</v>
      </c>
      <c r="I125" s="4" t="s">
        <v>418</v>
      </c>
    </row>
    <row r="126" spans="2:9" x14ac:dyDescent="0.3">
      <c r="B126" s="44">
        <v>46109</v>
      </c>
      <c r="C126" s="3" t="s">
        <v>416</v>
      </c>
      <c r="D126" s="3" t="s">
        <v>69</v>
      </c>
      <c r="E126" s="101"/>
      <c r="F126" s="3" t="s">
        <v>393</v>
      </c>
      <c r="G126" s="4">
        <v>3209701</v>
      </c>
      <c r="H126" s="3" t="s">
        <v>395</v>
      </c>
      <c r="I126" s="4">
        <v>3197604</v>
      </c>
    </row>
    <row r="127" spans="2:9" x14ac:dyDescent="0.3">
      <c r="B127" s="44">
        <v>46109</v>
      </c>
      <c r="C127" s="3" t="s">
        <v>416</v>
      </c>
      <c r="D127" s="3" t="s">
        <v>69</v>
      </c>
      <c r="E127" s="101"/>
      <c r="F127" s="3" t="s">
        <v>362</v>
      </c>
      <c r="G127" s="4">
        <v>3197406</v>
      </c>
      <c r="H127" s="3" t="s">
        <v>376</v>
      </c>
      <c r="I127" s="53">
        <v>3201303</v>
      </c>
    </row>
    <row r="128" spans="2:9" x14ac:dyDescent="0.3">
      <c r="B128" s="44">
        <v>46109</v>
      </c>
      <c r="C128" s="3" t="s">
        <v>416</v>
      </c>
      <c r="D128" s="3" t="s">
        <v>69</v>
      </c>
      <c r="E128" s="101"/>
      <c r="F128" s="3" t="s">
        <v>364</v>
      </c>
      <c r="G128" s="4">
        <v>3197000</v>
      </c>
      <c r="H128" s="3" t="s">
        <v>392</v>
      </c>
      <c r="I128" s="53">
        <v>3210706</v>
      </c>
    </row>
    <row r="129" spans="2:9" x14ac:dyDescent="0.3">
      <c r="B129" s="44">
        <v>46109</v>
      </c>
      <c r="C129" s="3" t="s">
        <v>416</v>
      </c>
      <c r="D129" s="3" t="s">
        <v>69</v>
      </c>
      <c r="E129" s="101"/>
      <c r="F129" s="3" t="s">
        <v>365</v>
      </c>
      <c r="G129" s="4">
        <v>3195804</v>
      </c>
      <c r="H129" s="3" t="s">
        <v>402</v>
      </c>
      <c r="I129" s="4">
        <v>3201407</v>
      </c>
    </row>
    <row r="130" spans="2:9" x14ac:dyDescent="0.3">
      <c r="B130" s="44">
        <v>46109</v>
      </c>
      <c r="C130" s="3" t="s">
        <v>416</v>
      </c>
      <c r="D130" s="3" t="s">
        <v>69</v>
      </c>
      <c r="E130" s="101"/>
      <c r="F130" s="3" t="s">
        <v>361</v>
      </c>
      <c r="G130" s="4">
        <v>3200002</v>
      </c>
      <c r="H130" s="3" t="s">
        <v>394</v>
      </c>
      <c r="I130" s="4">
        <v>3201105</v>
      </c>
    </row>
  </sheetData>
  <mergeCells count="1">
    <mergeCell ref="K5:K6"/>
  </mergeCells>
  <conditionalFormatting sqref="B9">
    <cfRule type="duplicateValues" dxfId="3627" priority="304"/>
  </conditionalFormatting>
  <conditionalFormatting sqref="J49:K49">
    <cfRule type="containsText" dxfId="3626" priority="39" operator="containsText" text="brook">
      <formula>NOT(ISERROR(SEARCH("brook",J49)))</formula>
    </cfRule>
  </conditionalFormatting>
  <conditionalFormatting sqref="J70:K70">
    <cfRule type="containsText" dxfId="3625" priority="22" operator="containsText" text="Timperley 6">
      <formula>NOT(ISERROR(SEARCH("Timperley 6",J70)))</formula>
    </cfRule>
    <cfRule type="containsText" dxfId="3624" priority="23" operator="containsText" text="Timperley 5">
      <formula>NOT(ISERROR(SEARCH("Timperley 5",J70)))</formula>
    </cfRule>
    <cfRule type="containsText" dxfId="3623" priority="24" operator="containsText" text="Timperley 5">
      <formula>NOT(ISERROR(SEARCH("Timperley 5",J70)))</formula>
    </cfRule>
  </conditionalFormatting>
  <conditionalFormatting sqref="J77:K77">
    <cfRule type="containsText" dxfId="3622" priority="17" operator="containsText" text="Timperley 6">
      <formula>NOT(ISERROR(SEARCH("Timperley 6",J77)))</formula>
    </cfRule>
    <cfRule type="containsText" dxfId="3621" priority="18" operator="containsText" text="Timperley 5">
      <formula>NOT(ISERROR(SEARCH("Timperley 5",J77)))</formula>
    </cfRule>
    <cfRule type="containsText" dxfId="3620" priority="19" operator="containsText" text="Timperley 5">
      <formula>NOT(ISERROR(SEARCH("Timperley 5",J77)))</formula>
    </cfRule>
  </conditionalFormatting>
  <conditionalFormatting sqref="J81:K81">
    <cfRule type="containsText" dxfId="3619" priority="12" operator="containsText" text="Timperley 6">
      <formula>NOT(ISERROR(SEARCH("Timperley 6",J81)))</formula>
    </cfRule>
    <cfRule type="containsText" dxfId="3618" priority="13" operator="containsText" text="Timperley 5">
      <formula>NOT(ISERROR(SEARCH("Timperley 5",J81)))</formula>
    </cfRule>
    <cfRule type="containsText" dxfId="3617" priority="14" operator="containsText" text="Timperley 5">
      <formula>NOT(ISERROR(SEARCH("Timperley 5",J81)))</formula>
    </cfRule>
  </conditionalFormatting>
  <conditionalFormatting sqref="J62:L62">
    <cfRule type="containsText" dxfId="3616" priority="27" operator="containsText" text="Timperley 6">
      <formula>NOT(ISERROR(SEARCH("Timperley 6",J62)))</formula>
    </cfRule>
    <cfRule type="containsText" dxfId="3615" priority="28" operator="containsText" text="Timperley 5">
      <formula>NOT(ISERROR(SEARCH("Timperley 5",J62)))</formula>
    </cfRule>
    <cfRule type="containsText" dxfId="3614" priority="29" operator="containsText" text="Timperley 5">
      <formula>NOT(ISERROR(SEARCH("Timperley 5",J62)))</formula>
    </cfRule>
  </conditionalFormatting>
  <conditionalFormatting sqref="K3:K4 K7:K8">
    <cfRule type="duplicateValues" dxfId="3613" priority="2168"/>
  </conditionalFormatting>
  <conditionalFormatting sqref="K5">
    <cfRule type="duplicateValues" dxfId="3612" priority="302"/>
  </conditionalFormatting>
  <conditionalFormatting sqref="K62">
    <cfRule type="containsText" dxfId="3611" priority="30" operator="containsText" text="brook">
      <formula>NOT(ISERROR(SEARCH("brook",K62)))</formula>
    </cfRule>
  </conditionalFormatting>
  <conditionalFormatting sqref="K70">
    <cfRule type="containsText" dxfId="3610" priority="25" operator="containsText" text="brook">
      <formula>NOT(ISERROR(SEARCH("brook",K70)))</formula>
    </cfRule>
  </conditionalFormatting>
  <conditionalFormatting sqref="K77">
    <cfRule type="containsText" dxfId="3609" priority="20" operator="containsText" text="brook">
      <formula>NOT(ISERROR(SEARCH("brook",K77)))</formula>
    </cfRule>
  </conditionalFormatting>
  <conditionalFormatting sqref="K81">
    <cfRule type="containsText" dxfId="3608" priority="15" operator="containsText" text="brook">
      <formula>NOT(ISERROR(SEARCH("brook",K81)))</formula>
    </cfRule>
  </conditionalFormatting>
  <conditionalFormatting sqref="L28">
    <cfRule type="containsText" dxfId="3607" priority="38" operator="containsText" text="brook">
      <formula>NOT(ISERROR(SEARCH("brook",L28)))</formula>
    </cfRule>
  </conditionalFormatting>
  <conditionalFormatting sqref="I10:L19">
    <cfRule type="cellIs" dxfId="3606" priority="4" operator="lessThan">
      <formula>4</formula>
    </cfRule>
    <cfRule type="cellIs" dxfId="3605" priority="5" operator="greaterThan">
      <formula>5</formula>
    </cfRule>
  </conditionalFormatting>
  <conditionalFormatting sqref="K9:K19 J10:J19 L10:L19">
    <cfRule type="containsText" dxfId="3604" priority="8" operator="containsText" text="c'[Fixtures All.xlsx]Women Filtered'!$F$2">
      <formula>NOT(ISERROR(SEARCH("c'[Fixtures All.xlsx]Women Filtered'!$F$2",J9)))</formula>
    </cfRule>
  </conditionalFormatting>
  <conditionalFormatting sqref="G24:I130">
    <cfRule type="containsText" dxfId="3603" priority="2" operator="containsText" text="code">
      <formula>NOT(ISERROR(SEARCH("code",G24)))</formula>
    </cfRule>
  </conditionalFormatting>
  <conditionalFormatting sqref="B11:B14 B17:B19">
    <cfRule type="duplicateValues" dxfId="3602" priority="3331"/>
  </conditionalFormatting>
  <hyperlinks>
    <hyperlink ref="K3" location="Contents!A1" display="Back to Contents" xr:uid="{AC33E8E6-E2C4-417F-8A4C-A5AB70924332}"/>
    <hyperlink ref="K5:K6" location="'All Fixtures'!A1" display="See all NW Fixtures" xr:uid="{51C3AE03-DEBC-48EA-A460-FA8F90439F2C}"/>
  </hyperlinks>
  <pageMargins left="0.7" right="0.7" top="0.75" bottom="0.75" header="0.3" footer="0.3"/>
  <ignoredErrors>
    <ignoredError sqref="J10:J19" formula="1"/>
  </ignoredError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A8FBC-C152-436F-B596-092A0657D6A4}">
  <dimension ref="A2:AQ176"/>
  <sheetViews>
    <sheetView workbookViewId="0"/>
  </sheetViews>
  <sheetFormatPr defaultRowHeight="14.4" x14ac:dyDescent="0.3"/>
  <cols>
    <col min="1" max="1" width="3.44140625" style="47" customWidth="1"/>
    <col min="2" max="2" width="27.88671875" style="3" customWidth="1"/>
    <col min="3" max="3" width="28.6640625" style="3" customWidth="1"/>
    <col min="4" max="4" width="42.109375" style="3" customWidth="1"/>
    <col min="5" max="5" width="14.21875" style="3" customWidth="1"/>
    <col min="6" max="6" width="28.33203125" style="3" customWidth="1"/>
    <col min="7" max="7" width="15.88671875" style="4" customWidth="1"/>
    <col min="8" max="8" width="29.44140625" style="3" customWidth="1"/>
    <col min="9" max="9" width="8.88671875" style="4"/>
    <col min="10" max="10" width="6.6640625" style="3" customWidth="1"/>
    <col min="11" max="11" width="17.66406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70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C9" s="59"/>
      <c r="D9" s="59"/>
      <c r="E9" s="59"/>
      <c r="F9" s="18" t="s">
        <v>436</v>
      </c>
      <c r="G9" s="18"/>
      <c r="H9" s="18" t="s">
        <v>437</v>
      </c>
      <c r="I9" s="77" t="s">
        <v>557</v>
      </c>
      <c r="K9" s="77" t="s">
        <v>558</v>
      </c>
    </row>
    <row r="10" spans="1:12" s="3" customFormat="1" ht="15" customHeight="1" x14ac:dyDescent="0.3">
      <c r="A10" s="196">
        <f>COUNTIF(F$24:I$130,"Alderley Edge 5 (W)")</f>
        <v>18</v>
      </c>
      <c r="B10" s="193" t="s">
        <v>370</v>
      </c>
      <c r="C10" s="194">
        <v>3211903</v>
      </c>
      <c r="D10" s="192">
        <f>COUNTIF(F$24:I$130,"3211903")</f>
        <v>18</v>
      </c>
      <c r="E10" s="59"/>
      <c r="F10" s="57">
        <f>COUNTIF(F$24:F$130,"Alderley Edge 5 (W)")</f>
        <v>9</v>
      </c>
      <c r="G10" s="57"/>
      <c r="H10" s="57">
        <f>COUNTIF(H$24:H$130,"Alderley Edge 5 (W)")</f>
        <v>9</v>
      </c>
      <c r="I10" s="57">
        <f>COUNTIF(F$24:F$76,"Alderley Edge 5 (W)")</f>
        <v>4</v>
      </c>
      <c r="J10" s="57">
        <f>COUNTIF(F$77:F$130,"Alderley Edge 5 (W)")</f>
        <v>5</v>
      </c>
      <c r="K10" s="57">
        <f>COUNTIF(H$24:H$76,"Alderley Edge 5 (W)")</f>
        <v>5</v>
      </c>
      <c r="L10" s="57">
        <f>COUNTIF(H$77:H$130,"Alderley Edge 5 (W)")</f>
        <v>4</v>
      </c>
    </row>
    <row r="11" spans="1:12" s="3" customFormat="1" ht="15" customHeight="1" x14ac:dyDescent="0.3">
      <c r="A11" s="196">
        <f>COUNTIF(F$24:I$130,"Alderley Edge 6 (W)")</f>
        <v>18</v>
      </c>
      <c r="B11" s="193" t="s">
        <v>371</v>
      </c>
      <c r="C11" s="194">
        <v>3212006</v>
      </c>
      <c r="D11" s="192">
        <f>COUNTIF(F$24:I$130,"3212006")</f>
        <v>18</v>
      </c>
      <c r="E11" s="59"/>
      <c r="F11" s="57">
        <f>COUNTIF(F$24:F$130,"Alderley Edge 6 (W)")</f>
        <v>9</v>
      </c>
      <c r="G11" s="57"/>
      <c r="H11" s="57">
        <f>COUNTIF(H$24:H$130,"Alderley Edge 6 (W)")</f>
        <v>9</v>
      </c>
      <c r="I11" s="57">
        <f>COUNTIF(F$24:F$76,"Alderley Edge 6 (W)")</f>
        <v>5</v>
      </c>
      <c r="J11" s="57">
        <f>COUNTIF(F$77:F$130,"Alderley Edge 6 (W)")</f>
        <v>4</v>
      </c>
      <c r="K11" s="57">
        <f>COUNTIF(H$24:H$76,"Alderley Edge 6 (W)")</f>
        <v>4</v>
      </c>
      <c r="L11" s="57">
        <f>COUNTIF(H$77:H$130,"Alderley Edge 6 (W)")</f>
        <v>5</v>
      </c>
    </row>
    <row r="12" spans="1:12" s="3" customFormat="1" ht="15" customHeight="1" x14ac:dyDescent="0.3">
      <c r="A12" s="196">
        <f>COUNTIF(F$24:I$130,"Crewe Vagrants 4 (W)")</f>
        <v>18</v>
      </c>
      <c r="B12" s="193" t="s">
        <v>399</v>
      </c>
      <c r="C12" s="194">
        <v>3207401</v>
      </c>
      <c r="D12" s="192">
        <f>COUNTIF(F$24:I$130,"3207401")</f>
        <v>18</v>
      </c>
      <c r="E12" s="59"/>
      <c r="F12" s="57">
        <f>COUNTIF(F$24:F$130,"Crewe Vagrants 4 (W)")</f>
        <v>9</v>
      </c>
      <c r="G12" s="57"/>
      <c r="H12" s="57">
        <f>COUNTIF(H$24:H$130,"Crewe Vagrants 4 (W)")</f>
        <v>9</v>
      </c>
      <c r="I12" s="57">
        <f>COUNTIF(F$24:F$76,"Crewe Vagrants 4 (W)")</f>
        <v>4</v>
      </c>
      <c r="J12" s="57">
        <f>COUNTIF(F$77:F$130,"Crewe Vagrants 4 (W)")</f>
        <v>5</v>
      </c>
      <c r="K12" s="57">
        <f>COUNTIF(H$24:H$76,"Crewe Vagrants 4 (W)")</f>
        <v>5</v>
      </c>
      <c r="L12" s="57">
        <f>COUNTIF(H$77:H$130,"Crewe Vagrants 4 (W)")</f>
        <v>4</v>
      </c>
    </row>
    <row r="13" spans="1:12" s="3" customFormat="1" x14ac:dyDescent="0.3">
      <c r="A13" s="196">
        <f>COUNTIF(F$24:I$130,"Deeside Ramblers 5 (W)")</f>
        <v>18</v>
      </c>
      <c r="B13" s="195" t="s">
        <v>400</v>
      </c>
      <c r="C13" s="194">
        <v>3818608</v>
      </c>
      <c r="D13" s="192">
        <f>COUNTIF(F$24:I$130,"3818608")</f>
        <v>18</v>
      </c>
      <c r="E13" s="59"/>
      <c r="F13" s="57">
        <f>COUNTIF(F$24:F$130,"Deeside Ramblers 5 (W)")</f>
        <v>9</v>
      </c>
      <c r="G13" s="57"/>
      <c r="H13" s="57">
        <f>COUNTIF(H$24:H$130,"Deeside Ramblers 5 (W)")</f>
        <v>9</v>
      </c>
      <c r="I13" s="57">
        <f>COUNTIF(F$24:F$76,"Deeside Ramblers 5 (W)")</f>
        <v>4</v>
      </c>
      <c r="J13" s="57">
        <f>COUNTIF(F$77:F$130,"Deeside Ramblers 5 (W)")</f>
        <v>5</v>
      </c>
      <c r="K13" s="57">
        <f>COUNTIF(H$24:H$76,"Deeside Ramblers 5 (W)")</f>
        <v>5</v>
      </c>
      <c r="L13" s="57">
        <f>COUNTIF(H$77:H$130,"Deeside Ramblers 5 (W)")</f>
        <v>4</v>
      </c>
    </row>
    <row r="14" spans="1:12" s="3" customFormat="1" x14ac:dyDescent="0.3">
      <c r="A14" s="196">
        <f>COUNTIF(F$24:I$130,"Lymm 4 (W)")</f>
        <v>18</v>
      </c>
      <c r="B14" s="193" t="s">
        <v>401</v>
      </c>
      <c r="C14" s="194">
        <v>3202000</v>
      </c>
      <c r="D14" s="192">
        <f>COUNTIF(F$24:I$130,"3202000")</f>
        <v>18</v>
      </c>
      <c r="E14" s="59"/>
      <c r="F14" s="57">
        <f>COUNTIF(F$24:F$130,"Lymm 4 (W)")</f>
        <v>9</v>
      </c>
      <c r="G14" s="57"/>
      <c r="H14" s="57">
        <f>COUNTIF(H$24:H$130,"Lymm 4 (W)")</f>
        <v>9</v>
      </c>
      <c r="I14" s="57">
        <f>COUNTIF(F$24:F$76,"Lymm 4 (W)")</f>
        <v>5</v>
      </c>
      <c r="J14" s="57">
        <f>COUNTIF(F$77:F$130,"Lymm 4 (W)")</f>
        <v>4</v>
      </c>
      <c r="K14" s="57">
        <f>COUNTIF(H$24:H$76,"Lymm 4 (W)")</f>
        <v>4</v>
      </c>
      <c r="L14" s="57">
        <f>COUNTIF(H$77:H$130,"Lymm 4 (W)")</f>
        <v>5</v>
      </c>
    </row>
    <row r="15" spans="1:12" s="3" customFormat="1" x14ac:dyDescent="0.3">
      <c r="A15" s="196">
        <f>COUNTIF(F$24:I$130,"Sandbach 2 (W)")</f>
        <v>18</v>
      </c>
      <c r="B15" s="193" t="s">
        <v>404</v>
      </c>
      <c r="C15" s="194">
        <v>3197802</v>
      </c>
      <c r="D15" s="192">
        <f>COUNTIF(F$24:I$130,"3197802")</f>
        <v>18</v>
      </c>
      <c r="E15" s="59"/>
      <c r="F15" s="57">
        <f>COUNTIF(F$24:F$130,"Sandbach 2 (W)")</f>
        <v>9</v>
      </c>
      <c r="G15" s="57"/>
      <c r="H15" s="57">
        <f>COUNTIF(H$24:H$130,"Sandbach 2 (W)")</f>
        <v>9</v>
      </c>
      <c r="I15" s="57">
        <f>COUNTIF(F$24:F$76,"Sandbach 2 (W)")</f>
        <v>5</v>
      </c>
      <c r="J15" s="57">
        <f>COUNTIF(F$77:F$130,"Sandbach 2 (W)")</f>
        <v>4</v>
      </c>
      <c r="K15" s="57">
        <f>COUNTIF(H$24:H$76,"Sandbach 2 (W)")</f>
        <v>4</v>
      </c>
      <c r="L15" s="57">
        <f>COUNTIF(H$77:H$130,"Sandbach 2 (W)")</f>
        <v>5</v>
      </c>
    </row>
    <row r="16" spans="1:12" s="3" customFormat="1" x14ac:dyDescent="0.3">
      <c r="A16" s="196">
        <f>COUNTIF(F$24:I$130,"Triton 2 (W)")</f>
        <v>18</v>
      </c>
      <c r="B16" s="195" t="s">
        <v>378</v>
      </c>
      <c r="C16" s="194">
        <v>3196605</v>
      </c>
      <c r="D16" s="192">
        <f>COUNTIF(F$24:I$130,"3196605")</f>
        <v>18</v>
      </c>
      <c r="E16" s="59"/>
      <c r="F16" s="57">
        <f>COUNTIF(F$24:F$130,"Triton 2 (W)")</f>
        <v>9</v>
      </c>
      <c r="G16" s="57"/>
      <c r="H16" s="57">
        <f>COUNTIF(H$24:H$130,"Triton 2 (W)")</f>
        <v>9</v>
      </c>
      <c r="I16" s="57">
        <f>COUNTIF(F$24:F$76,"Triton 2 (W)")</f>
        <v>4</v>
      </c>
      <c r="J16" s="57">
        <f>COUNTIF(F$77:F$130,"Triton 2 (W)")</f>
        <v>5</v>
      </c>
      <c r="K16" s="57">
        <f>COUNTIF(H$24:H$76,"Triton 2 (W)")</f>
        <v>5</v>
      </c>
      <c r="L16" s="57">
        <f>COUNTIF(H$77:H$130,"Triton 2 (W)")</f>
        <v>4</v>
      </c>
    </row>
    <row r="17" spans="1:12" s="3" customFormat="1" x14ac:dyDescent="0.3">
      <c r="A17" s="196">
        <f>COUNTIF(F$24:I$130,"Whitchurch (Shropshire) 3 (W)")</f>
        <v>18</v>
      </c>
      <c r="B17" s="193" t="s">
        <v>434</v>
      </c>
      <c r="C17" s="194">
        <v>3195408</v>
      </c>
      <c r="D17" s="192">
        <f>COUNTIF(F$24:I$130,"3195408")</f>
        <v>18</v>
      </c>
      <c r="E17" s="59"/>
      <c r="F17" s="57">
        <f>COUNTIF(F$24:F$130,"Whitchurch (Shropshire) 3 (W)")</f>
        <v>9</v>
      </c>
      <c r="G17" s="57"/>
      <c r="H17" s="57">
        <f>COUNTIF(H$24:H$130,"Whitchurch (Shropshire) 3 (W)")</f>
        <v>9</v>
      </c>
      <c r="I17" s="57">
        <f>COUNTIF(F$24:F$76,"Whitchurch (Shropshire) 3 (W)")</f>
        <v>5</v>
      </c>
      <c r="J17" s="57">
        <f>COUNTIF(F$77:F$130,"Whitchurch (Shropshire) 3 (W)")</f>
        <v>4</v>
      </c>
      <c r="K17" s="57">
        <f>COUNTIF(H$24:H$76,"Whitchurch (Shropshire) 3 (W)")</f>
        <v>4</v>
      </c>
      <c r="L17" s="57">
        <f>COUNTIF(H$77:H$130,"Whitchurch (Shropshire) 3 (W)")</f>
        <v>5</v>
      </c>
    </row>
    <row r="18" spans="1:12" s="3" customFormat="1" x14ac:dyDescent="0.3">
      <c r="A18" s="196">
        <f>COUNTIF(F$24:I$130,"Wilmslow 4 (W)")</f>
        <v>18</v>
      </c>
      <c r="B18" s="193" t="s">
        <v>379</v>
      </c>
      <c r="C18" s="194">
        <v>3194409</v>
      </c>
      <c r="D18" s="192">
        <f>COUNTIF(F$24:I$130,"3194409")</f>
        <v>18</v>
      </c>
      <c r="E18" s="59"/>
      <c r="F18" s="57">
        <f>COUNTIF(F$24:F$130,"Wilmslow 4 (W)")</f>
        <v>9</v>
      </c>
      <c r="G18" s="57"/>
      <c r="H18" s="57">
        <f>COUNTIF(H$24:H$130,"Wilmslow 4 (W)")</f>
        <v>9</v>
      </c>
      <c r="I18" s="57">
        <f>COUNTIF(F$24:F$76,"Wilmslow 4 (W)")</f>
        <v>5</v>
      </c>
      <c r="J18" s="57">
        <f>COUNTIF(F$77:F$130,"Wilmslow 4 (W)")</f>
        <v>4</v>
      </c>
      <c r="K18" s="57">
        <f>COUNTIF(H$24:H$76,"Wilmslow 4 (W)")</f>
        <v>4</v>
      </c>
      <c r="L18" s="57">
        <f>COUNTIF(H$77:H$130,"Wilmslow 4 (W)")</f>
        <v>5</v>
      </c>
    </row>
    <row r="19" spans="1:12" s="3" customFormat="1" x14ac:dyDescent="0.3">
      <c r="A19" s="196">
        <f>COUNTIF(F$24:I$130,"Wilmslow 5 (W)")</f>
        <v>18</v>
      </c>
      <c r="B19" s="195" t="s">
        <v>460</v>
      </c>
      <c r="C19" s="194">
        <v>3194503</v>
      </c>
      <c r="D19" s="192">
        <f>COUNTIF(F$24:I$130,"3194503")</f>
        <v>18</v>
      </c>
      <c r="E19" s="59"/>
      <c r="F19" s="57">
        <f>COUNTIF(F$24:F$130,"Wilmslow 5 (W)")</f>
        <v>9</v>
      </c>
      <c r="G19" s="57"/>
      <c r="H19" s="57">
        <f>COUNTIF(H$24:H$130,"Wilmslow 5 (W)")</f>
        <v>9</v>
      </c>
      <c r="I19" s="57">
        <f>COUNTIF(F$24:F$76,"Wilmslow 5 (W)")</f>
        <v>4</v>
      </c>
      <c r="J19" s="57">
        <f>COUNTIF(F$77:F$130,"Wilmslow 5 (W)")</f>
        <v>5</v>
      </c>
      <c r="K19" s="57">
        <f>COUNTIF(H$24:H$76,"Wilmslow 5 (W)")</f>
        <v>5</v>
      </c>
      <c r="L19" s="57">
        <f>COUNTIF(H$77:H$130,"Wilmslow 5 (W)")</f>
        <v>4</v>
      </c>
    </row>
    <row r="20" spans="1:12" s="3" customFormat="1" x14ac:dyDescent="0.3">
      <c r="A20" s="47"/>
      <c r="C20" s="59"/>
      <c r="D20" s="59"/>
      <c r="E20" s="59"/>
      <c r="F20" s="47"/>
      <c r="G20" s="57"/>
      <c r="H20" s="47"/>
      <c r="I20" s="15"/>
      <c r="J20" s="59"/>
      <c r="K20" s="51"/>
    </row>
    <row r="21" spans="1:12" ht="21" x14ac:dyDescent="0.4">
      <c r="B21" s="22" t="s">
        <v>93</v>
      </c>
    </row>
    <row r="22" spans="1:12" x14ac:dyDescent="0.3">
      <c r="B22" s="40" t="s">
        <v>408</v>
      </c>
      <c r="C22" s="14" t="s">
        <v>409</v>
      </c>
      <c r="D22" s="14" t="s">
        <v>410</v>
      </c>
      <c r="E22" s="14" t="s">
        <v>411</v>
      </c>
      <c r="F22" s="14" t="s">
        <v>412</v>
      </c>
      <c r="G22" s="14" t="s">
        <v>413</v>
      </c>
      <c r="H22" s="13" t="s">
        <v>414</v>
      </c>
      <c r="I22" s="14" t="s">
        <v>415</v>
      </c>
    </row>
    <row r="23" spans="1:12" x14ac:dyDescent="0.3">
      <c r="B23" s="40"/>
      <c r="C23" s="14"/>
      <c r="D23" s="14"/>
      <c r="E23" s="14"/>
      <c r="F23" s="14"/>
      <c r="G23" s="14"/>
      <c r="H23" s="13"/>
      <c r="I23" s="14"/>
    </row>
    <row r="24" spans="1:12" x14ac:dyDescent="0.3">
      <c r="B24" s="44">
        <v>45920</v>
      </c>
      <c r="C24" s="3" t="s">
        <v>416</v>
      </c>
      <c r="D24" s="3" t="s">
        <v>70</v>
      </c>
      <c r="E24" s="101"/>
      <c r="F24" s="3" t="s">
        <v>401</v>
      </c>
      <c r="G24" s="4">
        <v>3202000</v>
      </c>
      <c r="H24" s="3" t="s">
        <v>399</v>
      </c>
      <c r="I24" s="4">
        <v>3207401</v>
      </c>
    </row>
    <row r="25" spans="1:12" x14ac:dyDescent="0.3">
      <c r="B25" s="44">
        <v>45920</v>
      </c>
      <c r="C25" s="3" t="s">
        <v>416</v>
      </c>
      <c r="D25" s="3" t="s">
        <v>70</v>
      </c>
      <c r="E25" s="101"/>
      <c r="F25" s="3" t="s">
        <v>434</v>
      </c>
      <c r="G25" s="4">
        <v>3195408</v>
      </c>
      <c r="H25" s="3" t="s">
        <v>370</v>
      </c>
      <c r="I25" s="4">
        <v>3211903</v>
      </c>
    </row>
    <row r="26" spans="1:12" x14ac:dyDescent="0.3">
      <c r="B26" s="44">
        <v>45920</v>
      </c>
      <c r="C26" s="3" t="s">
        <v>416</v>
      </c>
      <c r="D26" s="3" t="s">
        <v>70</v>
      </c>
      <c r="E26" s="101"/>
      <c r="F26" s="3" t="s">
        <v>371</v>
      </c>
      <c r="G26" s="74">
        <v>3212006</v>
      </c>
      <c r="H26" s="3" t="s">
        <v>400</v>
      </c>
      <c r="I26" s="4">
        <v>3818608</v>
      </c>
    </row>
    <row r="27" spans="1:12" x14ac:dyDescent="0.3">
      <c r="B27" s="44">
        <v>45920</v>
      </c>
      <c r="C27" s="3" t="s">
        <v>416</v>
      </c>
      <c r="D27" s="3" t="s">
        <v>70</v>
      </c>
      <c r="E27" s="101"/>
      <c r="F27" s="3" t="s">
        <v>404</v>
      </c>
      <c r="G27" s="74">
        <v>3196605</v>
      </c>
      <c r="H27" s="3" t="s">
        <v>378</v>
      </c>
      <c r="I27" s="4">
        <v>3197802</v>
      </c>
    </row>
    <row r="28" spans="1:12" x14ac:dyDescent="0.3">
      <c r="B28" s="44">
        <v>45920</v>
      </c>
      <c r="C28" s="3" t="s">
        <v>416</v>
      </c>
      <c r="D28" s="3" t="s">
        <v>70</v>
      </c>
      <c r="E28" s="101"/>
      <c r="F28" s="3" t="s">
        <v>379</v>
      </c>
      <c r="G28" s="4">
        <v>3194409</v>
      </c>
      <c r="H28" s="3" t="s">
        <v>460</v>
      </c>
      <c r="I28" s="4">
        <v>3194503</v>
      </c>
    </row>
    <row r="29" spans="1:12" x14ac:dyDescent="0.3">
      <c r="B29" s="44"/>
      <c r="E29" s="101"/>
      <c r="F29" s="3" t="s">
        <v>418</v>
      </c>
      <c r="G29" s="4" t="s">
        <v>418</v>
      </c>
      <c r="H29" s="3" t="s">
        <v>418</v>
      </c>
      <c r="I29" s="4" t="s">
        <v>418</v>
      </c>
    </row>
    <row r="30" spans="1:12" x14ac:dyDescent="0.3">
      <c r="B30" s="44">
        <v>45927</v>
      </c>
      <c r="C30" s="3" t="s">
        <v>416</v>
      </c>
      <c r="D30" s="3" t="s">
        <v>70</v>
      </c>
      <c r="E30" s="101"/>
      <c r="F30" s="3" t="s">
        <v>370</v>
      </c>
      <c r="G30" s="4">
        <v>3211903</v>
      </c>
      <c r="H30" s="3" t="s">
        <v>371</v>
      </c>
      <c r="I30" s="53">
        <v>3212006</v>
      </c>
    </row>
    <row r="31" spans="1:12" x14ac:dyDescent="0.3">
      <c r="B31" s="44">
        <v>45927</v>
      </c>
      <c r="C31" s="3" t="s">
        <v>416</v>
      </c>
      <c r="D31" s="3" t="s">
        <v>70</v>
      </c>
      <c r="E31" s="101"/>
      <c r="F31" s="3" t="s">
        <v>399</v>
      </c>
      <c r="G31" s="4">
        <v>3207401</v>
      </c>
      <c r="H31" s="3" t="s">
        <v>460</v>
      </c>
      <c r="I31" s="4">
        <v>3194503</v>
      </c>
    </row>
    <row r="32" spans="1:12" x14ac:dyDescent="0.3">
      <c r="B32" s="44">
        <v>45927</v>
      </c>
      <c r="C32" s="3" t="s">
        <v>416</v>
      </c>
      <c r="D32" s="3" t="s">
        <v>70</v>
      </c>
      <c r="E32" s="101"/>
      <c r="F32" s="3" t="s">
        <v>378</v>
      </c>
      <c r="G32" s="4">
        <v>3197802</v>
      </c>
      <c r="H32" s="3" t="s">
        <v>401</v>
      </c>
      <c r="I32" s="4">
        <v>3202000</v>
      </c>
    </row>
    <row r="33" spans="2:9" x14ac:dyDescent="0.3">
      <c r="B33" s="44">
        <v>45927</v>
      </c>
      <c r="C33" s="3" t="s">
        <v>416</v>
      </c>
      <c r="D33" s="3" t="s">
        <v>70</v>
      </c>
      <c r="E33" s="101"/>
      <c r="F33" s="3" t="s">
        <v>379</v>
      </c>
      <c r="G33" s="4">
        <v>3194409</v>
      </c>
      <c r="H33" s="3" t="s">
        <v>434</v>
      </c>
      <c r="I33" s="4">
        <v>3195408</v>
      </c>
    </row>
    <row r="34" spans="2:9" x14ac:dyDescent="0.3">
      <c r="B34" s="44">
        <v>45927</v>
      </c>
      <c r="C34" s="3" t="s">
        <v>416</v>
      </c>
      <c r="D34" s="3" t="s">
        <v>70</v>
      </c>
      <c r="E34" s="101"/>
      <c r="F34" s="3" t="s">
        <v>400</v>
      </c>
      <c r="G34" s="4">
        <v>3818608</v>
      </c>
      <c r="H34" s="3" t="s">
        <v>404</v>
      </c>
      <c r="I34" s="53">
        <v>3196605</v>
      </c>
    </row>
    <row r="35" spans="2:9" x14ac:dyDescent="0.3">
      <c r="B35" s="44"/>
      <c r="E35" s="101"/>
      <c r="F35" s="3" t="s">
        <v>418</v>
      </c>
      <c r="G35" s="4" t="s">
        <v>418</v>
      </c>
      <c r="H35" s="3" t="s">
        <v>418</v>
      </c>
      <c r="I35" s="4" t="s">
        <v>418</v>
      </c>
    </row>
    <row r="36" spans="2:9" x14ac:dyDescent="0.3">
      <c r="B36" s="44">
        <v>45934</v>
      </c>
      <c r="C36" s="3" t="s">
        <v>416</v>
      </c>
      <c r="D36" s="3" t="s">
        <v>70</v>
      </c>
      <c r="E36" s="101"/>
      <c r="F36" s="3" t="s">
        <v>370</v>
      </c>
      <c r="G36" s="4">
        <v>3211903</v>
      </c>
      <c r="H36" s="3" t="s">
        <v>379</v>
      </c>
      <c r="I36" s="4">
        <v>3194409</v>
      </c>
    </row>
    <row r="37" spans="2:9" x14ac:dyDescent="0.3">
      <c r="B37" s="44">
        <v>45934</v>
      </c>
      <c r="C37" s="3" t="s">
        <v>416</v>
      </c>
      <c r="D37" s="3" t="s">
        <v>70</v>
      </c>
      <c r="E37" s="101"/>
      <c r="F37" s="3" t="s">
        <v>401</v>
      </c>
      <c r="G37" s="4">
        <v>3202000</v>
      </c>
      <c r="H37" s="3" t="s">
        <v>400</v>
      </c>
      <c r="I37" s="4">
        <v>3818608</v>
      </c>
    </row>
    <row r="38" spans="2:9" x14ac:dyDescent="0.3">
      <c r="B38" s="44">
        <v>45934</v>
      </c>
      <c r="C38" s="3" t="s">
        <v>416</v>
      </c>
      <c r="D38" s="3" t="s">
        <v>70</v>
      </c>
      <c r="E38" s="101"/>
      <c r="F38" s="3" t="s">
        <v>434</v>
      </c>
      <c r="G38" s="4">
        <v>3195408</v>
      </c>
      <c r="H38" s="3" t="s">
        <v>399</v>
      </c>
      <c r="I38" s="4">
        <v>3207401</v>
      </c>
    </row>
    <row r="39" spans="2:9" x14ac:dyDescent="0.3">
      <c r="B39" s="44">
        <v>45934</v>
      </c>
      <c r="C39" s="3" t="s">
        <v>416</v>
      </c>
      <c r="D39" s="3" t="s">
        <v>70</v>
      </c>
      <c r="E39" s="101"/>
      <c r="F39" s="3" t="s">
        <v>404</v>
      </c>
      <c r="G39" s="53">
        <v>3196605</v>
      </c>
      <c r="H39" s="3" t="s">
        <v>371</v>
      </c>
      <c r="I39" s="53">
        <v>3212006</v>
      </c>
    </row>
    <row r="40" spans="2:9" x14ac:dyDescent="0.3">
      <c r="B40" s="44">
        <v>45934</v>
      </c>
      <c r="C40" s="3" t="s">
        <v>416</v>
      </c>
      <c r="D40" s="3" t="s">
        <v>70</v>
      </c>
      <c r="E40" s="101"/>
      <c r="F40" s="3" t="s">
        <v>460</v>
      </c>
      <c r="G40" s="4">
        <v>3194503</v>
      </c>
      <c r="H40" s="3" t="s">
        <v>378</v>
      </c>
      <c r="I40" s="4">
        <v>3197802</v>
      </c>
    </row>
    <row r="41" spans="2:9" x14ac:dyDescent="0.3">
      <c r="B41" s="44"/>
      <c r="E41" s="101"/>
      <c r="F41" s="3" t="s">
        <v>418</v>
      </c>
      <c r="G41" s="4" t="s">
        <v>418</v>
      </c>
      <c r="H41" s="3" t="s">
        <v>418</v>
      </c>
      <c r="I41" s="4" t="s">
        <v>418</v>
      </c>
    </row>
    <row r="42" spans="2:9" x14ac:dyDescent="0.3">
      <c r="B42" s="44">
        <v>45941</v>
      </c>
      <c r="C42" s="3" t="s">
        <v>416</v>
      </c>
      <c r="D42" s="3" t="s">
        <v>70</v>
      </c>
      <c r="E42" s="101"/>
      <c r="F42" s="3" t="s">
        <v>399</v>
      </c>
      <c r="G42" s="4">
        <v>3207401</v>
      </c>
      <c r="H42" s="3" t="s">
        <v>379</v>
      </c>
      <c r="I42" s="4">
        <v>3194409</v>
      </c>
    </row>
    <row r="43" spans="2:9" x14ac:dyDescent="0.3">
      <c r="B43" s="44">
        <v>45941</v>
      </c>
      <c r="C43" s="3" t="s">
        <v>416</v>
      </c>
      <c r="D43" s="3" t="s">
        <v>70</v>
      </c>
      <c r="E43" s="101"/>
      <c r="F43" s="3" t="s">
        <v>378</v>
      </c>
      <c r="G43" s="4">
        <v>3197802</v>
      </c>
      <c r="H43" s="3" t="s">
        <v>434</v>
      </c>
      <c r="I43" s="4">
        <v>3195408</v>
      </c>
    </row>
    <row r="44" spans="2:9" x14ac:dyDescent="0.3">
      <c r="B44" s="44">
        <v>45941</v>
      </c>
      <c r="C44" s="3" t="s">
        <v>416</v>
      </c>
      <c r="D44" s="3" t="s">
        <v>70</v>
      </c>
      <c r="E44" s="101"/>
      <c r="F44" s="3" t="s">
        <v>371</v>
      </c>
      <c r="G44" s="53">
        <v>3212006</v>
      </c>
      <c r="H44" s="3" t="s">
        <v>401</v>
      </c>
      <c r="I44" s="4">
        <v>3202000</v>
      </c>
    </row>
    <row r="45" spans="2:9" x14ac:dyDescent="0.3">
      <c r="B45" s="44">
        <v>45941</v>
      </c>
      <c r="C45" s="3" t="s">
        <v>416</v>
      </c>
      <c r="D45" s="3" t="s">
        <v>70</v>
      </c>
      <c r="E45" s="101"/>
      <c r="F45" s="3" t="s">
        <v>404</v>
      </c>
      <c r="G45" s="53">
        <v>3196605</v>
      </c>
      <c r="H45" s="3" t="s">
        <v>370</v>
      </c>
      <c r="I45" s="4">
        <v>3211903</v>
      </c>
    </row>
    <row r="46" spans="2:9" x14ac:dyDescent="0.3">
      <c r="B46" s="44">
        <v>45941</v>
      </c>
      <c r="C46" s="3" t="s">
        <v>416</v>
      </c>
      <c r="D46" s="3" t="s">
        <v>70</v>
      </c>
      <c r="E46" s="101"/>
      <c r="F46" s="3" t="s">
        <v>400</v>
      </c>
      <c r="G46" s="4">
        <v>3818608</v>
      </c>
      <c r="H46" s="3" t="s">
        <v>460</v>
      </c>
      <c r="I46" s="4">
        <v>3194503</v>
      </c>
    </row>
    <row r="47" spans="2:9" x14ac:dyDescent="0.3">
      <c r="B47" s="44"/>
      <c r="E47" s="101"/>
      <c r="F47" s="3" t="s">
        <v>418</v>
      </c>
      <c r="G47" s="4" t="s">
        <v>418</v>
      </c>
      <c r="H47" s="3" t="s">
        <v>418</v>
      </c>
      <c r="I47" s="4" t="s">
        <v>418</v>
      </c>
    </row>
    <row r="48" spans="2:9" x14ac:dyDescent="0.3">
      <c r="B48" s="44">
        <v>45962</v>
      </c>
      <c r="C48" s="3" t="s">
        <v>416</v>
      </c>
      <c r="D48" s="3" t="s">
        <v>70</v>
      </c>
      <c r="E48" s="101"/>
      <c r="F48" s="3" t="s">
        <v>370</v>
      </c>
      <c r="G48" s="4">
        <v>3211903</v>
      </c>
      <c r="H48" s="3" t="s">
        <v>399</v>
      </c>
      <c r="I48" s="4">
        <v>3207401</v>
      </c>
    </row>
    <row r="49" spans="2:9" x14ac:dyDescent="0.3">
      <c r="B49" s="44">
        <v>45962</v>
      </c>
      <c r="C49" s="3" t="s">
        <v>416</v>
      </c>
      <c r="D49" s="3" t="s">
        <v>70</v>
      </c>
      <c r="E49" s="101"/>
      <c r="F49" s="3" t="s">
        <v>401</v>
      </c>
      <c r="G49" s="4">
        <v>3202000</v>
      </c>
      <c r="H49" s="3" t="s">
        <v>404</v>
      </c>
      <c r="I49" s="53">
        <v>3196605</v>
      </c>
    </row>
    <row r="50" spans="2:9" x14ac:dyDescent="0.3">
      <c r="B50" s="44">
        <v>45962</v>
      </c>
      <c r="C50" s="3" t="s">
        <v>416</v>
      </c>
      <c r="D50" s="3" t="s">
        <v>70</v>
      </c>
      <c r="E50" s="101"/>
      <c r="F50" s="3" t="s">
        <v>434</v>
      </c>
      <c r="G50" s="4">
        <v>3195408</v>
      </c>
      <c r="H50" s="3" t="s">
        <v>400</v>
      </c>
      <c r="I50" s="4">
        <v>3818608</v>
      </c>
    </row>
    <row r="51" spans="2:9" x14ac:dyDescent="0.3">
      <c r="B51" s="44">
        <v>45962</v>
      </c>
      <c r="C51" s="3" t="s">
        <v>416</v>
      </c>
      <c r="D51" s="3" t="s">
        <v>70</v>
      </c>
      <c r="E51" s="101"/>
      <c r="F51" s="3" t="s">
        <v>379</v>
      </c>
      <c r="G51" s="4">
        <v>3194409</v>
      </c>
      <c r="H51" s="3" t="s">
        <v>378</v>
      </c>
      <c r="I51" s="4">
        <v>3197802</v>
      </c>
    </row>
    <row r="52" spans="2:9" x14ac:dyDescent="0.3">
      <c r="B52" s="44">
        <v>45962</v>
      </c>
      <c r="C52" s="3" t="s">
        <v>416</v>
      </c>
      <c r="D52" s="3" t="s">
        <v>70</v>
      </c>
      <c r="E52" s="101"/>
      <c r="F52" s="3" t="s">
        <v>460</v>
      </c>
      <c r="G52" s="4">
        <v>3194503</v>
      </c>
      <c r="H52" s="3" t="s">
        <v>371</v>
      </c>
      <c r="I52" s="53">
        <v>3212006</v>
      </c>
    </row>
    <row r="53" spans="2:9" x14ac:dyDescent="0.3">
      <c r="B53" s="44"/>
      <c r="E53" s="101"/>
      <c r="F53" s="3" t="s">
        <v>418</v>
      </c>
      <c r="G53" s="4" t="s">
        <v>418</v>
      </c>
      <c r="H53" s="3" t="s">
        <v>418</v>
      </c>
      <c r="I53" s="4" t="s">
        <v>418</v>
      </c>
    </row>
    <row r="54" spans="2:9" x14ac:dyDescent="0.3">
      <c r="B54" s="44">
        <v>45969</v>
      </c>
      <c r="C54" s="3" t="s">
        <v>416</v>
      </c>
      <c r="D54" s="3" t="s">
        <v>70</v>
      </c>
      <c r="E54" s="101"/>
      <c r="F54" s="3" t="s">
        <v>401</v>
      </c>
      <c r="G54" s="4">
        <v>3202000</v>
      </c>
      <c r="H54" s="3" t="s">
        <v>370</v>
      </c>
      <c r="I54" s="4">
        <v>3211903</v>
      </c>
    </row>
    <row r="55" spans="2:9" x14ac:dyDescent="0.3">
      <c r="B55" s="44">
        <v>45969</v>
      </c>
      <c r="C55" s="3" t="s">
        <v>416</v>
      </c>
      <c r="D55" s="3" t="s">
        <v>70</v>
      </c>
      <c r="E55" s="101"/>
      <c r="F55" s="3" t="s">
        <v>378</v>
      </c>
      <c r="G55" s="4">
        <v>3197802</v>
      </c>
      <c r="H55" s="3" t="s">
        <v>399</v>
      </c>
      <c r="I55" s="4">
        <v>3207401</v>
      </c>
    </row>
    <row r="56" spans="2:9" x14ac:dyDescent="0.3">
      <c r="B56" s="44">
        <v>45969</v>
      </c>
      <c r="C56" s="3" t="s">
        <v>416</v>
      </c>
      <c r="D56" s="3" t="s">
        <v>70</v>
      </c>
      <c r="E56" s="101"/>
      <c r="F56" s="3" t="s">
        <v>371</v>
      </c>
      <c r="G56" s="53">
        <v>3212006</v>
      </c>
      <c r="H56" s="3" t="s">
        <v>434</v>
      </c>
      <c r="I56" s="4">
        <v>3195408</v>
      </c>
    </row>
    <row r="57" spans="2:9" x14ac:dyDescent="0.3">
      <c r="B57" s="44">
        <v>45969</v>
      </c>
      <c r="C57" s="3" t="s">
        <v>416</v>
      </c>
      <c r="D57" s="3" t="s">
        <v>70</v>
      </c>
      <c r="E57" s="101"/>
      <c r="F57" s="3" t="s">
        <v>404</v>
      </c>
      <c r="G57" s="53">
        <v>3196605</v>
      </c>
      <c r="H57" s="3" t="s">
        <v>460</v>
      </c>
      <c r="I57" s="4">
        <v>3194503</v>
      </c>
    </row>
    <row r="58" spans="2:9" x14ac:dyDescent="0.3">
      <c r="B58" s="44">
        <v>45969</v>
      </c>
      <c r="C58" s="3" t="s">
        <v>416</v>
      </c>
      <c r="D58" s="3" t="s">
        <v>70</v>
      </c>
      <c r="E58" s="101"/>
      <c r="F58" s="3" t="s">
        <v>400</v>
      </c>
      <c r="G58" s="4">
        <v>3818608</v>
      </c>
      <c r="H58" s="3" t="s">
        <v>379</v>
      </c>
      <c r="I58" s="4">
        <v>3194409</v>
      </c>
    </row>
    <row r="59" spans="2:9" x14ac:dyDescent="0.3">
      <c r="B59" s="4"/>
      <c r="E59" s="101"/>
      <c r="F59" s="3" t="s">
        <v>418</v>
      </c>
      <c r="G59" s="4" t="s">
        <v>418</v>
      </c>
      <c r="H59" s="3" t="s">
        <v>418</v>
      </c>
      <c r="I59" s="4" t="s">
        <v>418</v>
      </c>
    </row>
    <row r="60" spans="2:9" x14ac:dyDescent="0.3">
      <c r="B60" s="44">
        <v>45976</v>
      </c>
      <c r="C60" s="3" t="s">
        <v>416</v>
      </c>
      <c r="D60" s="3" t="s">
        <v>70</v>
      </c>
      <c r="E60" s="101"/>
      <c r="F60" s="3" t="s">
        <v>370</v>
      </c>
      <c r="G60" s="4">
        <v>3211903</v>
      </c>
      <c r="H60" s="3" t="s">
        <v>378</v>
      </c>
      <c r="I60" s="4">
        <v>3197802</v>
      </c>
    </row>
    <row r="61" spans="2:9" x14ac:dyDescent="0.3">
      <c r="B61" s="44">
        <v>45976</v>
      </c>
      <c r="C61" s="3" t="s">
        <v>416</v>
      </c>
      <c r="D61" s="3" t="s">
        <v>70</v>
      </c>
      <c r="E61" s="101"/>
      <c r="F61" s="3" t="s">
        <v>434</v>
      </c>
      <c r="G61" s="4">
        <v>3195408</v>
      </c>
      <c r="H61" s="3" t="s">
        <v>404</v>
      </c>
      <c r="I61" s="53">
        <v>3196605</v>
      </c>
    </row>
    <row r="62" spans="2:9" x14ac:dyDescent="0.3">
      <c r="B62" s="44">
        <v>45976</v>
      </c>
      <c r="C62" s="3" t="s">
        <v>416</v>
      </c>
      <c r="D62" s="3" t="s">
        <v>70</v>
      </c>
      <c r="E62" s="101"/>
      <c r="F62" s="3" t="s">
        <v>399</v>
      </c>
      <c r="G62" s="4">
        <v>3207401</v>
      </c>
      <c r="H62" s="3" t="s">
        <v>400</v>
      </c>
      <c r="I62" s="4">
        <v>3818608</v>
      </c>
    </row>
    <row r="63" spans="2:9" x14ac:dyDescent="0.3">
      <c r="B63" s="44">
        <v>45976</v>
      </c>
      <c r="C63" s="3" t="s">
        <v>416</v>
      </c>
      <c r="D63" s="3" t="s">
        <v>70</v>
      </c>
      <c r="E63" s="101"/>
      <c r="F63" s="3" t="s">
        <v>371</v>
      </c>
      <c r="G63" s="53">
        <v>3212006</v>
      </c>
      <c r="H63" s="3" t="s">
        <v>379</v>
      </c>
      <c r="I63" s="4">
        <v>3194409</v>
      </c>
    </row>
    <row r="64" spans="2:9" x14ac:dyDescent="0.3">
      <c r="B64" s="44">
        <v>45976</v>
      </c>
      <c r="C64" s="3" t="s">
        <v>416</v>
      </c>
      <c r="D64" s="3" t="s">
        <v>70</v>
      </c>
      <c r="E64" s="101"/>
      <c r="F64" s="3" t="s">
        <v>460</v>
      </c>
      <c r="G64" s="4">
        <v>3194503</v>
      </c>
      <c r="H64" s="3" t="s">
        <v>401</v>
      </c>
      <c r="I64" s="4">
        <v>3202000</v>
      </c>
    </row>
    <row r="65" spans="2:9" x14ac:dyDescent="0.3">
      <c r="B65" s="4"/>
      <c r="E65" s="101"/>
      <c r="F65" s="3" t="s">
        <v>418</v>
      </c>
      <c r="G65" s="4" t="s">
        <v>418</v>
      </c>
      <c r="H65" s="3" t="s">
        <v>418</v>
      </c>
      <c r="I65" s="4" t="s">
        <v>418</v>
      </c>
    </row>
    <row r="66" spans="2:9" x14ac:dyDescent="0.3">
      <c r="B66" s="44">
        <v>45983</v>
      </c>
      <c r="C66" s="3" t="s">
        <v>416</v>
      </c>
      <c r="D66" s="3" t="s">
        <v>70</v>
      </c>
      <c r="E66" s="101"/>
      <c r="F66" s="3" t="s">
        <v>401</v>
      </c>
      <c r="G66" s="4">
        <v>3202000</v>
      </c>
      <c r="H66" s="3" t="s">
        <v>434</v>
      </c>
      <c r="I66" s="4">
        <v>3195408</v>
      </c>
    </row>
    <row r="67" spans="2:9" x14ac:dyDescent="0.3">
      <c r="B67" s="44">
        <v>45983</v>
      </c>
      <c r="C67" s="3" t="s">
        <v>416</v>
      </c>
      <c r="D67" s="3" t="s">
        <v>70</v>
      </c>
      <c r="E67" s="101"/>
      <c r="F67" s="3" t="s">
        <v>399</v>
      </c>
      <c r="G67" s="4">
        <v>3207401</v>
      </c>
      <c r="H67" s="3" t="s">
        <v>371</v>
      </c>
      <c r="I67" s="53">
        <v>3212006</v>
      </c>
    </row>
    <row r="68" spans="2:9" x14ac:dyDescent="0.3">
      <c r="B68" s="44">
        <v>45983</v>
      </c>
      <c r="C68" s="3" t="s">
        <v>416</v>
      </c>
      <c r="D68" s="3" t="s">
        <v>70</v>
      </c>
      <c r="E68" s="101"/>
      <c r="F68" s="3" t="s">
        <v>379</v>
      </c>
      <c r="G68" s="4">
        <v>3194409</v>
      </c>
      <c r="H68" s="3" t="s">
        <v>404</v>
      </c>
      <c r="I68" s="53">
        <v>3196605</v>
      </c>
    </row>
    <row r="69" spans="2:9" x14ac:dyDescent="0.3">
      <c r="B69" s="44">
        <v>45983</v>
      </c>
      <c r="C69" s="3" t="s">
        <v>416</v>
      </c>
      <c r="D69" s="3" t="s">
        <v>70</v>
      </c>
      <c r="E69" s="101"/>
      <c r="F69" s="3" t="s">
        <v>378</v>
      </c>
      <c r="G69" s="4">
        <v>3197802</v>
      </c>
      <c r="H69" s="3" t="s">
        <v>400</v>
      </c>
      <c r="I69" s="4">
        <v>3818608</v>
      </c>
    </row>
    <row r="70" spans="2:9" x14ac:dyDescent="0.3">
      <c r="B70" s="44">
        <v>45983</v>
      </c>
      <c r="C70" s="3" t="s">
        <v>416</v>
      </c>
      <c r="D70" s="3" t="s">
        <v>70</v>
      </c>
      <c r="E70" s="101"/>
      <c r="F70" s="3" t="s">
        <v>460</v>
      </c>
      <c r="G70" s="4">
        <v>3194503</v>
      </c>
      <c r="H70" s="3" t="s">
        <v>370</v>
      </c>
      <c r="I70" s="4">
        <v>3211903</v>
      </c>
    </row>
    <row r="71" spans="2:9" x14ac:dyDescent="0.3">
      <c r="B71" s="4"/>
      <c r="E71" s="101"/>
      <c r="F71" s="3" t="s">
        <v>418</v>
      </c>
      <c r="G71" s="4" t="s">
        <v>418</v>
      </c>
      <c r="H71" s="3" t="s">
        <v>418</v>
      </c>
      <c r="I71" s="4" t="s">
        <v>418</v>
      </c>
    </row>
    <row r="72" spans="2:9" x14ac:dyDescent="0.3">
      <c r="B72" s="44">
        <v>45990</v>
      </c>
      <c r="C72" s="3" t="s">
        <v>416</v>
      </c>
      <c r="D72" s="3" t="s">
        <v>70</v>
      </c>
      <c r="E72" s="101"/>
      <c r="F72" s="3" t="s">
        <v>400</v>
      </c>
      <c r="G72" s="4">
        <v>3818608</v>
      </c>
      <c r="H72" s="3" t="s">
        <v>370</v>
      </c>
      <c r="I72" s="4">
        <v>3211903</v>
      </c>
    </row>
    <row r="73" spans="2:9" x14ac:dyDescent="0.3">
      <c r="B73" s="44">
        <v>45990</v>
      </c>
      <c r="C73" s="3" t="s">
        <v>416</v>
      </c>
      <c r="D73" s="3" t="s">
        <v>70</v>
      </c>
      <c r="E73" s="101"/>
      <c r="F73" s="3" t="s">
        <v>434</v>
      </c>
      <c r="G73" s="4">
        <v>3195408</v>
      </c>
      <c r="H73" s="3" t="s">
        <v>460</v>
      </c>
      <c r="I73" s="4">
        <v>3194503</v>
      </c>
    </row>
    <row r="74" spans="2:9" x14ac:dyDescent="0.3">
      <c r="B74" s="44">
        <v>45990</v>
      </c>
      <c r="C74" s="3" t="s">
        <v>416</v>
      </c>
      <c r="D74" s="3" t="s">
        <v>70</v>
      </c>
      <c r="E74" s="101"/>
      <c r="F74" s="3" t="s">
        <v>404</v>
      </c>
      <c r="G74" s="53">
        <v>3196605</v>
      </c>
      <c r="H74" s="3" t="s">
        <v>399</v>
      </c>
      <c r="I74" s="4">
        <v>3207401</v>
      </c>
    </row>
    <row r="75" spans="2:9" x14ac:dyDescent="0.3">
      <c r="B75" s="44">
        <v>45990</v>
      </c>
      <c r="C75" s="3" t="s">
        <v>416</v>
      </c>
      <c r="D75" s="3" t="s">
        <v>70</v>
      </c>
      <c r="E75" s="101"/>
      <c r="F75" s="3" t="s">
        <v>371</v>
      </c>
      <c r="G75" s="53">
        <v>3212006</v>
      </c>
      <c r="H75" s="3" t="s">
        <v>378</v>
      </c>
      <c r="I75" s="4">
        <v>3197802</v>
      </c>
    </row>
    <row r="76" spans="2:9" x14ac:dyDescent="0.3">
      <c r="B76" s="44">
        <v>45990</v>
      </c>
      <c r="C76" s="3" t="s">
        <v>416</v>
      </c>
      <c r="D76" s="3" t="s">
        <v>70</v>
      </c>
      <c r="E76" s="101"/>
      <c r="F76" s="3" t="s">
        <v>379</v>
      </c>
      <c r="G76" s="4">
        <v>3194409</v>
      </c>
      <c r="H76" s="3" t="s">
        <v>401</v>
      </c>
      <c r="I76" s="4">
        <v>3202000</v>
      </c>
    </row>
    <row r="77" spans="2:9" x14ac:dyDescent="0.3">
      <c r="B77" s="44"/>
      <c r="E77" s="101"/>
      <c r="F77" s="3" t="s">
        <v>418</v>
      </c>
      <c r="G77" s="4" t="s">
        <v>418</v>
      </c>
      <c r="H77" s="3" t="s">
        <v>418</v>
      </c>
      <c r="I77" s="4" t="s">
        <v>418</v>
      </c>
    </row>
    <row r="78" spans="2:9" x14ac:dyDescent="0.3">
      <c r="B78" s="44">
        <v>46039</v>
      </c>
      <c r="C78" s="3" t="s">
        <v>416</v>
      </c>
      <c r="D78" s="3" t="s">
        <v>70</v>
      </c>
      <c r="E78" s="101"/>
      <c r="F78" s="3" t="s">
        <v>370</v>
      </c>
      <c r="G78" s="4">
        <v>3211903</v>
      </c>
      <c r="H78" s="3" t="s">
        <v>434</v>
      </c>
      <c r="I78" s="4">
        <v>3195408</v>
      </c>
    </row>
    <row r="79" spans="2:9" x14ac:dyDescent="0.3">
      <c r="B79" s="44">
        <v>46039</v>
      </c>
      <c r="C79" s="3" t="s">
        <v>416</v>
      </c>
      <c r="D79" s="3" t="s">
        <v>70</v>
      </c>
      <c r="E79" s="101"/>
      <c r="F79" s="3" t="s">
        <v>399</v>
      </c>
      <c r="G79" s="4">
        <v>3207401</v>
      </c>
      <c r="H79" s="3" t="s">
        <v>401</v>
      </c>
      <c r="I79" s="4">
        <v>3202000</v>
      </c>
    </row>
    <row r="80" spans="2:9" x14ac:dyDescent="0.3">
      <c r="B80" s="44">
        <v>46039</v>
      </c>
      <c r="C80" s="3" t="s">
        <v>416</v>
      </c>
      <c r="D80" s="3" t="s">
        <v>70</v>
      </c>
      <c r="E80" s="101"/>
      <c r="F80" s="3" t="s">
        <v>378</v>
      </c>
      <c r="G80" s="4">
        <v>3197802</v>
      </c>
      <c r="H80" s="3" t="s">
        <v>404</v>
      </c>
      <c r="I80" s="53">
        <v>3196605</v>
      </c>
    </row>
    <row r="81" spans="2:9" x14ac:dyDescent="0.3">
      <c r="B81" s="44">
        <v>46039</v>
      </c>
      <c r="C81" s="3" t="s">
        <v>416</v>
      </c>
      <c r="D81" s="3" t="s">
        <v>70</v>
      </c>
      <c r="E81" s="101"/>
      <c r="F81" s="3" t="s">
        <v>460</v>
      </c>
      <c r="G81" s="4">
        <v>3194503</v>
      </c>
      <c r="H81" s="3" t="s">
        <v>379</v>
      </c>
      <c r="I81" s="4">
        <v>3194409</v>
      </c>
    </row>
    <row r="82" spans="2:9" x14ac:dyDescent="0.3">
      <c r="B82" s="44">
        <v>46039</v>
      </c>
      <c r="C82" s="3" t="s">
        <v>416</v>
      </c>
      <c r="D82" s="3" t="s">
        <v>70</v>
      </c>
      <c r="E82" s="101"/>
      <c r="F82" s="3" t="s">
        <v>400</v>
      </c>
      <c r="G82" s="4">
        <v>3818608</v>
      </c>
      <c r="H82" s="3" t="s">
        <v>371</v>
      </c>
      <c r="I82" s="53">
        <v>3212006</v>
      </c>
    </row>
    <row r="83" spans="2:9" x14ac:dyDescent="0.3">
      <c r="B83" s="44"/>
      <c r="E83" s="101"/>
      <c r="F83" s="3" t="s">
        <v>418</v>
      </c>
      <c r="G83" s="4" t="s">
        <v>418</v>
      </c>
      <c r="H83" s="3" t="s">
        <v>418</v>
      </c>
      <c r="I83" s="4" t="s">
        <v>418</v>
      </c>
    </row>
    <row r="84" spans="2:9" x14ac:dyDescent="0.3">
      <c r="B84" s="44">
        <v>46046</v>
      </c>
      <c r="C84" s="3" t="s">
        <v>416</v>
      </c>
      <c r="D84" s="3" t="s">
        <v>70</v>
      </c>
      <c r="E84" s="101"/>
      <c r="F84" s="3" t="s">
        <v>401</v>
      </c>
      <c r="G84" s="4">
        <v>3202000</v>
      </c>
      <c r="H84" s="3" t="s">
        <v>378</v>
      </c>
      <c r="I84" s="4">
        <v>3197802</v>
      </c>
    </row>
    <row r="85" spans="2:9" x14ac:dyDescent="0.3">
      <c r="B85" s="44">
        <v>46046</v>
      </c>
      <c r="C85" s="3" t="s">
        <v>416</v>
      </c>
      <c r="D85" s="3" t="s">
        <v>70</v>
      </c>
      <c r="E85" s="101"/>
      <c r="F85" s="3" t="s">
        <v>434</v>
      </c>
      <c r="G85" s="4">
        <v>3195408</v>
      </c>
      <c r="H85" s="3" t="s">
        <v>379</v>
      </c>
      <c r="I85" s="4">
        <v>3194409</v>
      </c>
    </row>
    <row r="86" spans="2:9" x14ac:dyDescent="0.3">
      <c r="B86" s="44">
        <v>46046</v>
      </c>
      <c r="C86" s="3" t="s">
        <v>416</v>
      </c>
      <c r="D86" s="3" t="s">
        <v>70</v>
      </c>
      <c r="E86" s="101"/>
      <c r="F86" s="3" t="s">
        <v>371</v>
      </c>
      <c r="G86" s="53">
        <v>3212006</v>
      </c>
      <c r="H86" s="3" t="s">
        <v>370</v>
      </c>
      <c r="I86" s="4">
        <v>3211903</v>
      </c>
    </row>
    <row r="87" spans="2:9" x14ac:dyDescent="0.3">
      <c r="B87" s="44">
        <v>46046</v>
      </c>
      <c r="C87" s="3" t="s">
        <v>416</v>
      </c>
      <c r="D87" s="3" t="s">
        <v>70</v>
      </c>
      <c r="E87" s="101"/>
      <c r="F87" s="3" t="s">
        <v>404</v>
      </c>
      <c r="G87" s="53">
        <v>3196605</v>
      </c>
      <c r="H87" s="3" t="s">
        <v>400</v>
      </c>
      <c r="I87" s="4">
        <v>3818608</v>
      </c>
    </row>
    <row r="88" spans="2:9" x14ac:dyDescent="0.3">
      <c r="B88" s="44">
        <v>46046</v>
      </c>
      <c r="C88" s="3" t="s">
        <v>416</v>
      </c>
      <c r="D88" s="3" t="s">
        <v>70</v>
      </c>
      <c r="E88" s="101"/>
      <c r="F88" s="3" t="s">
        <v>460</v>
      </c>
      <c r="G88" s="4">
        <v>3194503</v>
      </c>
      <c r="H88" s="3" t="s">
        <v>399</v>
      </c>
      <c r="I88" s="4">
        <v>3207401</v>
      </c>
    </row>
    <row r="89" spans="2:9" x14ac:dyDescent="0.3">
      <c r="B89" s="44"/>
      <c r="E89" s="101"/>
      <c r="F89" s="3" t="s">
        <v>418</v>
      </c>
      <c r="G89" s="4" t="s">
        <v>418</v>
      </c>
      <c r="H89" s="3" t="s">
        <v>418</v>
      </c>
      <c r="I89" s="4" t="s">
        <v>418</v>
      </c>
    </row>
    <row r="90" spans="2:9" x14ac:dyDescent="0.3">
      <c r="B90" s="44">
        <v>46053</v>
      </c>
      <c r="C90" s="3" t="s">
        <v>416</v>
      </c>
      <c r="D90" s="3" t="s">
        <v>70</v>
      </c>
      <c r="E90" s="101"/>
      <c r="F90" s="3" t="s">
        <v>399</v>
      </c>
      <c r="G90" s="4">
        <v>3207401</v>
      </c>
      <c r="H90" s="3" t="s">
        <v>434</v>
      </c>
      <c r="I90" s="4">
        <v>3195408</v>
      </c>
    </row>
    <row r="91" spans="2:9" x14ac:dyDescent="0.3">
      <c r="B91" s="44">
        <v>46053</v>
      </c>
      <c r="C91" s="3" t="s">
        <v>416</v>
      </c>
      <c r="D91" s="3" t="s">
        <v>70</v>
      </c>
      <c r="E91" s="101"/>
      <c r="F91" s="3" t="s">
        <v>378</v>
      </c>
      <c r="G91" s="4">
        <v>3197802</v>
      </c>
      <c r="H91" s="3" t="s">
        <v>460</v>
      </c>
      <c r="I91" s="4">
        <v>3194503</v>
      </c>
    </row>
    <row r="92" spans="2:9" x14ac:dyDescent="0.3">
      <c r="B92" s="44">
        <v>46053</v>
      </c>
      <c r="C92" s="3" t="s">
        <v>416</v>
      </c>
      <c r="D92" s="3" t="s">
        <v>70</v>
      </c>
      <c r="E92" s="101"/>
      <c r="F92" s="3" t="s">
        <v>371</v>
      </c>
      <c r="G92" s="53">
        <v>3212006</v>
      </c>
      <c r="H92" s="3" t="s">
        <v>404</v>
      </c>
      <c r="I92" s="53">
        <v>3196605</v>
      </c>
    </row>
    <row r="93" spans="2:9" x14ac:dyDescent="0.3">
      <c r="B93" s="44">
        <v>46053</v>
      </c>
      <c r="C93" s="3" t="s">
        <v>416</v>
      </c>
      <c r="D93" s="3" t="s">
        <v>70</v>
      </c>
      <c r="E93" s="101"/>
      <c r="F93" s="3" t="s">
        <v>379</v>
      </c>
      <c r="G93" s="4">
        <v>3194409</v>
      </c>
      <c r="H93" s="3" t="s">
        <v>370</v>
      </c>
      <c r="I93" s="4">
        <v>3211903</v>
      </c>
    </row>
    <row r="94" spans="2:9" x14ac:dyDescent="0.3">
      <c r="B94" s="44">
        <v>46053</v>
      </c>
      <c r="C94" s="3" t="s">
        <v>416</v>
      </c>
      <c r="D94" s="3" t="s">
        <v>70</v>
      </c>
      <c r="E94" s="101"/>
      <c r="F94" s="3" t="s">
        <v>400</v>
      </c>
      <c r="G94" s="4">
        <v>3818608</v>
      </c>
      <c r="H94" s="3" t="s">
        <v>401</v>
      </c>
      <c r="I94" s="4">
        <v>3202000</v>
      </c>
    </row>
    <row r="95" spans="2:9" x14ac:dyDescent="0.3">
      <c r="B95" s="44"/>
      <c r="E95" s="101"/>
      <c r="F95" s="3" t="s">
        <v>418</v>
      </c>
      <c r="G95" s="4" t="s">
        <v>418</v>
      </c>
      <c r="H95" s="3" t="s">
        <v>418</v>
      </c>
      <c r="I95" s="4" t="s">
        <v>418</v>
      </c>
    </row>
    <row r="96" spans="2:9" x14ac:dyDescent="0.3">
      <c r="B96" s="44">
        <v>46060</v>
      </c>
      <c r="C96" s="3" t="s">
        <v>416</v>
      </c>
      <c r="D96" s="3" t="s">
        <v>70</v>
      </c>
      <c r="E96" s="101"/>
      <c r="F96" s="3" t="s">
        <v>370</v>
      </c>
      <c r="G96" s="4">
        <v>3211903</v>
      </c>
      <c r="H96" s="3" t="s">
        <v>404</v>
      </c>
      <c r="I96" s="53">
        <v>3196605</v>
      </c>
    </row>
    <row r="97" spans="2:9" x14ac:dyDescent="0.3">
      <c r="B97" s="44">
        <v>46060</v>
      </c>
      <c r="C97" s="3" t="s">
        <v>416</v>
      </c>
      <c r="D97" s="3" t="s">
        <v>70</v>
      </c>
      <c r="E97" s="101"/>
      <c r="F97" s="3" t="s">
        <v>401</v>
      </c>
      <c r="G97" s="4">
        <v>3202000</v>
      </c>
      <c r="H97" s="3" t="s">
        <v>371</v>
      </c>
      <c r="I97" s="53">
        <v>3212006</v>
      </c>
    </row>
    <row r="98" spans="2:9" x14ac:dyDescent="0.3">
      <c r="B98" s="44">
        <v>46060</v>
      </c>
      <c r="C98" s="3" t="s">
        <v>416</v>
      </c>
      <c r="D98" s="3" t="s">
        <v>70</v>
      </c>
      <c r="E98" s="101"/>
      <c r="F98" s="3" t="s">
        <v>434</v>
      </c>
      <c r="G98" s="4">
        <v>3195408</v>
      </c>
      <c r="H98" s="3" t="s">
        <v>378</v>
      </c>
      <c r="I98" s="4">
        <v>3197802</v>
      </c>
    </row>
    <row r="99" spans="2:9" x14ac:dyDescent="0.3">
      <c r="B99" s="44">
        <v>46060</v>
      </c>
      <c r="C99" s="3" t="s">
        <v>416</v>
      </c>
      <c r="D99" s="3" t="s">
        <v>70</v>
      </c>
      <c r="E99" s="101"/>
      <c r="F99" s="3" t="s">
        <v>379</v>
      </c>
      <c r="G99" s="4">
        <v>3194409</v>
      </c>
      <c r="H99" s="3" t="s">
        <v>399</v>
      </c>
      <c r="I99" s="4">
        <v>3207401</v>
      </c>
    </row>
    <row r="100" spans="2:9" x14ac:dyDescent="0.3">
      <c r="B100" s="44">
        <v>46060</v>
      </c>
      <c r="C100" s="3" t="s">
        <v>416</v>
      </c>
      <c r="D100" s="3" t="s">
        <v>70</v>
      </c>
      <c r="E100" s="101"/>
      <c r="F100" s="3" t="s">
        <v>460</v>
      </c>
      <c r="G100" s="4">
        <v>3194503</v>
      </c>
      <c r="H100" s="3" t="s">
        <v>400</v>
      </c>
      <c r="I100" s="4">
        <v>3818608</v>
      </c>
    </row>
    <row r="101" spans="2:9" x14ac:dyDescent="0.3">
      <c r="B101" s="44"/>
      <c r="E101" s="101"/>
      <c r="F101" s="3" t="s">
        <v>418</v>
      </c>
      <c r="G101" s="4" t="s">
        <v>418</v>
      </c>
      <c r="H101" s="3" t="s">
        <v>418</v>
      </c>
      <c r="I101" s="4" t="s">
        <v>418</v>
      </c>
    </row>
    <row r="102" spans="2:9" x14ac:dyDescent="0.3">
      <c r="B102" s="44">
        <v>46081</v>
      </c>
      <c r="C102" s="3" t="s">
        <v>416</v>
      </c>
      <c r="D102" s="3" t="s">
        <v>70</v>
      </c>
      <c r="E102" s="101"/>
      <c r="F102" s="3" t="s">
        <v>399</v>
      </c>
      <c r="G102" s="4">
        <v>3207401</v>
      </c>
      <c r="H102" s="3" t="s">
        <v>370</v>
      </c>
      <c r="I102" s="4">
        <v>3211903</v>
      </c>
    </row>
    <row r="103" spans="2:9" x14ac:dyDescent="0.3">
      <c r="B103" s="44">
        <v>46081</v>
      </c>
      <c r="C103" s="3" t="s">
        <v>416</v>
      </c>
      <c r="D103" s="3" t="s">
        <v>70</v>
      </c>
      <c r="E103" s="101"/>
      <c r="F103" s="3" t="s">
        <v>378</v>
      </c>
      <c r="G103" s="4">
        <v>3197802</v>
      </c>
      <c r="H103" s="3" t="s">
        <v>379</v>
      </c>
      <c r="I103" s="4">
        <v>3194409</v>
      </c>
    </row>
    <row r="104" spans="2:9" x14ac:dyDescent="0.3">
      <c r="B104" s="44">
        <v>46081</v>
      </c>
      <c r="C104" s="3" t="s">
        <v>416</v>
      </c>
      <c r="D104" s="3" t="s">
        <v>70</v>
      </c>
      <c r="E104" s="101"/>
      <c r="F104" s="3" t="s">
        <v>371</v>
      </c>
      <c r="G104" s="53">
        <v>3212006</v>
      </c>
      <c r="H104" s="3" t="s">
        <v>460</v>
      </c>
      <c r="I104" s="4">
        <v>3194503</v>
      </c>
    </row>
    <row r="105" spans="2:9" x14ac:dyDescent="0.3">
      <c r="B105" s="44">
        <v>46081</v>
      </c>
      <c r="C105" s="3" t="s">
        <v>416</v>
      </c>
      <c r="D105" s="3" t="s">
        <v>70</v>
      </c>
      <c r="E105" s="101"/>
      <c r="F105" s="3" t="s">
        <v>404</v>
      </c>
      <c r="G105" s="53">
        <v>3196605</v>
      </c>
      <c r="H105" s="3" t="s">
        <v>401</v>
      </c>
      <c r="I105" s="4">
        <v>3202000</v>
      </c>
    </row>
    <row r="106" spans="2:9" x14ac:dyDescent="0.3">
      <c r="B106" s="44">
        <v>46081</v>
      </c>
      <c r="C106" s="3" t="s">
        <v>416</v>
      </c>
      <c r="D106" s="3" t="s">
        <v>70</v>
      </c>
      <c r="E106" s="101"/>
      <c r="F106" s="3" t="s">
        <v>400</v>
      </c>
      <c r="G106" s="4">
        <v>3818608</v>
      </c>
      <c r="H106" s="3" t="s">
        <v>434</v>
      </c>
      <c r="I106" s="4">
        <v>3195408</v>
      </c>
    </row>
    <row r="107" spans="2:9" x14ac:dyDescent="0.3">
      <c r="B107" s="4"/>
      <c r="E107" s="101"/>
      <c r="F107" s="3" t="s">
        <v>418</v>
      </c>
      <c r="G107" s="4" t="s">
        <v>418</v>
      </c>
      <c r="H107" s="3" t="s">
        <v>418</v>
      </c>
      <c r="I107" s="4" t="s">
        <v>418</v>
      </c>
    </row>
    <row r="108" spans="2:9" x14ac:dyDescent="0.3">
      <c r="B108" s="44">
        <v>46088</v>
      </c>
      <c r="C108" s="3" t="s">
        <v>416</v>
      </c>
      <c r="D108" s="3" t="s">
        <v>70</v>
      </c>
      <c r="E108" s="101"/>
      <c r="F108" s="3" t="s">
        <v>370</v>
      </c>
      <c r="G108" s="4">
        <v>3211903</v>
      </c>
      <c r="H108" s="3" t="s">
        <v>401</v>
      </c>
      <c r="I108" s="4">
        <v>3202000</v>
      </c>
    </row>
    <row r="109" spans="2:9" x14ac:dyDescent="0.3">
      <c r="B109" s="44">
        <v>46088</v>
      </c>
      <c r="C109" s="3" t="s">
        <v>416</v>
      </c>
      <c r="D109" s="3" t="s">
        <v>70</v>
      </c>
      <c r="E109" s="101"/>
      <c r="F109" s="3" t="s">
        <v>434</v>
      </c>
      <c r="G109" s="4">
        <v>3195408</v>
      </c>
      <c r="H109" s="3" t="s">
        <v>371</v>
      </c>
      <c r="I109" s="53">
        <v>3212006</v>
      </c>
    </row>
    <row r="110" spans="2:9" x14ac:dyDescent="0.3">
      <c r="B110" s="44">
        <v>46088</v>
      </c>
      <c r="C110" s="3" t="s">
        <v>416</v>
      </c>
      <c r="D110" s="3" t="s">
        <v>70</v>
      </c>
      <c r="E110" s="101"/>
      <c r="F110" s="3" t="s">
        <v>399</v>
      </c>
      <c r="G110" s="4">
        <v>3207401</v>
      </c>
      <c r="H110" s="3" t="s">
        <v>378</v>
      </c>
      <c r="I110" s="4">
        <v>3197802</v>
      </c>
    </row>
    <row r="111" spans="2:9" x14ac:dyDescent="0.3">
      <c r="B111" s="44">
        <v>46088</v>
      </c>
      <c r="C111" s="3" t="s">
        <v>416</v>
      </c>
      <c r="D111" s="3" t="s">
        <v>70</v>
      </c>
      <c r="E111" s="101"/>
      <c r="F111" s="3" t="s">
        <v>379</v>
      </c>
      <c r="G111" s="4">
        <v>3194409</v>
      </c>
      <c r="H111" s="3" t="s">
        <v>400</v>
      </c>
      <c r="I111" s="4">
        <v>3818608</v>
      </c>
    </row>
    <row r="112" spans="2:9" x14ac:dyDescent="0.3">
      <c r="B112" s="44">
        <v>46088</v>
      </c>
      <c r="C112" s="3" t="s">
        <v>416</v>
      </c>
      <c r="D112" s="3" t="s">
        <v>70</v>
      </c>
      <c r="E112" s="101"/>
      <c r="F112" s="3" t="s">
        <v>460</v>
      </c>
      <c r="G112" s="4">
        <v>3194503</v>
      </c>
      <c r="H112" s="3" t="s">
        <v>404</v>
      </c>
      <c r="I112" s="53">
        <v>3196605</v>
      </c>
    </row>
    <row r="113" spans="2:9" x14ac:dyDescent="0.3">
      <c r="B113" s="44"/>
      <c r="E113" s="101"/>
      <c r="F113" s="3" t="s">
        <v>418</v>
      </c>
      <c r="G113" s="4" t="s">
        <v>418</v>
      </c>
      <c r="H113" s="3" t="s">
        <v>418</v>
      </c>
      <c r="I113" s="4" t="s">
        <v>418</v>
      </c>
    </row>
    <row r="114" spans="2:9" x14ac:dyDescent="0.3">
      <c r="B114" s="44">
        <v>46095</v>
      </c>
      <c r="C114" s="3" t="s">
        <v>416</v>
      </c>
      <c r="D114" s="3" t="s">
        <v>70</v>
      </c>
      <c r="E114" s="101"/>
      <c r="F114" s="3" t="s">
        <v>401</v>
      </c>
      <c r="G114" s="4">
        <v>3202000</v>
      </c>
      <c r="H114" s="3" t="s">
        <v>460</v>
      </c>
      <c r="I114" s="4">
        <v>3194503</v>
      </c>
    </row>
    <row r="115" spans="2:9" x14ac:dyDescent="0.3">
      <c r="B115" s="44">
        <v>46095</v>
      </c>
      <c r="C115" s="3" t="s">
        <v>416</v>
      </c>
      <c r="D115" s="3" t="s">
        <v>70</v>
      </c>
      <c r="E115" s="101"/>
      <c r="F115" s="3" t="s">
        <v>378</v>
      </c>
      <c r="G115" s="4">
        <v>3197802</v>
      </c>
      <c r="H115" s="3" t="s">
        <v>370</v>
      </c>
      <c r="I115" s="4">
        <v>3211903</v>
      </c>
    </row>
    <row r="116" spans="2:9" x14ac:dyDescent="0.3">
      <c r="B116" s="44">
        <v>46095</v>
      </c>
      <c r="C116" s="3" t="s">
        <v>416</v>
      </c>
      <c r="D116" s="3" t="s">
        <v>70</v>
      </c>
      <c r="E116" s="101"/>
      <c r="F116" s="3" t="s">
        <v>379</v>
      </c>
      <c r="G116" s="4">
        <v>3194409</v>
      </c>
      <c r="H116" s="3" t="s">
        <v>371</v>
      </c>
      <c r="I116" s="53">
        <v>3212006</v>
      </c>
    </row>
    <row r="117" spans="2:9" x14ac:dyDescent="0.3">
      <c r="B117" s="44">
        <v>46095</v>
      </c>
      <c r="C117" s="3" t="s">
        <v>416</v>
      </c>
      <c r="D117" s="3" t="s">
        <v>70</v>
      </c>
      <c r="E117" s="101"/>
      <c r="F117" s="3" t="s">
        <v>404</v>
      </c>
      <c r="G117" s="53">
        <v>3196605</v>
      </c>
      <c r="H117" s="3" t="s">
        <v>434</v>
      </c>
      <c r="I117" s="4">
        <v>3195408</v>
      </c>
    </row>
    <row r="118" spans="2:9" x14ac:dyDescent="0.3">
      <c r="B118" s="44">
        <v>46095</v>
      </c>
      <c r="C118" s="3" t="s">
        <v>416</v>
      </c>
      <c r="D118" s="3" t="s">
        <v>70</v>
      </c>
      <c r="E118" s="101"/>
      <c r="F118" s="3" t="s">
        <v>400</v>
      </c>
      <c r="G118" s="4">
        <v>3818608</v>
      </c>
      <c r="H118" s="3" t="s">
        <v>399</v>
      </c>
      <c r="I118" s="4">
        <v>3207401</v>
      </c>
    </row>
    <row r="119" spans="2:9" x14ac:dyDescent="0.3">
      <c r="B119" s="44"/>
      <c r="E119" s="101"/>
      <c r="F119" s="3" t="s">
        <v>418</v>
      </c>
      <c r="G119" s="4" t="s">
        <v>418</v>
      </c>
      <c r="H119" s="3" t="s">
        <v>418</v>
      </c>
      <c r="I119" s="4" t="s">
        <v>418</v>
      </c>
    </row>
    <row r="120" spans="2:9" x14ac:dyDescent="0.3">
      <c r="B120" s="44">
        <v>46102</v>
      </c>
      <c r="C120" s="3" t="s">
        <v>416</v>
      </c>
      <c r="D120" s="3" t="s">
        <v>70</v>
      </c>
      <c r="E120" s="101"/>
      <c r="F120" s="3" t="s">
        <v>370</v>
      </c>
      <c r="G120" s="4">
        <v>3211903</v>
      </c>
      <c r="H120" s="3" t="s">
        <v>460</v>
      </c>
      <c r="I120" s="4">
        <v>3194503</v>
      </c>
    </row>
    <row r="121" spans="2:9" x14ac:dyDescent="0.3">
      <c r="B121" s="44">
        <v>46102</v>
      </c>
      <c r="C121" s="3" t="s">
        <v>416</v>
      </c>
      <c r="D121" s="3" t="s">
        <v>70</v>
      </c>
      <c r="E121" s="101"/>
      <c r="F121" s="3" t="s">
        <v>434</v>
      </c>
      <c r="G121" s="4">
        <v>3195408</v>
      </c>
      <c r="H121" s="3" t="s">
        <v>401</v>
      </c>
      <c r="I121" s="4">
        <v>3202000</v>
      </c>
    </row>
    <row r="122" spans="2:9" x14ac:dyDescent="0.3">
      <c r="B122" s="44">
        <v>46102</v>
      </c>
      <c r="C122" s="3" t="s">
        <v>416</v>
      </c>
      <c r="D122" s="3" t="s">
        <v>70</v>
      </c>
      <c r="E122" s="101"/>
      <c r="F122" s="3" t="s">
        <v>371</v>
      </c>
      <c r="G122" s="53">
        <v>3212006</v>
      </c>
      <c r="H122" s="3" t="s">
        <v>399</v>
      </c>
      <c r="I122" s="4">
        <v>3207401</v>
      </c>
    </row>
    <row r="123" spans="2:9" x14ac:dyDescent="0.3">
      <c r="B123" s="44">
        <v>46102</v>
      </c>
      <c r="C123" s="3" t="s">
        <v>416</v>
      </c>
      <c r="D123" s="3" t="s">
        <v>70</v>
      </c>
      <c r="E123" s="101"/>
      <c r="F123" s="3" t="s">
        <v>400</v>
      </c>
      <c r="G123" s="4">
        <v>3818608</v>
      </c>
      <c r="H123" s="3" t="s">
        <v>378</v>
      </c>
      <c r="I123" s="4">
        <v>3197802</v>
      </c>
    </row>
    <row r="124" spans="2:9" x14ac:dyDescent="0.3">
      <c r="B124" s="44">
        <v>46102</v>
      </c>
      <c r="C124" s="3" t="s">
        <v>416</v>
      </c>
      <c r="D124" s="3" t="s">
        <v>70</v>
      </c>
      <c r="E124" s="101"/>
      <c r="F124" s="3" t="s">
        <v>404</v>
      </c>
      <c r="G124" s="53">
        <v>3196605</v>
      </c>
      <c r="H124" s="3" t="s">
        <v>379</v>
      </c>
      <c r="I124" s="4">
        <v>3194409</v>
      </c>
    </row>
    <row r="125" spans="2:9" x14ac:dyDescent="0.3">
      <c r="B125" s="44"/>
      <c r="E125" s="101"/>
      <c r="F125" s="3" t="s">
        <v>418</v>
      </c>
      <c r="G125" s="4" t="s">
        <v>418</v>
      </c>
      <c r="H125" s="3" t="s">
        <v>418</v>
      </c>
      <c r="I125" s="4" t="s">
        <v>418</v>
      </c>
    </row>
    <row r="126" spans="2:9" x14ac:dyDescent="0.3">
      <c r="B126" s="44">
        <v>46109</v>
      </c>
      <c r="C126" s="3" t="s">
        <v>416</v>
      </c>
      <c r="D126" s="3" t="s">
        <v>70</v>
      </c>
      <c r="E126" s="101"/>
      <c r="F126" s="3" t="s">
        <v>401</v>
      </c>
      <c r="G126" s="4">
        <v>3202000</v>
      </c>
      <c r="H126" s="3" t="s">
        <v>379</v>
      </c>
      <c r="I126" s="4">
        <v>3194409</v>
      </c>
    </row>
    <row r="127" spans="2:9" x14ac:dyDescent="0.3">
      <c r="B127" s="44">
        <v>46109</v>
      </c>
      <c r="C127" s="3" t="s">
        <v>416</v>
      </c>
      <c r="D127" s="3" t="s">
        <v>70</v>
      </c>
      <c r="E127" s="101"/>
      <c r="F127" s="3" t="s">
        <v>378</v>
      </c>
      <c r="G127" s="4">
        <v>3197802</v>
      </c>
      <c r="H127" s="3" t="s">
        <v>371</v>
      </c>
      <c r="I127" s="53">
        <v>3212006</v>
      </c>
    </row>
    <row r="128" spans="2:9" x14ac:dyDescent="0.3">
      <c r="B128" s="44">
        <v>46109</v>
      </c>
      <c r="C128" s="3" t="s">
        <v>416</v>
      </c>
      <c r="D128" s="3" t="s">
        <v>70</v>
      </c>
      <c r="E128" s="101"/>
      <c r="F128" s="3" t="s">
        <v>399</v>
      </c>
      <c r="G128" s="4">
        <v>3207401</v>
      </c>
      <c r="H128" s="3" t="s">
        <v>404</v>
      </c>
      <c r="I128" s="53">
        <v>3196605</v>
      </c>
    </row>
    <row r="129" spans="2:9" x14ac:dyDescent="0.3">
      <c r="B129" s="44">
        <v>46109</v>
      </c>
      <c r="C129" s="3" t="s">
        <v>416</v>
      </c>
      <c r="D129" s="3" t="s">
        <v>70</v>
      </c>
      <c r="E129" s="101"/>
      <c r="F129" s="3" t="s">
        <v>370</v>
      </c>
      <c r="G129" s="4">
        <v>3211903</v>
      </c>
      <c r="H129" s="3" t="s">
        <v>400</v>
      </c>
      <c r="I129" s="4">
        <v>3818608</v>
      </c>
    </row>
    <row r="130" spans="2:9" x14ac:dyDescent="0.3">
      <c r="B130" s="44">
        <v>46109</v>
      </c>
      <c r="C130" s="3" t="s">
        <v>416</v>
      </c>
      <c r="D130" s="3" t="s">
        <v>70</v>
      </c>
      <c r="E130" s="101"/>
      <c r="F130" s="3" t="s">
        <v>460</v>
      </c>
      <c r="G130" s="4">
        <v>3194503</v>
      </c>
      <c r="H130" s="3" t="s">
        <v>434</v>
      </c>
      <c r="I130" s="4">
        <v>3195408</v>
      </c>
    </row>
    <row r="131" spans="2:9" x14ac:dyDescent="0.3">
      <c r="B131" s="44"/>
      <c r="E131" s="42"/>
      <c r="F131" s="4"/>
    </row>
    <row r="132" spans="2:9" x14ac:dyDescent="0.3">
      <c r="B132" s="44"/>
    </row>
    <row r="133" spans="2:9" x14ac:dyDescent="0.3">
      <c r="B133" s="44"/>
    </row>
    <row r="134" spans="2:9" x14ac:dyDescent="0.3">
      <c r="B134" s="44"/>
    </row>
    <row r="135" spans="2:9" x14ac:dyDescent="0.3">
      <c r="B135" s="4"/>
    </row>
    <row r="136" spans="2:9" x14ac:dyDescent="0.3">
      <c r="B136" s="44"/>
    </row>
    <row r="137" spans="2:9" x14ac:dyDescent="0.3">
      <c r="B137" s="44"/>
    </row>
    <row r="138" spans="2:9" x14ac:dyDescent="0.3">
      <c r="B138" s="44"/>
    </row>
    <row r="139" spans="2:9" x14ac:dyDescent="0.3">
      <c r="B139" s="44"/>
    </row>
    <row r="140" spans="2:9" x14ac:dyDescent="0.3">
      <c r="B140" s="44"/>
    </row>
    <row r="141" spans="2:9" x14ac:dyDescent="0.3">
      <c r="B141" s="44"/>
    </row>
    <row r="142" spans="2:9" x14ac:dyDescent="0.3">
      <c r="B142" s="4"/>
    </row>
    <row r="143" spans="2:9" x14ac:dyDescent="0.3">
      <c r="B143" s="44"/>
    </row>
    <row r="144" spans="2:9" x14ac:dyDescent="0.3">
      <c r="B144" s="44"/>
    </row>
    <row r="145" spans="2:2" x14ac:dyDescent="0.3">
      <c r="B145" s="44"/>
    </row>
    <row r="146" spans="2:2" x14ac:dyDescent="0.3">
      <c r="B146" s="44"/>
    </row>
    <row r="147" spans="2:2" x14ac:dyDescent="0.3">
      <c r="B147" s="44"/>
    </row>
    <row r="148" spans="2:2" x14ac:dyDescent="0.3">
      <c r="B148" s="44"/>
    </row>
    <row r="149" spans="2:2" x14ac:dyDescent="0.3">
      <c r="B149" s="4"/>
    </row>
    <row r="150" spans="2:2" x14ac:dyDescent="0.3">
      <c r="B150" s="44"/>
    </row>
    <row r="151" spans="2:2" x14ac:dyDescent="0.3">
      <c r="B151" s="44"/>
    </row>
    <row r="152" spans="2:2" x14ac:dyDescent="0.3">
      <c r="B152" s="44"/>
    </row>
    <row r="153" spans="2:2" x14ac:dyDescent="0.3">
      <c r="B153" s="44"/>
    </row>
    <row r="154" spans="2:2" x14ac:dyDescent="0.3">
      <c r="B154" s="44"/>
    </row>
    <row r="155" spans="2:2" x14ac:dyDescent="0.3">
      <c r="B155" s="44"/>
    </row>
    <row r="156" spans="2:2" x14ac:dyDescent="0.3">
      <c r="B156" s="4"/>
    </row>
    <row r="157" spans="2:2" x14ac:dyDescent="0.3">
      <c r="B157" s="44"/>
    </row>
    <row r="158" spans="2:2" x14ac:dyDescent="0.3">
      <c r="B158" s="44"/>
    </row>
    <row r="159" spans="2:2" x14ac:dyDescent="0.3">
      <c r="B159" s="44"/>
    </row>
    <row r="160" spans="2:2" x14ac:dyDescent="0.3">
      <c r="B160" s="44"/>
    </row>
    <row r="161" spans="2:2" x14ac:dyDescent="0.3">
      <c r="B161" s="44"/>
    </row>
    <row r="162" spans="2:2" x14ac:dyDescent="0.3">
      <c r="B162" s="44"/>
    </row>
    <row r="163" spans="2:2" x14ac:dyDescent="0.3">
      <c r="B163" s="4"/>
    </row>
    <row r="164" spans="2:2" x14ac:dyDescent="0.3">
      <c r="B164" s="44"/>
    </row>
    <row r="165" spans="2:2" x14ac:dyDescent="0.3">
      <c r="B165" s="44"/>
    </row>
    <row r="166" spans="2:2" x14ac:dyDescent="0.3">
      <c r="B166" s="44"/>
    </row>
    <row r="167" spans="2:2" x14ac:dyDescent="0.3">
      <c r="B167" s="44"/>
    </row>
    <row r="168" spans="2:2" x14ac:dyDescent="0.3">
      <c r="B168" s="44"/>
    </row>
    <row r="169" spans="2:2" x14ac:dyDescent="0.3">
      <c r="B169" s="44"/>
    </row>
    <row r="170" spans="2:2" x14ac:dyDescent="0.3">
      <c r="B170" s="4"/>
    </row>
    <row r="171" spans="2:2" x14ac:dyDescent="0.3">
      <c r="B171" s="44"/>
    </row>
    <row r="172" spans="2:2" x14ac:dyDescent="0.3">
      <c r="B172" s="44"/>
    </row>
    <row r="173" spans="2:2" x14ac:dyDescent="0.3">
      <c r="B173" s="44"/>
    </row>
    <row r="174" spans="2:2" x14ac:dyDescent="0.3">
      <c r="B174" s="44"/>
    </row>
    <row r="175" spans="2:2" x14ac:dyDescent="0.3">
      <c r="B175" s="44"/>
    </row>
    <row r="176" spans="2:2" x14ac:dyDescent="0.3">
      <c r="B176" s="44"/>
    </row>
  </sheetData>
  <sortState xmlns:xlrd2="http://schemas.microsoft.com/office/spreadsheetml/2017/richdata2" ref="A10:AQ19">
    <sortCondition ref="B10:B19"/>
  </sortState>
  <mergeCells count="1">
    <mergeCell ref="K5:K6"/>
  </mergeCells>
  <conditionalFormatting sqref="B9">
    <cfRule type="duplicateValues" dxfId="3601" priority="272"/>
  </conditionalFormatting>
  <conditionalFormatting sqref="B10:B12 B18:B19">
    <cfRule type="duplicateValues" dxfId="3600" priority="2189"/>
  </conditionalFormatting>
  <conditionalFormatting sqref="K3:K4 K7:K8">
    <cfRule type="duplicateValues" dxfId="3599" priority="2191"/>
  </conditionalFormatting>
  <conditionalFormatting sqref="K5">
    <cfRule type="duplicateValues" dxfId="3598" priority="270"/>
  </conditionalFormatting>
  <conditionalFormatting sqref="I9:I19">
    <cfRule type="containsText" dxfId="3597" priority="5" operator="containsText" text="code">
      <formula>NOT(ISERROR(SEARCH("code",I9)))</formula>
    </cfRule>
  </conditionalFormatting>
  <conditionalFormatting sqref="I10:I19">
    <cfRule type="containsText" dxfId="3596" priority="9" operator="containsText" text="Code">
      <formula>NOT(ISERROR(SEARCH("Code",I10)))</formula>
    </cfRule>
  </conditionalFormatting>
  <conditionalFormatting sqref="I10:L19">
    <cfRule type="cellIs" dxfId="3595" priority="6" operator="lessThan">
      <formula>4</formula>
    </cfRule>
    <cfRule type="cellIs" dxfId="3594" priority="7" operator="greaterThan">
      <formula>5</formula>
    </cfRule>
    <cfRule type="containsText" dxfId="3593" priority="8" operator="containsText" text="c'[Fixtures All.xlsx]Women Filtered'!$F$2">
      <formula>NOT(ISERROR(SEARCH("c'[Fixtures All.xlsx]Women Filtered'!$F$2",I10)))</formula>
    </cfRule>
  </conditionalFormatting>
  <conditionalFormatting sqref="K9:K19">
    <cfRule type="containsText" dxfId="3592" priority="4" operator="containsText" text="c'[Fixtures All.xlsx]Women Filtered'!$F$2">
      <formula>NOT(ISERROR(SEARCH("c'[Fixtures All.xlsx]Women Filtered'!$F$2",K9)))</formula>
    </cfRule>
  </conditionalFormatting>
  <conditionalFormatting sqref="K10:K19">
    <cfRule type="containsText" dxfId="3591" priority="2" operator="containsText" text="code">
      <formula>NOT(ISERROR(SEARCH("code",K10)))</formula>
    </cfRule>
    <cfRule type="containsText" dxfId="3590" priority="3" operator="containsText" text="Code">
      <formula>NOT(ISERROR(SEARCH("Code",K10)))</formula>
    </cfRule>
  </conditionalFormatting>
  <conditionalFormatting sqref="F24:I130">
    <cfRule type="containsText" dxfId="3589" priority="1" operator="containsText" text="code">
      <formula>NOT(ISERROR(SEARCH("code",F24)))</formula>
    </cfRule>
  </conditionalFormatting>
  <hyperlinks>
    <hyperlink ref="K3" location="Contents!A1" display="Back to Contents" xr:uid="{3DE0414D-28E1-49D8-B692-67899A27BE50}"/>
    <hyperlink ref="K5:K6" location="'All Fixtures'!A1" display="See all NW Fixtures" xr:uid="{1D797AB4-A724-49CE-8785-C137C56E4D8D}"/>
  </hyperlinks>
  <pageMargins left="0.7" right="0.7" top="0.75" bottom="0.75" header="0.3" footer="0.3"/>
  <ignoredErrors>
    <ignoredError sqref="J10:J19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34F2D-E474-43DD-8ECC-985F307C8504}">
  <sheetPr>
    <tabColor rgb="FF4169E1"/>
  </sheetPr>
  <dimension ref="A2:AQ4723"/>
  <sheetViews>
    <sheetView zoomScale="80" zoomScaleNormal="80" workbookViewId="0">
      <pane ySplit="11" topLeftCell="A12" activePane="bottomLeft" state="frozen"/>
      <selection activeCell="D17" sqref="D17"/>
      <selection pane="bottomLeft"/>
    </sheetView>
  </sheetViews>
  <sheetFormatPr defaultRowHeight="14.4" x14ac:dyDescent="0.3"/>
  <cols>
    <col min="1" max="1" width="3.21875" style="3" customWidth="1"/>
    <col min="2" max="2" width="11.77734375" style="84" customWidth="1"/>
    <col min="3" max="3" width="26.21875" style="3" hidden="1" customWidth="1"/>
    <col min="4" max="4" width="52.77734375" style="3" customWidth="1"/>
    <col min="5" max="5" width="15.21875" style="3" hidden="1" customWidth="1"/>
    <col min="6" max="6" width="33" style="3" customWidth="1"/>
    <col min="7" max="7" width="43.33203125" style="3" customWidth="1"/>
    <col min="8" max="8" width="11.44140625" style="3" hidden="1" customWidth="1"/>
    <col min="9" max="9" width="37.33203125" style="3" customWidth="1"/>
    <col min="10" max="10" width="43.44140625" style="3" customWidth="1"/>
    <col min="11" max="11" width="16.109375" style="3" hidden="1" customWidth="1"/>
    <col min="12" max="12" width="0" style="3" hidden="1" customWidth="1"/>
    <col min="13" max="13" width="30.5546875" style="3" customWidth="1"/>
    <col min="14" max="14" width="28.44140625" style="3" customWidth="1"/>
    <col min="15" max="43" width="8.88671875" style="3"/>
  </cols>
  <sheetData>
    <row r="2" spans="1:43" ht="15" thickBot="1" x14ac:dyDescent="0.35"/>
    <row r="3" spans="1:43" ht="37.200000000000003" thickBot="1" x14ac:dyDescent="0.75">
      <c r="E3" s="16" t="s">
        <v>407</v>
      </c>
      <c r="F3" s="16"/>
      <c r="G3" s="16"/>
      <c r="H3" s="85"/>
      <c r="N3" s="45" t="s">
        <v>86</v>
      </c>
    </row>
    <row r="4" spans="1:43" ht="15" customHeight="1" x14ac:dyDescent="0.3"/>
    <row r="5" spans="1:43" ht="15" customHeight="1" x14ac:dyDescent="0.35">
      <c r="E5" s="10" t="s">
        <v>440</v>
      </c>
    </row>
    <row r="6" spans="1:43" ht="15" customHeight="1" x14ac:dyDescent="0.3"/>
    <row r="7" spans="1:43" ht="15" customHeight="1" x14ac:dyDescent="0.3"/>
    <row r="8" spans="1:43" ht="15" customHeight="1" x14ac:dyDescent="0.3">
      <c r="B8" s="86"/>
      <c r="C8" s="85"/>
    </row>
    <row r="9" spans="1:43" s="3" customFormat="1" ht="21" x14ac:dyDescent="0.4">
      <c r="B9" s="87" t="s">
        <v>93</v>
      </c>
      <c r="C9" s="13"/>
    </row>
    <row r="11" spans="1:43" s="39" customFormat="1" x14ac:dyDescent="0.3">
      <c r="A11" s="14"/>
      <c r="B11" s="40" t="s">
        <v>408</v>
      </c>
      <c r="C11" s="14" t="s">
        <v>409</v>
      </c>
      <c r="D11" s="14" t="s">
        <v>410</v>
      </c>
      <c r="E11" s="14" t="s">
        <v>411</v>
      </c>
      <c r="F11" s="14" t="s">
        <v>469</v>
      </c>
      <c r="G11" s="14" t="s">
        <v>412</v>
      </c>
      <c r="H11" s="14" t="s">
        <v>413</v>
      </c>
      <c r="I11" s="14" t="s">
        <v>470</v>
      </c>
      <c r="J11" s="14" t="s">
        <v>414</v>
      </c>
      <c r="K11" s="14" t="s">
        <v>415</v>
      </c>
      <c r="L11" s="14"/>
      <c r="M11" s="14" t="s">
        <v>643</v>
      </c>
      <c r="N11" s="14" t="s">
        <v>644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</row>
    <row r="12" spans="1:43" s="4" customFormat="1" x14ac:dyDescent="0.3">
      <c r="B12" s="44">
        <v>45913</v>
      </c>
      <c r="C12" s="3" t="s">
        <v>416</v>
      </c>
      <c r="D12" s="3" t="s">
        <v>487</v>
      </c>
      <c r="F12" s="3" t="s">
        <v>475</v>
      </c>
      <c r="G12" s="3" t="s">
        <v>96</v>
      </c>
      <c r="H12" s="4">
        <v>3067107</v>
      </c>
      <c r="I12" s="4" t="s">
        <v>645</v>
      </c>
      <c r="J12" s="4" t="s">
        <v>114</v>
      </c>
      <c r="K12" s="4">
        <v>3351000</v>
      </c>
      <c r="L12" s="3"/>
      <c r="M12" s="3"/>
      <c r="N12" s="3"/>
    </row>
    <row r="13" spans="1:43" s="4" customFormat="1" x14ac:dyDescent="0.3">
      <c r="A13" s="3"/>
      <c r="B13" s="44">
        <v>45913</v>
      </c>
      <c r="C13" s="3" t="s">
        <v>416</v>
      </c>
      <c r="D13" s="3" t="s">
        <v>490</v>
      </c>
      <c r="F13" s="3" t="s">
        <v>475</v>
      </c>
      <c r="G13" s="3" t="s">
        <v>125</v>
      </c>
      <c r="H13" s="4">
        <v>3362807</v>
      </c>
      <c r="I13" s="4" t="s">
        <v>476</v>
      </c>
      <c r="J13" s="4" t="s">
        <v>168</v>
      </c>
      <c r="K13" s="4">
        <v>3356505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</row>
    <row r="14" spans="1:43" s="4" customFormat="1" x14ac:dyDescent="0.3">
      <c r="A14" s="3"/>
      <c r="B14" s="44">
        <v>45913</v>
      </c>
      <c r="C14" s="3" t="s">
        <v>416</v>
      </c>
      <c r="D14" s="3" t="s">
        <v>64</v>
      </c>
      <c r="E14" s="42">
        <v>4370907</v>
      </c>
      <c r="F14" s="3" t="s">
        <v>475</v>
      </c>
      <c r="G14" s="3" t="s">
        <v>310</v>
      </c>
      <c r="H14" s="4">
        <v>3212402</v>
      </c>
      <c r="I14" s="4" t="s">
        <v>646</v>
      </c>
      <c r="J14" s="4" t="s">
        <v>349</v>
      </c>
      <c r="K14" s="4">
        <v>3202500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</row>
    <row r="15" spans="1:43" s="4" customFormat="1" x14ac:dyDescent="0.3">
      <c r="A15" s="3"/>
      <c r="B15" s="44">
        <v>45913</v>
      </c>
      <c r="C15" s="3" t="s">
        <v>416</v>
      </c>
      <c r="D15" s="3" t="s">
        <v>67</v>
      </c>
      <c r="E15" s="42"/>
      <c r="F15" s="4" t="s">
        <v>475</v>
      </c>
      <c r="G15" s="4" t="s">
        <v>336</v>
      </c>
      <c r="H15" s="4">
        <v>3211809</v>
      </c>
      <c r="I15" s="3" t="s">
        <v>647</v>
      </c>
      <c r="J15" s="3" t="s">
        <v>345</v>
      </c>
      <c r="K15" s="4">
        <v>3194003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</row>
    <row r="16" spans="1:43" s="4" customFormat="1" x14ac:dyDescent="0.3">
      <c r="A16" s="3"/>
      <c r="B16" s="44">
        <v>45913</v>
      </c>
      <c r="C16" s="3" t="s">
        <v>416</v>
      </c>
      <c r="D16" s="3" t="s">
        <v>492</v>
      </c>
      <c r="E16" s="42"/>
      <c r="F16" s="4" t="s">
        <v>648</v>
      </c>
      <c r="G16" s="4" t="s">
        <v>201</v>
      </c>
      <c r="H16" s="4">
        <v>3362203</v>
      </c>
      <c r="I16" s="3" t="s">
        <v>649</v>
      </c>
      <c r="J16" s="3" t="s">
        <v>154</v>
      </c>
      <c r="K16" s="4">
        <v>3362109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</row>
    <row r="17" spans="1:43" s="4" customFormat="1" x14ac:dyDescent="0.3">
      <c r="A17" s="3"/>
      <c r="B17" s="44">
        <v>45913</v>
      </c>
      <c r="C17" s="3" t="s">
        <v>416</v>
      </c>
      <c r="D17" s="3" t="s">
        <v>68</v>
      </c>
      <c r="E17" s="42"/>
      <c r="F17" s="3" t="s">
        <v>649</v>
      </c>
      <c r="G17" s="3" t="s">
        <v>456</v>
      </c>
      <c r="H17" s="4">
        <v>3545602</v>
      </c>
      <c r="I17" s="4" t="s">
        <v>650</v>
      </c>
      <c r="J17" s="4" t="s">
        <v>390</v>
      </c>
      <c r="K17" s="4">
        <v>3544509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</row>
    <row r="18" spans="1:43" s="4" customFormat="1" x14ac:dyDescent="0.3">
      <c r="A18" s="3"/>
      <c r="B18" s="44">
        <v>45913</v>
      </c>
      <c r="C18" s="3" t="s">
        <v>416</v>
      </c>
      <c r="D18" s="3" t="s">
        <v>486</v>
      </c>
      <c r="E18" s="42"/>
      <c r="F18" s="4" t="s">
        <v>651</v>
      </c>
      <c r="G18" s="4" t="s">
        <v>97</v>
      </c>
      <c r="H18" s="4">
        <v>3362005</v>
      </c>
      <c r="I18" s="3" t="s">
        <v>480</v>
      </c>
      <c r="J18" s="3" t="s">
        <v>406</v>
      </c>
      <c r="K18" s="4">
        <v>3124501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</row>
    <row r="19" spans="1:43" s="4" customFormat="1" x14ac:dyDescent="0.3">
      <c r="A19" s="3"/>
      <c r="B19" s="44">
        <v>45913</v>
      </c>
      <c r="C19" s="3" t="s">
        <v>416</v>
      </c>
      <c r="D19" s="3" t="s">
        <v>68</v>
      </c>
      <c r="E19" s="42"/>
      <c r="F19" s="3" t="s">
        <v>651</v>
      </c>
      <c r="G19" s="3" t="s">
        <v>387</v>
      </c>
      <c r="H19" s="4">
        <v>3211403</v>
      </c>
      <c r="I19" s="4" t="s">
        <v>652</v>
      </c>
      <c r="J19" s="4" t="s">
        <v>625</v>
      </c>
      <c r="K19" s="4">
        <v>3899803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</row>
    <row r="20" spans="1:43" s="4" customFormat="1" x14ac:dyDescent="0.3">
      <c r="A20" s="3"/>
      <c r="B20" s="44">
        <v>45913</v>
      </c>
      <c r="C20" s="3" t="s">
        <v>416</v>
      </c>
      <c r="D20" s="3" t="s">
        <v>59</v>
      </c>
      <c r="E20" s="42"/>
      <c r="F20" s="4" t="s">
        <v>653</v>
      </c>
      <c r="G20" s="4" t="s">
        <v>272</v>
      </c>
      <c r="H20" s="4">
        <v>3211205</v>
      </c>
      <c r="I20" s="3" t="s">
        <v>476</v>
      </c>
      <c r="J20" s="3" t="s">
        <v>274</v>
      </c>
      <c r="K20" s="4">
        <v>3206902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</row>
    <row r="21" spans="1:43" s="4" customFormat="1" x14ac:dyDescent="0.3">
      <c r="A21" s="3"/>
      <c r="B21" s="44">
        <v>45913</v>
      </c>
      <c r="C21" s="3" t="s">
        <v>416</v>
      </c>
      <c r="D21" s="3" t="s">
        <v>497</v>
      </c>
      <c r="E21" s="42"/>
      <c r="F21" s="17" t="s">
        <v>653</v>
      </c>
      <c r="G21" s="17" t="s">
        <v>208</v>
      </c>
      <c r="H21" s="74">
        <v>3361308</v>
      </c>
      <c r="I21" s="4" t="s">
        <v>654</v>
      </c>
      <c r="J21" s="4" t="s">
        <v>216</v>
      </c>
      <c r="K21" s="74">
        <v>3349808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</row>
    <row r="22" spans="1:43" s="4" customFormat="1" x14ac:dyDescent="0.3">
      <c r="A22" s="3"/>
      <c r="B22" s="44">
        <v>45913</v>
      </c>
      <c r="C22" s="3" t="s">
        <v>416</v>
      </c>
      <c r="D22" s="3" t="s">
        <v>65</v>
      </c>
      <c r="E22" s="42"/>
      <c r="F22" s="3" t="s">
        <v>653</v>
      </c>
      <c r="G22" s="3" t="s">
        <v>451</v>
      </c>
      <c r="H22" s="4">
        <v>3211309</v>
      </c>
      <c r="I22" s="4" t="s">
        <v>471</v>
      </c>
      <c r="J22" s="4" t="s">
        <v>363</v>
      </c>
      <c r="K22" s="4">
        <v>3196907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</row>
    <row r="23" spans="1:43" s="4" customFormat="1" x14ac:dyDescent="0.3">
      <c r="A23" s="3"/>
      <c r="B23" s="44">
        <v>45913</v>
      </c>
      <c r="C23" s="3" t="s">
        <v>416</v>
      </c>
      <c r="D23" s="3" t="s">
        <v>59</v>
      </c>
      <c r="E23" s="42"/>
      <c r="F23" s="4" t="s">
        <v>479</v>
      </c>
      <c r="G23" s="4" t="s">
        <v>273</v>
      </c>
      <c r="H23" s="4">
        <v>3211007</v>
      </c>
      <c r="I23" s="3" t="s">
        <v>655</v>
      </c>
      <c r="J23" s="3" t="s">
        <v>288</v>
      </c>
      <c r="K23" s="4">
        <v>3200908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</row>
    <row r="24" spans="1:43" s="4" customFormat="1" x14ac:dyDescent="0.3">
      <c r="A24" s="3"/>
      <c r="B24" s="44">
        <v>45913</v>
      </c>
      <c r="C24" s="3" t="s">
        <v>416</v>
      </c>
      <c r="D24" s="3" t="s">
        <v>490</v>
      </c>
      <c r="F24" s="3" t="s">
        <v>479</v>
      </c>
      <c r="G24" s="3" t="s">
        <v>136</v>
      </c>
      <c r="H24" s="4">
        <v>3360903</v>
      </c>
      <c r="I24" s="4" t="s">
        <v>479</v>
      </c>
      <c r="J24" s="4" t="s">
        <v>166</v>
      </c>
      <c r="K24" s="4">
        <v>3361006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</row>
    <row r="25" spans="1:43" s="4" customFormat="1" x14ac:dyDescent="0.3">
      <c r="A25" s="3"/>
      <c r="B25" s="44">
        <v>45913</v>
      </c>
      <c r="C25" s="3" t="s">
        <v>416</v>
      </c>
      <c r="D25" s="3" t="s">
        <v>493</v>
      </c>
      <c r="E25" s="42"/>
      <c r="F25" s="3" t="s">
        <v>479</v>
      </c>
      <c r="G25" s="3" t="s">
        <v>210</v>
      </c>
      <c r="H25" s="4">
        <v>3361100</v>
      </c>
      <c r="I25" s="4" t="s">
        <v>471</v>
      </c>
      <c r="J25" s="4" t="s">
        <v>190</v>
      </c>
      <c r="K25" s="4">
        <v>3348205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</row>
    <row r="26" spans="1:43" s="4" customFormat="1" x14ac:dyDescent="0.3">
      <c r="A26" s="3"/>
      <c r="B26" s="44">
        <v>45913</v>
      </c>
      <c r="C26" s="3" t="s">
        <v>416</v>
      </c>
      <c r="D26" s="3" t="s">
        <v>65</v>
      </c>
      <c r="E26" s="42"/>
      <c r="F26" s="3" t="s">
        <v>479</v>
      </c>
      <c r="G26" s="3" t="s">
        <v>320</v>
      </c>
      <c r="H26" s="4">
        <v>3210602</v>
      </c>
      <c r="I26" s="4" t="s">
        <v>656</v>
      </c>
      <c r="J26" s="4" t="s">
        <v>326</v>
      </c>
      <c r="K26" s="4">
        <v>3199904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</row>
    <row r="27" spans="1:43" s="4" customFormat="1" x14ac:dyDescent="0.3">
      <c r="A27" s="3"/>
      <c r="B27" s="44">
        <v>45913</v>
      </c>
      <c r="C27" s="3" t="s">
        <v>416</v>
      </c>
      <c r="D27" s="3" t="s">
        <v>500</v>
      </c>
      <c r="E27" s="42"/>
      <c r="F27" s="3" t="s">
        <v>479</v>
      </c>
      <c r="G27" s="3" t="s">
        <v>232</v>
      </c>
      <c r="H27" s="4">
        <v>3360507</v>
      </c>
      <c r="I27" s="4" t="s">
        <v>657</v>
      </c>
      <c r="J27" s="4" t="s">
        <v>574</v>
      </c>
      <c r="K27" s="4">
        <v>3359606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</row>
    <row r="28" spans="1:43" s="4" customFormat="1" x14ac:dyDescent="0.3">
      <c r="A28" s="3"/>
      <c r="B28" s="44">
        <v>45913</v>
      </c>
      <c r="C28" s="3" t="s">
        <v>416</v>
      </c>
      <c r="D28" s="3" t="s">
        <v>500</v>
      </c>
      <c r="E28" s="42"/>
      <c r="F28" s="3" t="s">
        <v>479</v>
      </c>
      <c r="G28" s="3" t="s">
        <v>465</v>
      </c>
      <c r="H28" s="4">
        <v>3962207</v>
      </c>
      <c r="I28" s="4" t="s">
        <v>471</v>
      </c>
      <c r="J28" s="4" t="s">
        <v>467</v>
      </c>
      <c r="K28" s="4">
        <v>3819409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s="4" customFormat="1" x14ac:dyDescent="0.3">
      <c r="A29" s="3"/>
      <c r="B29" s="44">
        <v>45913</v>
      </c>
      <c r="C29" s="3" t="s">
        <v>416</v>
      </c>
      <c r="D29" s="3" t="s">
        <v>61</v>
      </c>
      <c r="E29" s="42"/>
      <c r="F29" s="4" t="s">
        <v>658</v>
      </c>
      <c r="G29" s="4" t="s">
        <v>301</v>
      </c>
      <c r="H29" s="4">
        <v>3210300</v>
      </c>
      <c r="I29" s="106" t="s">
        <v>659</v>
      </c>
      <c r="J29" s="106" t="s">
        <v>367</v>
      </c>
      <c r="K29" s="106">
        <v>3208806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s="4" customFormat="1" x14ac:dyDescent="0.3">
      <c r="A30" s="3"/>
      <c r="B30" s="44">
        <v>45913</v>
      </c>
      <c r="C30" s="3" t="s">
        <v>416</v>
      </c>
      <c r="D30" s="3" t="s">
        <v>63</v>
      </c>
      <c r="E30" s="42"/>
      <c r="F30" s="3" t="s">
        <v>658</v>
      </c>
      <c r="G30" s="3" t="s">
        <v>366</v>
      </c>
      <c r="H30" s="74">
        <v>3210404</v>
      </c>
      <c r="I30" s="3" t="s">
        <v>478</v>
      </c>
      <c r="J30" s="3" t="s">
        <v>331</v>
      </c>
      <c r="K30" s="74">
        <v>3205403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</row>
    <row r="31" spans="1:43" s="4" customFormat="1" x14ac:dyDescent="0.3">
      <c r="A31" s="3"/>
      <c r="B31" s="44">
        <v>45913</v>
      </c>
      <c r="C31" s="3" t="s">
        <v>416</v>
      </c>
      <c r="D31" s="3" t="s">
        <v>504</v>
      </c>
      <c r="E31" s="42"/>
      <c r="F31" s="4" t="s">
        <v>480</v>
      </c>
      <c r="G31" s="4" t="s">
        <v>505</v>
      </c>
      <c r="H31" s="4">
        <v>3033207</v>
      </c>
      <c r="I31" s="3" t="s">
        <v>472</v>
      </c>
      <c r="J31" s="3" t="s">
        <v>11</v>
      </c>
      <c r="K31" s="4">
        <v>3034800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</row>
    <row r="32" spans="1:43" s="4" customFormat="1" x14ac:dyDescent="0.3">
      <c r="A32" s="3"/>
      <c r="B32" s="44">
        <v>45913</v>
      </c>
      <c r="C32" s="3" t="s">
        <v>416</v>
      </c>
      <c r="D32" s="3" t="s">
        <v>490</v>
      </c>
      <c r="F32" s="3" t="s">
        <v>480</v>
      </c>
      <c r="G32" s="3" t="s">
        <v>420</v>
      </c>
      <c r="H32" s="4">
        <v>3360101</v>
      </c>
      <c r="I32" s="4" t="s">
        <v>660</v>
      </c>
      <c r="J32" s="4" t="s">
        <v>137</v>
      </c>
      <c r="K32" s="4">
        <v>3359908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s="4" customFormat="1" x14ac:dyDescent="0.3">
      <c r="A33" s="3"/>
      <c r="B33" s="44">
        <v>45913</v>
      </c>
      <c r="C33" s="3" t="s">
        <v>416</v>
      </c>
      <c r="D33" s="3" t="s">
        <v>56</v>
      </c>
      <c r="E33" s="42"/>
      <c r="F33" s="4" t="s">
        <v>661</v>
      </c>
      <c r="G33" s="4" t="s">
        <v>439</v>
      </c>
      <c r="H33" s="4">
        <v>3023701</v>
      </c>
      <c r="I33" s="3" t="s">
        <v>646</v>
      </c>
      <c r="J33" s="3" t="s">
        <v>251</v>
      </c>
      <c r="K33" s="4">
        <v>3036704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s="4" customFormat="1" x14ac:dyDescent="0.3">
      <c r="A34" s="3"/>
      <c r="B34" s="44">
        <v>45913</v>
      </c>
      <c r="C34" s="3" t="s">
        <v>416</v>
      </c>
      <c r="D34" s="3" t="s">
        <v>59</v>
      </c>
      <c r="E34" s="42"/>
      <c r="F34" s="4" t="s">
        <v>661</v>
      </c>
      <c r="G34" s="4" t="s">
        <v>641</v>
      </c>
      <c r="H34" s="4">
        <v>3055707</v>
      </c>
      <c r="I34" s="3" t="s">
        <v>662</v>
      </c>
      <c r="J34" s="3" t="s">
        <v>314</v>
      </c>
      <c r="K34" s="4">
        <v>3208004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s="4" customFormat="1" x14ac:dyDescent="0.3">
      <c r="A35" s="3"/>
      <c r="B35" s="44">
        <v>45913</v>
      </c>
      <c r="C35" s="3" t="s">
        <v>416</v>
      </c>
      <c r="D35" s="3" t="s">
        <v>593</v>
      </c>
      <c r="E35" s="42"/>
      <c r="F35" s="3" t="s">
        <v>661</v>
      </c>
      <c r="G35" s="3" t="s">
        <v>640</v>
      </c>
      <c r="H35" s="4">
        <v>3210102</v>
      </c>
      <c r="I35" s="4" t="s">
        <v>663</v>
      </c>
      <c r="J35" s="4" t="s">
        <v>396</v>
      </c>
      <c r="K35" s="4">
        <v>3197104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s="4" customFormat="1" x14ac:dyDescent="0.3">
      <c r="A36" s="3"/>
      <c r="B36" s="44">
        <v>45913</v>
      </c>
      <c r="C36" s="3" t="s">
        <v>416</v>
      </c>
      <c r="D36" s="3" t="s">
        <v>68</v>
      </c>
      <c r="E36" s="42"/>
      <c r="F36" s="15" t="s">
        <v>664</v>
      </c>
      <c r="G36" s="15" t="s">
        <v>388</v>
      </c>
      <c r="H36" s="74">
        <v>3165306</v>
      </c>
      <c r="I36" s="4" t="s">
        <v>665</v>
      </c>
      <c r="J36" s="4" t="s">
        <v>457</v>
      </c>
      <c r="K36" s="4">
        <v>3818806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s="4" customFormat="1" x14ac:dyDescent="0.3">
      <c r="A37" s="3"/>
      <c r="B37" s="44">
        <v>45913</v>
      </c>
      <c r="C37" s="3" t="s">
        <v>416</v>
      </c>
      <c r="D37" s="3" t="s">
        <v>487</v>
      </c>
      <c r="F37" s="4" t="s">
        <v>657</v>
      </c>
      <c r="G37" s="4" t="s">
        <v>107</v>
      </c>
      <c r="H37" s="4">
        <v>3068408</v>
      </c>
      <c r="I37" s="3" t="s">
        <v>479</v>
      </c>
      <c r="J37" s="3" t="s">
        <v>127</v>
      </c>
      <c r="K37" s="4">
        <v>3360809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</row>
    <row r="38" spans="1:43" s="4" customFormat="1" x14ac:dyDescent="0.3">
      <c r="A38" s="3"/>
      <c r="B38" s="44">
        <v>45913</v>
      </c>
      <c r="C38" s="3" t="s">
        <v>416</v>
      </c>
      <c r="D38" s="3" t="s">
        <v>590</v>
      </c>
      <c r="E38" s="42"/>
      <c r="F38" s="4" t="s">
        <v>657</v>
      </c>
      <c r="G38" s="4" t="s">
        <v>321</v>
      </c>
      <c r="H38" s="4">
        <v>3209607</v>
      </c>
      <c r="I38" s="3" t="s">
        <v>648</v>
      </c>
      <c r="J38" s="3" t="s">
        <v>449</v>
      </c>
      <c r="K38" s="4">
        <v>3961500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s="4" customFormat="1" x14ac:dyDescent="0.3">
      <c r="A39" s="3"/>
      <c r="B39" s="44">
        <v>45913</v>
      </c>
      <c r="C39" s="3" t="s">
        <v>416</v>
      </c>
      <c r="D39" s="3" t="s">
        <v>497</v>
      </c>
      <c r="E39" s="42"/>
      <c r="F39" s="17" t="s">
        <v>657</v>
      </c>
      <c r="G39" s="17" t="s">
        <v>213</v>
      </c>
      <c r="H39" s="74">
        <v>3359502</v>
      </c>
      <c r="I39" s="17" t="s">
        <v>660</v>
      </c>
      <c r="J39" s="17" t="s">
        <v>212</v>
      </c>
      <c r="K39" s="74">
        <v>3360007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s="4" customFormat="1" x14ac:dyDescent="0.3">
      <c r="A40" s="3"/>
      <c r="B40" s="44">
        <v>45913</v>
      </c>
      <c r="C40" s="3" t="s">
        <v>416</v>
      </c>
      <c r="D40" s="3" t="s">
        <v>495</v>
      </c>
      <c r="E40" s="42"/>
      <c r="F40" s="3" t="s">
        <v>570</v>
      </c>
      <c r="G40" s="3" t="s">
        <v>570</v>
      </c>
      <c r="H40" s="4" t="s">
        <v>556</v>
      </c>
      <c r="I40" s="3" t="s">
        <v>666</v>
      </c>
      <c r="J40" s="3" t="s">
        <v>192</v>
      </c>
      <c r="K40" s="53">
        <v>3357004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s="4" customFormat="1" x14ac:dyDescent="0.3">
      <c r="A41" s="3"/>
      <c r="B41" s="44">
        <v>45913</v>
      </c>
      <c r="C41" s="3" t="s">
        <v>416</v>
      </c>
      <c r="D41" s="3" t="s">
        <v>67</v>
      </c>
      <c r="E41" s="42"/>
      <c r="F41" s="4" t="s">
        <v>570</v>
      </c>
      <c r="G41" s="4" t="s">
        <v>570</v>
      </c>
      <c r="H41" s="4" t="s">
        <v>556</v>
      </c>
      <c r="I41" s="3" t="s">
        <v>472</v>
      </c>
      <c r="J41" s="3" t="s">
        <v>374</v>
      </c>
      <c r="K41" s="4">
        <v>3207203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s="4" customFormat="1" x14ac:dyDescent="0.3">
      <c r="A42" s="3"/>
      <c r="B42" s="44">
        <v>45913</v>
      </c>
      <c r="C42" s="3" t="s">
        <v>416</v>
      </c>
      <c r="D42" s="3" t="s">
        <v>68</v>
      </c>
      <c r="E42" s="42"/>
      <c r="F42" s="3" t="s">
        <v>570</v>
      </c>
      <c r="G42" s="3" t="s">
        <v>570</v>
      </c>
      <c r="H42" s="4" t="s">
        <v>556</v>
      </c>
      <c r="I42" s="4" t="s">
        <v>474</v>
      </c>
      <c r="J42" s="4" t="s">
        <v>383</v>
      </c>
      <c r="K42" s="4">
        <v>3200502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</row>
    <row r="43" spans="1:43" s="4" customFormat="1" x14ac:dyDescent="0.3">
      <c r="A43" s="3"/>
      <c r="B43" s="44">
        <v>45913</v>
      </c>
      <c r="C43" s="3" t="s">
        <v>416</v>
      </c>
      <c r="D43" s="3" t="s">
        <v>593</v>
      </c>
      <c r="E43" s="42"/>
      <c r="F43" s="15" t="s">
        <v>570</v>
      </c>
      <c r="G43" s="15" t="s">
        <v>570</v>
      </c>
      <c r="H43" s="74" t="s">
        <v>556</v>
      </c>
      <c r="I43" s="4" t="s">
        <v>479</v>
      </c>
      <c r="J43" s="4" t="s">
        <v>628</v>
      </c>
      <c r="K43" s="4" t="s">
        <v>642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</row>
    <row r="44" spans="1:43" s="4" customFormat="1" x14ac:dyDescent="0.3">
      <c r="A44" s="3"/>
      <c r="B44" s="44">
        <v>45913</v>
      </c>
      <c r="C44" s="3" t="s">
        <v>416</v>
      </c>
      <c r="D44" s="3" t="s">
        <v>60</v>
      </c>
      <c r="E44" s="42"/>
      <c r="F44" s="3" t="s">
        <v>667</v>
      </c>
      <c r="G44" s="3" t="s">
        <v>444</v>
      </c>
      <c r="H44" s="32">
        <v>3209909</v>
      </c>
      <c r="I44" s="3" t="s">
        <v>668</v>
      </c>
      <c r="J44" s="3" t="s">
        <v>431</v>
      </c>
      <c r="K44" s="32">
        <v>3900703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</row>
    <row r="45" spans="1:43" s="4" customFormat="1" x14ac:dyDescent="0.3">
      <c r="A45" s="3"/>
      <c r="B45" s="44">
        <v>45913</v>
      </c>
      <c r="C45" s="3" t="s">
        <v>416</v>
      </c>
      <c r="D45" s="3" t="s">
        <v>64</v>
      </c>
      <c r="E45" s="42">
        <v>4370907</v>
      </c>
      <c r="F45" s="3" t="s">
        <v>669</v>
      </c>
      <c r="G45" s="3" t="s">
        <v>337</v>
      </c>
      <c r="H45" s="4">
        <v>3209305</v>
      </c>
      <c r="I45" s="4" t="s">
        <v>670</v>
      </c>
      <c r="J45" s="4" t="s">
        <v>343</v>
      </c>
      <c r="K45" s="4">
        <v>3195606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</row>
    <row r="46" spans="1:43" s="4" customFormat="1" x14ac:dyDescent="0.3">
      <c r="A46" s="3"/>
      <c r="B46" s="44">
        <v>45913</v>
      </c>
      <c r="C46" s="3" t="s">
        <v>416</v>
      </c>
      <c r="D46" s="3" t="s">
        <v>504</v>
      </c>
      <c r="E46" s="42"/>
      <c r="F46" s="4" t="s">
        <v>671</v>
      </c>
      <c r="G46" s="4" t="s">
        <v>8</v>
      </c>
      <c r="H46" s="4">
        <v>3034008</v>
      </c>
      <c r="I46" s="3" t="s">
        <v>645</v>
      </c>
      <c r="J46" s="3" t="s">
        <v>37</v>
      </c>
      <c r="K46" s="4">
        <v>3029903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s="4" customFormat="1" x14ac:dyDescent="0.3">
      <c r="A47" s="3"/>
      <c r="B47" s="44">
        <v>45913</v>
      </c>
      <c r="C47" s="3" t="s">
        <v>416</v>
      </c>
      <c r="D47" s="3" t="s">
        <v>590</v>
      </c>
      <c r="E47" s="42"/>
      <c r="F47" s="4" t="s">
        <v>671</v>
      </c>
      <c r="G47" s="4" t="s">
        <v>311</v>
      </c>
      <c r="H47" s="4">
        <v>3209003</v>
      </c>
      <c r="I47" s="3" t="s">
        <v>479</v>
      </c>
      <c r="J47" s="3" t="s">
        <v>284</v>
      </c>
      <c r="K47" s="4">
        <v>3210904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</row>
    <row r="48" spans="1:43" s="4" customFormat="1" x14ac:dyDescent="0.3">
      <c r="A48" s="3"/>
      <c r="B48" s="44">
        <v>45913</v>
      </c>
      <c r="C48" s="3" t="s">
        <v>416</v>
      </c>
      <c r="D48" s="3" t="s">
        <v>489</v>
      </c>
      <c r="F48" s="3" t="s">
        <v>671</v>
      </c>
      <c r="G48" s="3" t="s">
        <v>156</v>
      </c>
      <c r="H48" s="4">
        <v>3359200</v>
      </c>
      <c r="I48" s="3" t="s">
        <v>672</v>
      </c>
      <c r="J48" s="3" t="s">
        <v>129</v>
      </c>
      <c r="K48" s="4">
        <v>3067503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43" s="4" customFormat="1" x14ac:dyDescent="0.3">
      <c r="A49" s="3"/>
      <c r="B49" s="44">
        <v>45913</v>
      </c>
      <c r="C49" s="3" t="s">
        <v>416</v>
      </c>
      <c r="D49" s="3" t="s">
        <v>64</v>
      </c>
      <c r="E49" s="42">
        <v>4370907</v>
      </c>
      <c r="F49" s="3" t="s">
        <v>671</v>
      </c>
      <c r="G49" s="3" t="s">
        <v>312</v>
      </c>
      <c r="H49" s="4">
        <v>3209107</v>
      </c>
      <c r="I49" s="4" t="s">
        <v>673</v>
      </c>
      <c r="J49" s="4" t="s">
        <v>355</v>
      </c>
      <c r="K49" s="4">
        <v>3195002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s="4" customFormat="1" x14ac:dyDescent="0.3">
      <c r="A50" s="3"/>
      <c r="B50" s="44">
        <v>45913</v>
      </c>
      <c r="C50" s="3" t="s">
        <v>416</v>
      </c>
      <c r="D50" s="3" t="s">
        <v>68</v>
      </c>
      <c r="E50" s="42"/>
      <c r="F50" s="3" t="s">
        <v>671</v>
      </c>
      <c r="G50" s="3" t="s">
        <v>389</v>
      </c>
      <c r="H50" s="4">
        <v>3209201</v>
      </c>
      <c r="I50" s="4" t="s">
        <v>665</v>
      </c>
      <c r="J50" s="4" t="s">
        <v>627</v>
      </c>
      <c r="K50" s="4" t="s">
        <v>638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</row>
    <row r="51" spans="1:43" s="4" customFormat="1" x14ac:dyDescent="0.3">
      <c r="A51" s="3"/>
      <c r="B51" s="44">
        <v>45913</v>
      </c>
      <c r="C51" s="3" t="s">
        <v>416</v>
      </c>
      <c r="D51" s="4" t="s">
        <v>614</v>
      </c>
      <c r="E51" s="42"/>
      <c r="F51" s="3" t="s">
        <v>674</v>
      </c>
      <c r="G51" s="3" t="s">
        <v>346</v>
      </c>
      <c r="H51" s="4">
        <v>3208900</v>
      </c>
      <c r="I51" s="4" t="s">
        <v>675</v>
      </c>
      <c r="J51" s="4" t="s">
        <v>403</v>
      </c>
      <c r="K51" s="4">
        <v>3198509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</row>
    <row r="52" spans="1:43" s="4" customFormat="1" x14ac:dyDescent="0.3">
      <c r="A52" s="3"/>
      <c r="B52" s="44">
        <v>45913</v>
      </c>
      <c r="C52" s="3" t="s">
        <v>416</v>
      </c>
      <c r="D52" s="3" t="s">
        <v>490</v>
      </c>
      <c r="F52" s="3" t="s">
        <v>676</v>
      </c>
      <c r="G52" s="3" t="s">
        <v>138</v>
      </c>
      <c r="H52" s="4">
        <v>3067805</v>
      </c>
      <c r="I52" s="4" t="s">
        <v>472</v>
      </c>
      <c r="J52" s="4" t="s">
        <v>140</v>
      </c>
      <c r="K52" s="4">
        <v>3357900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</row>
    <row r="53" spans="1:43" s="4" customFormat="1" x14ac:dyDescent="0.3">
      <c r="A53" s="3"/>
      <c r="B53" s="44">
        <v>45913</v>
      </c>
      <c r="C53" s="3" t="s">
        <v>416</v>
      </c>
      <c r="D53" s="3" t="s">
        <v>62</v>
      </c>
      <c r="E53" s="42"/>
      <c r="F53" s="3" t="s">
        <v>676</v>
      </c>
      <c r="G53" s="3" t="s">
        <v>286</v>
      </c>
      <c r="H53" s="4">
        <v>3019605</v>
      </c>
      <c r="I53" s="4" t="s">
        <v>677</v>
      </c>
      <c r="J53" s="4" t="s">
        <v>324</v>
      </c>
      <c r="K53" s="4">
        <v>3201605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</row>
    <row r="54" spans="1:43" s="4" customFormat="1" x14ac:dyDescent="0.3">
      <c r="A54" s="3"/>
      <c r="B54" s="44">
        <v>45913</v>
      </c>
      <c r="C54" s="3" t="s">
        <v>416</v>
      </c>
      <c r="D54" s="3" t="s">
        <v>493</v>
      </c>
      <c r="E54" s="42"/>
      <c r="F54" s="3" t="s">
        <v>676</v>
      </c>
      <c r="G54" s="3" t="s">
        <v>214</v>
      </c>
      <c r="H54" s="4">
        <v>3358805</v>
      </c>
      <c r="I54" s="4" t="s">
        <v>479</v>
      </c>
      <c r="J54" s="4" t="s">
        <v>211</v>
      </c>
      <c r="K54" s="4">
        <v>3361204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</row>
    <row r="55" spans="1:43" s="4" customFormat="1" x14ac:dyDescent="0.3">
      <c r="A55" s="3"/>
      <c r="B55" s="44">
        <v>45913</v>
      </c>
      <c r="C55" s="3" t="s">
        <v>416</v>
      </c>
      <c r="D55" s="3" t="s">
        <v>65</v>
      </c>
      <c r="E55" s="42"/>
      <c r="F55" s="3" t="s">
        <v>676</v>
      </c>
      <c r="G55" s="3" t="s">
        <v>356</v>
      </c>
      <c r="H55" s="4">
        <v>3208608</v>
      </c>
      <c r="I55" s="4" t="s">
        <v>678</v>
      </c>
      <c r="J55" s="4" t="s">
        <v>452</v>
      </c>
      <c r="K55" s="4">
        <v>3198207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</row>
    <row r="56" spans="1:43" s="4" customFormat="1" x14ac:dyDescent="0.3">
      <c r="A56" s="3"/>
      <c r="B56" s="44">
        <v>45913</v>
      </c>
      <c r="C56" s="3" t="s">
        <v>416</v>
      </c>
      <c r="D56" s="3" t="s">
        <v>593</v>
      </c>
      <c r="E56" s="42"/>
      <c r="F56" s="3" t="s">
        <v>676</v>
      </c>
      <c r="G56" s="3" t="s">
        <v>639</v>
      </c>
      <c r="H56" s="4">
        <v>3776805</v>
      </c>
      <c r="I56" s="4" t="s">
        <v>679</v>
      </c>
      <c r="J56" s="4" t="s">
        <v>633</v>
      </c>
      <c r="K56" s="4">
        <v>3194607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</row>
    <row r="57" spans="1:43" s="4" customFormat="1" x14ac:dyDescent="0.3">
      <c r="A57" s="3"/>
      <c r="B57" s="44">
        <v>45913</v>
      </c>
      <c r="C57" s="3" t="s">
        <v>416</v>
      </c>
      <c r="D57" s="3" t="s">
        <v>486</v>
      </c>
      <c r="E57" s="42"/>
      <c r="F57" s="4" t="s">
        <v>680</v>
      </c>
      <c r="G57" s="4" t="s">
        <v>98</v>
      </c>
      <c r="H57" s="4">
        <v>3358909</v>
      </c>
      <c r="I57" s="3" t="s">
        <v>681</v>
      </c>
      <c r="J57" s="3" t="s">
        <v>105</v>
      </c>
      <c r="K57" s="4">
        <v>3035809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</row>
    <row r="58" spans="1:43" s="4" customFormat="1" x14ac:dyDescent="0.3">
      <c r="A58" s="3"/>
      <c r="B58" s="44">
        <v>45913</v>
      </c>
      <c r="C58" s="3" t="s">
        <v>416</v>
      </c>
      <c r="D58" s="3" t="s">
        <v>57</v>
      </c>
      <c r="E58" s="42"/>
      <c r="F58" s="4" t="s">
        <v>680</v>
      </c>
      <c r="G58" s="4" t="s">
        <v>266</v>
      </c>
      <c r="H58" s="4">
        <v>3208306</v>
      </c>
      <c r="I58" s="3" t="s">
        <v>682</v>
      </c>
      <c r="J58" s="3" t="s">
        <v>584</v>
      </c>
      <c r="K58" s="4">
        <v>3069303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</row>
    <row r="59" spans="1:43" s="4" customFormat="1" x14ac:dyDescent="0.3">
      <c r="A59" s="3"/>
      <c r="B59" s="44">
        <v>45913</v>
      </c>
      <c r="C59" s="3" t="s">
        <v>416</v>
      </c>
      <c r="D59" s="3" t="s">
        <v>63</v>
      </c>
      <c r="E59" s="42"/>
      <c r="F59" s="3" t="s">
        <v>680</v>
      </c>
      <c r="G59" s="3" t="s">
        <v>329</v>
      </c>
      <c r="H59" s="74">
        <v>3208108</v>
      </c>
      <c r="I59" s="3" t="s">
        <v>683</v>
      </c>
      <c r="J59" s="3" t="s">
        <v>368</v>
      </c>
      <c r="K59" s="74">
        <v>3203009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</row>
    <row r="60" spans="1:43" s="4" customFormat="1" x14ac:dyDescent="0.3">
      <c r="A60" s="3"/>
      <c r="B60" s="44">
        <v>45913</v>
      </c>
      <c r="C60" s="3" t="s">
        <v>416</v>
      </c>
      <c r="D60" s="3" t="s">
        <v>491</v>
      </c>
      <c r="E60" s="42"/>
      <c r="F60" s="4" t="s">
        <v>680</v>
      </c>
      <c r="G60" s="4" t="s">
        <v>177</v>
      </c>
      <c r="H60" s="4">
        <v>3899709</v>
      </c>
      <c r="I60" s="104" t="s">
        <v>684</v>
      </c>
      <c r="J60" s="104" t="s">
        <v>182</v>
      </c>
      <c r="K60" s="53">
        <v>3900203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</row>
    <row r="61" spans="1:43" s="4" customFormat="1" x14ac:dyDescent="0.3">
      <c r="A61" s="3"/>
      <c r="B61" s="44">
        <v>45913</v>
      </c>
      <c r="C61" s="3" t="s">
        <v>416</v>
      </c>
      <c r="D61" s="3" t="s">
        <v>486</v>
      </c>
      <c r="E61" s="42"/>
      <c r="F61" s="4" t="s">
        <v>652</v>
      </c>
      <c r="G61" s="4" t="s">
        <v>110</v>
      </c>
      <c r="H61" s="4">
        <v>3359106</v>
      </c>
      <c r="I61" s="3" t="s">
        <v>673</v>
      </c>
      <c r="J61" s="3" t="s">
        <v>106</v>
      </c>
      <c r="K61" s="4">
        <v>3067607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</row>
    <row r="62" spans="1:43" s="4" customFormat="1" x14ac:dyDescent="0.3">
      <c r="A62" s="3"/>
      <c r="B62" s="44">
        <v>45913</v>
      </c>
      <c r="C62" s="3" t="s">
        <v>416</v>
      </c>
      <c r="D62" s="3" t="s">
        <v>492</v>
      </c>
      <c r="E62" s="42"/>
      <c r="F62" s="4" t="s">
        <v>652</v>
      </c>
      <c r="G62" s="4" t="s">
        <v>157</v>
      </c>
      <c r="H62" s="4">
        <v>3358503</v>
      </c>
      <c r="I62" s="3" t="s">
        <v>666</v>
      </c>
      <c r="J62" s="3" t="s">
        <v>158</v>
      </c>
      <c r="K62" s="4">
        <v>3356901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</row>
    <row r="63" spans="1:43" s="4" customFormat="1" x14ac:dyDescent="0.3">
      <c r="A63" s="3"/>
      <c r="B63" s="44">
        <v>45913</v>
      </c>
      <c r="C63" s="3" t="s">
        <v>416</v>
      </c>
      <c r="D63" s="3" t="s">
        <v>610</v>
      </c>
      <c r="E63" s="42"/>
      <c r="F63" s="3" t="s">
        <v>652</v>
      </c>
      <c r="G63" s="3" t="s">
        <v>347</v>
      </c>
      <c r="H63" s="4">
        <v>3818504</v>
      </c>
      <c r="I63" s="4" t="s">
        <v>685</v>
      </c>
      <c r="J63" s="4" t="s">
        <v>382</v>
      </c>
      <c r="K63" s="4">
        <v>3200804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</row>
    <row r="64" spans="1:43" s="4" customFormat="1" x14ac:dyDescent="0.3">
      <c r="A64" s="3"/>
      <c r="B64" s="44">
        <v>45913</v>
      </c>
      <c r="C64" s="3" t="s">
        <v>416</v>
      </c>
      <c r="D64" s="3" t="s">
        <v>68</v>
      </c>
      <c r="E64" s="42"/>
      <c r="F64" s="3" t="s">
        <v>686</v>
      </c>
      <c r="G64" s="3" t="s">
        <v>626</v>
      </c>
      <c r="H64" s="4" t="s">
        <v>637</v>
      </c>
      <c r="I64" s="4" t="s">
        <v>687</v>
      </c>
      <c r="J64" s="4" t="s">
        <v>391</v>
      </c>
      <c r="K64" s="4">
        <v>3193806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</row>
    <row r="65" spans="1:43" s="4" customFormat="1" x14ac:dyDescent="0.3">
      <c r="A65" s="3"/>
      <c r="B65" s="44">
        <v>45913</v>
      </c>
      <c r="C65" s="3" t="s">
        <v>416</v>
      </c>
      <c r="D65" s="3" t="s">
        <v>489</v>
      </c>
      <c r="F65" s="3" t="s">
        <v>662</v>
      </c>
      <c r="G65" s="3" t="s">
        <v>139</v>
      </c>
      <c r="H65" s="4">
        <v>3358305</v>
      </c>
      <c r="I65" s="4" t="s">
        <v>474</v>
      </c>
      <c r="J65" s="4" t="s">
        <v>130</v>
      </c>
      <c r="K65" s="4">
        <v>3352405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</row>
    <row r="66" spans="1:43" s="4" customFormat="1" x14ac:dyDescent="0.3">
      <c r="A66" s="3"/>
      <c r="B66" s="44">
        <v>45913</v>
      </c>
      <c r="C66" s="3" t="s">
        <v>416</v>
      </c>
      <c r="D66" s="3" t="s">
        <v>64</v>
      </c>
      <c r="E66" s="42">
        <v>4370907</v>
      </c>
      <c r="F66" s="3" t="s">
        <v>662</v>
      </c>
      <c r="G66" s="3" t="s">
        <v>372</v>
      </c>
      <c r="H66" s="4">
        <v>3207703</v>
      </c>
      <c r="I66" s="4" t="s">
        <v>688</v>
      </c>
      <c r="J66" s="4" t="s">
        <v>318</v>
      </c>
      <c r="K66" s="4">
        <v>3037401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</row>
    <row r="67" spans="1:43" s="4" customFormat="1" x14ac:dyDescent="0.3">
      <c r="A67" s="3"/>
      <c r="B67" s="44">
        <v>45913</v>
      </c>
      <c r="C67" s="3" t="s">
        <v>416</v>
      </c>
      <c r="D67" s="3" t="s">
        <v>494</v>
      </c>
      <c r="E67" s="42"/>
      <c r="F67" s="4" t="s">
        <v>662</v>
      </c>
      <c r="G67" s="4" t="s">
        <v>242</v>
      </c>
      <c r="H67" s="4">
        <v>3358107</v>
      </c>
      <c r="I67" s="3" t="s">
        <v>689</v>
      </c>
      <c r="J67" s="3" t="s">
        <v>189</v>
      </c>
      <c r="K67" s="4">
        <v>3350209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</row>
    <row r="68" spans="1:43" s="4" customFormat="1" x14ac:dyDescent="0.3">
      <c r="A68" s="3"/>
      <c r="B68" s="44">
        <v>45913</v>
      </c>
      <c r="C68" s="3" t="s">
        <v>416</v>
      </c>
      <c r="D68" s="3" t="s">
        <v>56</v>
      </c>
      <c r="E68" s="42"/>
      <c r="F68" s="4" t="s">
        <v>472</v>
      </c>
      <c r="G68" s="4" t="s">
        <v>248</v>
      </c>
      <c r="H68" s="4">
        <v>3207609</v>
      </c>
      <c r="I68" s="3" t="s">
        <v>690</v>
      </c>
      <c r="J68" s="3" t="s">
        <v>250</v>
      </c>
      <c r="K68" s="4">
        <v>3070100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</row>
    <row r="69" spans="1:43" s="4" customFormat="1" x14ac:dyDescent="0.3">
      <c r="A69" s="3"/>
      <c r="B69" s="44">
        <v>45913</v>
      </c>
      <c r="C69" s="3" t="s">
        <v>416</v>
      </c>
      <c r="D69" s="3" t="s">
        <v>590</v>
      </c>
      <c r="E69" s="42"/>
      <c r="F69" s="4" t="s">
        <v>472</v>
      </c>
      <c r="G69" s="4" t="s">
        <v>315</v>
      </c>
      <c r="H69" s="4">
        <v>3455307</v>
      </c>
      <c r="I69" s="3" t="s">
        <v>691</v>
      </c>
      <c r="J69" s="3" t="s">
        <v>289</v>
      </c>
      <c r="K69" s="4">
        <v>3068804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s="4" customFormat="1" x14ac:dyDescent="0.3">
      <c r="A70" s="3"/>
      <c r="B70" s="44">
        <v>45913</v>
      </c>
      <c r="C70" s="3" t="s">
        <v>416</v>
      </c>
      <c r="D70" s="3" t="s">
        <v>494</v>
      </c>
      <c r="E70" s="42"/>
      <c r="F70" s="4" t="s">
        <v>472</v>
      </c>
      <c r="G70" s="4" t="s">
        <v>185</v>
      </c>
      <c r="H70" s="4">
        <v>3357806</v>
      </c>
      <c r="I70" s="3" t="s">
        <v>692</v>
      </c>
      <c r="J70" s="3" t="s">
        <v>144</v>
      </c>
      <c r="K70" s="4">
        <v>3347904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s="4" customFormat="1" x14ac:dyDescent="0.3">
      <c r="A71" s="3"/>
      <c r="B71" s="44">
        <v>45913</v>
      </c>
      <c r="C71" s="3" t="s">
        <v>416</v>
      </c>
      <c r="D71" s="3" t="s">
        <v>494</v>
      </c>
      <c r="E71" s="42"/>
      <c r="F71" s="4" t="s">
        <v>472</v>
      </c>
      <c r="G71" s="4" t="s">
        <v>186</v>
      </c>
      <c r="H71" s="4">
        <v>3357702</v>
      </c>
      <c r="I71" s="3" t="s">
        <v>662</v>
      </c>
      <c r="J71" s="3" t="s">
        <v>218</v>
      </c>
      <c r="K71" s="4">
        <v>3358201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2" spans="1:43" s="4" customFormat="1" x14ac:dyDescent="0.3">
      <c r="A72" s="3"/>
      <c r="B72" s="44">
        <v>45913</v>
      </c>
      <c r="C72" s="3" t="s">
        <v>416</v>
      </c>
      <c r="D72" s="3" t="s">
        <v>496</v>
      </c>
      <c r="E72" s="42"/>
      <c r="F72" s="4" t="s">
        <v>665</v>
      </c>
      <c r="G72" s="4" t="s">
        <v>204</v>
      </c>
      <c r="H72" s="4">
        <v>3357400</v>
      </c>
      <c r="I72" s="3" t="s">
        <v>651</v>
      </c>
      <c r="J72" s="3" t="s">
        <v>202</v>
      </c>
      <c r="K72" s="74">
        <v>3361808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43" s="4" customFormat="1" x14ac:dyDescent="0.3">
      <c r="A73" s="3"/>
      <c r="B73" s="44">
        <v>45913</v>
      </c>
      <c r="C73" s="3" t="s">
        <v>416</v>
      </c>
      <c r="D73" s="3" t="s">
        <v>65</v>
      </c>
      <c r="E73" s="42"/>
      <c r="F73" s="3" t="s">
        <v>693</v>
      </c>
      <c r="G73" s="3" t="s">
        <v>357</v>
      </c>
      <c r="H73" s="4">
        <v>3206704</v>
      </c>
      <c r="I73" s="4" t="s">
        <v>476</v>
      </c>
      <c r="J73" s="4" t="s">
        <v>358</v>
      </c>
      <c r="K73" s="4">
        <v>3206402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</row>
    <row r="74" spans="1:43" s="4" customFormat="1" x14ac:dyDescent="0.3">
      <c r="A74" s="3"/>
      <c r="B74" s="44">
        <v>45913</v>
      </c>
      <c r="C74" s="3" t="s">
        <v>416</v>
      </c>
      <c r="D74" s="3" t="s">
        <v>593</v>
      </c>
      <c r="E74" s="42"/>
      <c r="F74" s="3" t="s">
        <v>693</v>
      </c>
      <c r="G74" s="3" t="s">
        <v>629</v>
      </c>
      <c r="H74" s="4">
        <v>3961708</v>
      </c>
      <c r="I74" s="4" t="s">
        <v>694</v>
      </c>
      <c r="J74" s="4" t="s">
        <v>632</v>
      </c>
      <c r="K74" s="4">
        <v>4023303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</row>
    <row r="75" spans="1:43" s="4" customFormat="1" x14ac:dyDescent="0.3">
      <c r="A75" s="3"/>
      <c r="B75" s="44">
        <v>45913</v>
      </c>
      <c r="C75" s="3" t="s">
        <v>416</v>
      </c>
      <c r="D75" s="3" t="s">
        <v>504</v>
      </c>
      <c r="E75" s="42"/>
      <c r="F75" s="4" t="s">
        <v>476</v>
      </c>
      <c r="G75" s="4" t="s">
        <v>100</v>
      </c>
      <c r="H75" s="4">
        <v>3125302</v>
      </c>
      <c r="I75" s="3" t="s">
        <v>471</v>
      </c>
      <c r="J75" s="3" t="s">
        <v>14</v>
      </c>
      <c r="K75" s="4">
        <v>3348601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43" s="4" customFormat="1" x14ac:dyDescent="0.3">
      <c r="A76" s="3"/>
      <c r="B76" s="44">
        <v>45913</v>
      </c>
      <c r="C76" s="3" t="s">
        <v>416</v>
      </c>
      <c r="D76" s="3" t="s">
        <v>57</v>
      </c>
      <c r="E76" s="42"/>
      <c r="F76" s="32" t="s">
        <v>476</v>
      </c>
      <c r="G76" s="32" t="s">
        <v>249</v>
      </c>
      <c r="H76" s="15">
        <v>3038202</v>
      </c>
      <c r="I76" s="73" t="s">
        <v>478</v>
      </c>
      <c r="J76" s="73" t="s">
        <v>260</v>
      </c>
      <c r="K76" s="15">
        <v>3205705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</row>
    <row r="77" spans="1:43" s="4" customFormat="1" x14ac:dyDescent="0.3">
      <c r="A77" s="3"/>
      <c r="B77" s="44">
        <v>45913</v>
      </c>
      <c r="C77" s="3" t="s">
        <v>416</v>
      </c>
      <c r="D77" s="3" t="s">
        <v>62</v>
      </c>
      <c r="E77" s="42"/>
      <c r="F77" s="4" t="s">
        <v>476</v>
      </c>
      <c r="G77" s="4" t="s">
        <v>287</v>
      </c>
      <c r="H77" s="4">
        <v>3206600</v>
      </c>
      <c r="I77" s="3" t="s">
        <v>694</v>
      </c>
      <c r="J77" s="3" t="s">
        <v>340</v>
      </c>
      <c r="K77" s="4">
        <v>3201803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</row>
    <row r="78" spans="1:43" s="4" customFormat="1" x14ac:dyDescent="0.3">
      <c r="A78" s="3"/>
      <c r="B78" s="44">
        <v>45913</v>
      </c>
      <c r="C78" s="3" t="s">
        <v>416</v>
      </c>
      <c r="D78" s="3" t="s">
        <v>493</v>
      </c>
      <c r="E78" s="42"/>
      <c r="F78" s="3" t="s">
        <v>476</v>
      </c>
      <c r="G78" s="3" t="s">
        <v>169</v>
      </c>
      <c r="H78" s="4">
        <v>3356609</v>
      </c>
      <c r="I78" s="4" t="s">
        <v>657</v>
      </c>
      <c r="J78" s="4" t="s">
        <v>167</v>
      </c>
      <c r="K78" s="4">
        <v>3359804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43" s="4" customFormat="1" x14ac:dyDescent="0.3">
      <c r="A79" s="3"/>
      <c r="B79" s="44">
        <v>45913</v>
      </c>
      <c r="C79" s="3" t="s">
        <v>416</v>
      </c>
      <c r="D79" s="3" t="s">
        <v>62</v>
      </c>
      <c r="E79" s="42"/>
      <c r="F79" s="4" t="s">
        <v>476</v>
      </c>
      <c r="G79" s="4" t="s">
        <v>323</v>
      </c>
      <c r="H79" s="4">
        <v>3206506</v>
      </c>
      <c r="I79" s="3" t="s">
        <v>660</v>
      </c>
      <c r="J79" s="3" t="s">
        <v>443</v>
      </c>
      <c r="K79" s="4">
        <v>3210008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43" s="4" customFormat="1" x14ac:dyDescent="0.3">
      <c r="A80" s="3"/>
      <c r="B80" s="44">
        <v>45913</v>
      </c>
      <c r="C80" s="3" t="s">
        <v>416</v>
      </c>
      <c r="D80" s="3" t="s">
        <v>493</v>
      </c>
      <c r="E80" s="42"/>
      <c r="F80" s="3" t="s">
        <v>476</v>
      </c>
      <c r="G80" s="3" t="s">
        <v>170</v>
      </c>
      <c r="H80" s="4">
        <v>3356703</v>
      </c>
      <c r="I80" s="4" t="s">
        <v>480</v>
      </c>
      <c r="J80" s="4" t="s">
        <v>423</v>
      </c>
      <c r="K80" s="4">
        <v>3360403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s="4" customFormat="1" x14ac:dyDescent="0.3">
      <c r="A81" s="3"/>
      <c r="B81" s="44">
        <v>45913</v>
      </c>
      <c r="C81" s="3" t="s">
        <v>416</v>
      </c>
      <c r="D81" s="3" t="s">
        <v>497</v>
      </c>
      <c r="E81" s="42"/>
      <c r="F81" s="17" t="s">
        <v>476</v>
      </c>
      <c r="G81" s="17" t="s">
        <v>234</v>
      </c>
      <c r="H81" s="74">
        <v>3356807</v>
      </c>
      <c r="I81" s="3" t="s">
        <v>678</v>
      </c>
      <c r="J81" s="3" t="s">
        <v>172</v>
      </c>
      <c r="K81" s="74">
        <v>3350709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s="4" customFormat="1" x14ac:dyDescent="0.3">
      <c r="A82" s="3"/>
      <c r="B82" s="44">
        <v>45913</v>
      </c>
      <c r="C82" s="3" t="s">
        <v>416</v>
      </c>
      <c r="D82" s="3" t="s">
        <v>593</v>
      </c>
      <c r="E82" s="42"/>
      <c r="F82" s="3" t="s">
        <v>476</v>
      </c>
      <c r="G82" s="3" t="s">
        <v>630</v>
      </c>
      <c r="H82" s="4">
        <v>3206308</v>
      </c>
      <c r="I82" s="4" t="s">
        <v>681</v>
      </c>
      <c r="J82" s="4" t="s">
        <v>397</v>
      </c>
      <c r="K82" s="4">
        <v>3195908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</row>
    <row r="83" spans="1:43" s="4" customFormat="1" x14ac:dyDescent="0.3">
      <c r="A83" s="3"/>
      <c r="B83" s="44">
        <v>45913</v>
      </c>
      <c r="C83" s="3" t="s">
        <v>416</v>
      </c>
      <c r="D83" s="3" t="s">
        <v>504</v>
      </c>
      <c r="E83" s="42"/>
      <c r="F83" s="4" t="s">
        <v>666</v>
      </c>
      <c r="G83" s="4" t="s">
        <v>12</v>
      </c>
      <c r="H83" s="4">
        <v>3034206</v>
      </c>
      <c r="I83" s="3" t="s">
        <v>475</v>
      </c>
      <c r="J83" s="3" t="s">
        <v>15</v>
      </c>
      <c r="K83" s="4">
        <v>3029601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</row>
    <row r="84" spans="1:43" s="4" customFormat="1" x14ac:dyDescent="0.3">
      <c r="A84" s="3"/>
      <c r="B84" s="44">
        <v>45913</v>
      </c>
      <c r="C84" s="3" t="s">
        <v>416</v>
      </c>
      <c r="D84" s="3" t="s">
        <v>57</v>
      </c>
      <c r="E84" s="42"/>
      <c r="F84" s="4" t="s">
        <v>666</v>
      </c>
      <c r="G84" s="4" t="s">
        <v>259</v>
      </c>
      <c r="H84" s="4">
        <v>3205809</v>
      </c>
      <c r="I84" s="3" t="s">
        <v>645</v>
      </c>
      <c r="J84" s="3" t="s">
        <v>263</v>
      </c>
      <c r="K84" s="4">
        <v>3198707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</row>
    <row r="85" spans="1:43" s="4" customFormat="1" x14ac:dyDescent="0.3">
      <c r="A85" s="3"/>
      <c r="B85" s="44">
        <v>45913</v>
      </c>
      <c r="C85" s="3" t="s">
        <v>416</v>
      </c>
      <c r="D85" s="4" t="s">
        <v>614</v>
      </c>
      <c r="E85" s="42"/>
      <c r="F85" s="3" t="s">
        <v>666</v>
      </c>
      <c r="G85" s="3" t="s">
        <v>453</v>
      </c>
      <c r="H85" s="4">
        <v>3206006</v>
      </c>
      <c r="I85" s="4" t="s">
        <v>646</v>
      </c>
      <c r="J85" s="4" t="s">
        <v>380</v>
      </c>
      <c r="K85" s="4">
        <v>3202208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</row>
    <row r="86" spans="1:43" s="4" customFormat="1" x14ac:dyDescent="0.3">
      <c r="A86" s="3"/>
      <c r="B86" s="44">
        <v>45913</v>
      </c>
      <c r="C86" s="3" t="s">
        <v>416</v>
      </c>
      <c r="D86" s="3" t="s">
        <v>491</v>
      </c>
      <c r="E86" s="42"/>
      <c r="F86" s="3" t="s">
        <v>478</v>
      </c>
      <c r="G86" s="3" t="s">
        <v>463</v>
      </c>
      <c r="H86" s="74">
        <v>3125500</v>
      </c>
      <c r="I86" s="3" t="s">
        <v>695</v>
      </c>
      <c r="J86" s="3" t="s">
        <v>148</v>
      </c>
      <c r="K86" s="4">
        <v>3355402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s="4" customFormat="1" x14ac:dyDescent="0.3">
      <c r="A87" s="3"/>
      <c r="B87" s="44">
        <v>45913</v>
      </c>
      <c r="C87" s="3" t="s">
        <v>416</v>
      </c>
      <c r="D87" s="3" t="s">
        <v>61</v>
      </c>
      <c r="E87" s="42"/>
      <c r="F87" s="4" t="s">
        <v>478</v>
      </c>
      <c r="G87" s="4" t="s">
        <v>330</v>
      </c>
      <c r="H87" s="4">
        <v>3205309</v>
      </c>
      <c r="I87" s="3" t="s">
        <v>696</v>
      </c>
      <c r="J87" s="3" t="s">
        <v>307</v>
      </c>
      <c r="K87" s="4">
        <v>3201907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s="4" customFormat="1" x14ac:dyDescent="0.3">
      <c r="A88" s="3"/>
      <c r="B88" s="44">
        <v>45913</v>
      </c>
      <c r="C88" s="3" t="s">
        <v>416</v>
      </c>
      <c r="D88" s="3" t="s">
        <v>488</v>
      </c>
      <c r="E88" s="42"/>
      <c r="F88" s="4" t="s">
        <v>690</v>
      </c>
      <c r="G88" s="4" t="s">
        <v>118</v>
      </c>
      <c r="H88" s="4">
        <v>3356005</v>
      </c>
      <c r="I88" s="3" t="s">
        <v>680</v>
      </c>
      <c r="J88" s="3" t="s">
        <v>117</v>
      </c>
      <c r="K88" s="4">
        <v>3359002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</row>
    <row r="89" spans="1:43" s="4" customFormat="1" x14ac:dyDescent="0.3">
      <c r="A89" s="3"/>
      <c r="B89" s="44">
        <v>45913</v>
      </c>
      <c r="C89" s="3" t="s">
        <v>416</v>
      </c>
      <c r="D89" s="3" t="s">
        <v>58</v>
      </c>
      <c r="E89" s="42"/>
      <c r="F89" s="3" t="s">
        <v>690</v>
      </c>
      <c r="G89" s="3" t="s">
        <v>303</v>
      </c>
      <c r="H89" s="4">
        <v>3205101</v>
      </c>
      <c r="I89" s="3" t="s">
        <v>697</v>
      </c>
      <c r="J89" s="3" t="s">
        <v>262</v>
      </c>
      <c r="K89" s="32">
        <v>3055405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</row>
    <row r="90" spans="1:43" s="4" customFormat="1" x14ac:dyDescent="0.3">
      <c r="A90" s="3"/>
      <c r="B90" s="44">
        <v>45913</v>
      </c>
      <c r="C90" s="3" t="s">
        <v>416</v>
      </c>
      <c r="D90" s="3" t="s">
        <v>491</v>
      </c>
      <c r="E90" s="42"/>
      <c r="F90" s="4" t="s">
        <v>690</v>
      </c>
      <c r="G90" s="4" t="s">
        <v>179</v>
      </c>
      <c r="H90" s="4">
        <v>3818900</v>
      </c>
      <c r="I90" s="3" t="s">
        <v>698</v>
      </c>
      <c r="J90" s="3" t="s">
        <v>567</v>
      </c>
      <c r="K90" s="4" t="s">
        <v>556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</row>
    <row r="91" spans="1:43" s="4" customFormat="1" x14ac:dyDescent="0.3">
      <c r="A91" s="3"/>
      <c r="B91" s="44">
        <v>45913</v>
      </c>
      <c r="C91" s="3" t="s">
        <v>416</v>
      </c>
      <c r="D91" s="3" t="s">
        <v>66</v>
      </c>
      <c r="E91" s="42"/>
      <c r="F91" s="59" t="s">
        <v>690</v>
      </c>
      <c r="G91" s="59" t="s">
        <v>605</v>
      </c>
      <c r="H91" s="15">
        <v>3900109</v>
      </c>
      <c r="I91" s="59" t="s">
        <v>684</v>
      </c>
      <c r="J91" s="59" t="s">
        <v>608</v>
      </c>
      <c r="K91" s="15">
        <v>3819107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</row>
    <row r="92" spans="1:43" s="4" customFormat="1" x14ac:dyDescent="0.3">
      <c r="A92" s="3"/>
      <c r="B92" s="44">
        <v>45913</v>
      </c>
      <c r="C92" s="3" t="s">
        <v>416</v>
      </c>
      <c r="D92" s="3" t="s">
        <v>486</v>
      </c>
      <c r="E92" s="42"/>
      <c r="F92" s="4" t="s">
        <v>682</v>
      </c>
      <c r="G92" s="4" t="s">
        <v>559</v>
      </c>
      <c r="H92" s="4">
        <v>3969200</v>
      </c>
      <c r="I92" s="3" t="s">
        <v>676</v>
      </c>
      <c r="J92" s="3" t="s">
        <v>109</v>
      </c>
      <c r="K92" s="4">
        <v>3067701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s="4" customFormat="1" x14ac:dyDescent="0.3">
      <c r="A93" s="3"/>
      <c r="B93" s="44">
        <v>45913</v>
      </c>
      <c r="C93" s="3" t="s">
        <v>416</v>
      </c>
      <c r="D93" s="3" t="s">
        <v>495</v>
      </c>
      <c r="E93" s="42"/>
      <c r="F93" s="3" t="s">
        <v>682</v>
      </c>
      <c r="G93" s="3" t="s">
        <v>568</v>
      </c>
      <c r="H93" s="4">
        <v>3969908</v>
      </c>
      <c r="I93" s="3" t="s">
        <v>666</v>
      </c>
      <c r="J93" s="3" t="s">
        <v>193</v>
      </c>
      <c r="K93" s="4">
        <v>3357108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</row>
    <row r="94" spans="1:43" s="4" customFormat="1" x14ac:dyDescent="0.3">
      <c r="A94" s="3"/>
      <c r="B94" s="44">
        <v>45913</v>
      </c>
      <c r="C94" s="3" t="s">
        <v>416</v>
      </c>
      <c r="D94" s="4" t="s">
        <v>614</v>
      </c>
      <c r="E94" s="42"/>
      <c r="F94" s="3" t="s">
        <v>682</v>
      </c>
      <c r="G94" s="3" t="s">
        <v>622</v>
      </c>
      <c r="H94" s="4">
        <v>3969502</v>
      </c>
      <c r="I94" s="4" t="s">
        <v>699</v>
      </c>
      <c r="J94" s="4" t="s">
        <v>624</v>
      </c>
      <c r="K94" s="4">
        <v>3196105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</row>
    <row r="95" spans="1:43" s="4" customFormat="1" x14ac:dyDescent="0.3">
      <c r="A95" s="3"/>
      <c r="B95" s="44">
        <v>45913</v>
      </c>
      <c r="C95" s="3" t="s">
        <v>416</v>
      </c>
      <c r="D95" s="3" t="s">
        <v>62</v>
      </c>
      <c r="E95" s="42"/>
      <c r="F95" s="4" t="s">
        <v>700</v>
      </c>
      <c r="G95" s="4" t="s">
        <v>442</v>
      </c>
      <c r="H95" s="4">
        <v>3205007</v>
      </c>
      <c r="I95" s="3" t="s">
        <v>701</v>
      </c>
      <c r="J95" s="3" t="s">
        <v>360</v>
      </c>
      <c r="K95" s="4">
        <v>3203801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s="4" customFormat="1" x14ac:dyDescent="0.3">
      <c r="A96" s="3"/>
      <c r="B96" s="44">
        <v>45913</v>
      </c>
      <c r="C96" s="3" t="s">
        <v>416</v>
      </c>
      <c r="D96" s="3" t="s">
        <v>500</v>
      </c>
      <c r="E96" s="42"/>
      <c r="F96" s="3" t="s">
        <v>701</v>
      </c>
      <c r="G96" s="3" t="s">
        <v>236</v>
      </c>
      <c r="H96" s="4">
        <v>3355704</v>
      </c>
      <c r="I96" s="4" t="s">
        <v>654</v>
      </c>
      <c r="J96" s="4" t="s">
        <v>576</v>
      </c>
      <c r="K96" s="4">
        <v>4009003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  <row r="97" spans="1:43" s="4" customFormat="1" x14ac:dyDescent="0.3">
      <c r="A97" s="3"/>
      <c r="B97" s="44">
        <v>45913</v>
      </c>
      <c r="C97" s="3" t="s">
        <v>416</v>
      </c>
      <c r="D97" s="3" t="s">
        <v>593</v>
      </c>
      <c r="E97" s="42"/>
      <c r="F97" s="3" t="s">
        <v>701</v>
      </c>
      <c r="G97" s="3" t="s">
        <v>631</v>
      </c>
      <c r="H97" s="4">
        <v>4023209</v>
      </c>
      <c r="I97" s="4" t="s">
        <v>653</v>
      </c>
      <c r="J97" s="4" t="s">
        <v>459</v>
      </c>
      <c r="K97" s="4">
        <v>3211101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</row>
    <row r="98" spans="1:43" s="4" customFormat="1" x14ac:dyDescent="0.3">
      <c r="A98" s="3"/>
      <c r="B98" s="44">
        <v>45913</v>
      </c>
      <c r="C98" s="3" t="s">
        <v>416</v>
      </c>
      <c r="D98" s="3" t="s">
        <v>491</v>
      </c>
      <c r="E98" s="42"/>
      <c r="F98" s="4" t="s">
        <v>702</v>
      </c>
      <c r="G98" s="4" t="s">
        <v>180</v>
      </c>
      <c r="H98" s="4">
        <v>3355308</v>
      </c>
      <c r="I98" s="3" t="s">
        <v>645</v>
      </c>
      <c r="J98" s="3" t="s">
        <v>152</v>
      </c>
      <c r="K98" s="4">
        <v>3351302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</row>
    <row r="99" spans="1:43" s="4" customFormat="1" x14ac:dyDescent="0.3">
      <c r="A99" s="3"/>
      <c r="B99" s="44">
        <v>45913</v>
      </c>
      <c r="C99" s="3" t="s">
        <v>416</v>
      </c>
      <c r="D99" s="3" t="s">
        <v>60</v>
      </c>
      <c r="E99" s="42"/>
      <c r="F99" s="3" t="s">
        <v>695</v>
      </c>
      <c r="G99" s="3" t="s">
        <v>296</v>
      </c>
      <c r="H99" s="4">
        <v>3203905</v>
      </c>
      <c r="I99" s="3" t="s">
        <v>667</v>
      </c>
      <c r="J99" s="3" t="s">
        <v>294</v>
      </c>
      <c r="K99" s="32">
        <v>3209409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</row>
    <row r="100" spans="1:43" s="4" customFormat="1" x14ac:dyDescent="0.3">
      <c r="A100" s="3"/>
      <c r="B100" s="44">
        <v>45913</v>
      </c>
      <c r="C100" s="3" t="s">
        <v>416</v>
      </c>
      <c r="D100" s="3" t="s">
        <v>488</v>
      </c>
      <c r="E100" s="42"/>
      <c r="F100" s="4" t="s">
        <v>695</v>
      </c>
      <c r="G100" s="4" t="s">
        <v>147</v>
      </c>
      <c r="H100" s="4">
        <v>3067409</v>
      </c>
      <c r="I100" s="3" t="s">
        <v>703</v>
      </c>
      <c r="J100" s="3" t="s">
        <v>560</v>
      </c>
      <c r="K100" s="4" t="s">
        <v>562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</row>
    <row r="101" spans="1:43" s="4" customFormat="1" x14ac:dyDescent="0.3">
      <c r="A101" s="3"/>
      <c r="B101" s="44">
        <v>45913</v>
      </c>
      <c r="C101" s="3" t="s">
        <v>416</v>
      </c>
      <c r="D101" s="3" t="s">
        <v>58</v>
      </c>
      <c r="E101" s="42"/>
      <c r="F101" s="3" t="s">
        <v>704</v>
      </c>
      <c r="G101" s="3" t="s">
        <v>297</v>
      </c>
      <c r="H101" s="32">
        <v>3204008</v>
      </c>
      <c r="I101" s="3" t="s">
        <v>703</v>
      </c>
      <c r="J101" s="3" t="s">
        <v>586</v>
      </c>
      <c r="K101" s="32" t="s">
        <v>588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</row>
    <row r="102" spans="1:43" s="4" customFormat="1" x14ac:dyDescent="0.3">
      <c r="A102" s="3"/>
      <c r="B102" s="44">
        <v>45913</v>
      </c>
      <c r="C102" s="3" t="s">
        <v>416</v>
      </c>
      <c r="D102" s="3" t="s">
        <v>60</v>
      </c>
      <c r="E102" s="42"/>
      <c r="F102" s="3" t="s">
        <v>473</v>
      </c>
      <c r="G102" s="3" t="s">
        <v>445</v>
      </c>
      <c r="H102" s="4">
        <v>3204102</v>
      </c>
      <c r="I102" s="32" t="s">
        <v>705</v>
      </c>
      <c r="J102" s="32" t="s">
        <v>293</v>
      </c>
      <c r="K102" s="15">
        <v>3211705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s="4" customFormat="1" x14ac:dyDescent="0.3">
      <c r="A103" s="3"/>
      <c r="B103" s="44">
        <v>45913</v>
      </c>
      <c r="C103" s="3" t="s">
        <v>416</v>
      </c>
      <c r="D103" s="3" t="s">
        <v>60</v>
      </c>
      <c r="E103" s="42"/>
      <c r="F103" s="3" t="s">
        <v>473</v>
      </c>
      <c r="G103" s="3" t="s">
        <v>298</v>
      </c>
      <c r="H103" s="32">
        <v>3817807</v>
      </c>
      <c r="I103" s="3" t="s">
        <v>706</v>
      </c>
      <c r="J103" s="3" t="s">
        <v>299</v>
      </c>
      <c r="K103" s="32">
        <v>3199102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s="4" customFormat="1" x14ac:dyDescent="0.3">
      <c r="A104" s="3"/>
      <c r="B104" s="44">
        <v>45913</v>
      </c>
      <c r="C104" s="3" t="s">
        <v>416</v>
      </c>
      <c r="D104" s="3" t="s">
        <v>60</v>
      </c>
      <c r="E104" s="42"/>
      <c r="F104" s="3" t="s">
        <v>473</v>
      </c>
      <c r="G104" s="3" t="s">
        <v>446</v>
      </c>
      <c r="H104" s="32">
        <v>3204206</v>
      </c>
      <c r="I104" s="3" t="s">
        <v>707</v>
      </c>
      <c r="J104" s="3" t="s">
        <v>295</v>
      </c>
      <c r="K104" s="32">
        <v>3207505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</row>
    <row r="105" spans="1:43" s="4" customFormat="1" x14ac:dyDescent="0.3">
      <c r="A105" s="3"/>
      <c r="B105" s="44">
        <v>45913</v>
      </c>
      <c r="C105" s="3" t="s">
        <v>416</v>
      </c>
      <c r="D105" s="3" t="s">
        <v>494</v>
      </c>
      <c r="E105" s="42"/>
      <c r="F105" s="4" t="s">
        <v>708</v>
      </c>
      <c r="G105" s="4" t="s">
        <v>141</v>
      </c>
      <c r="H105" s="4">
        <v>3125802</v>
      </c>
      <c r="I105" s="3" t="s">
        <v>708</v>
      </c>
      <c r="J105" s="3" t="s">
        <v>220</v>
      </c>
      <c r="K105" s="4">
        <v>3354809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</row>
    <row r="106" spans="1:43" s="4" customFormat="1" x14ac:dyDescent="0.3">
      <c r="A106" s="3"/>
      <c r="B106" s="44">
        <v>45913</v>
      </c>
      <c r="C106" s="3" t="s">
        <v>416</v>
      </c>
      <c r="D106" s="3" t="s">
        <v>67</v>
      </c>
      <c r="E106" s="42"/>
      <c r="F106" s="4" t="s">
        <v>708</v>
      </c>
      <c r="G106" s="4" t="s">
        <v>339</v>
      </c>
      <c r="H106" s="4">
        <v>3204300</v>
      </c>
      <c r="I106" s="3" t="s">
        <v>689</v>
      </c>
      <c r="J106" s="3" t="s">
        <v>341</v>
      </c>
      <c r="K106" s="4">
        <v>3197708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</row>
    <row r="107" spans="1:43" s="4" customFormat="1" x14ac:dyDescent="0.3">
      <c r="A107" s="3"/>
      <c r="B107" s="44">
        <v>45913</v>
      </c>
      <c r="C107" s="3" t="s">
        <v>416</v>
      </c>
      <c r="D107" s="3" t="s">
        <v>66</v>
      </c>
      <c r="E107" s="42"/>
      <c r="F107" s="59" t="s">
        <v>703</v>
      </c>
      <c r="G107" s="59" t="s">
        <v>606</v>
      </c>
      <c r="H107" s="15" t="s">
        <v>588</v>
      </c>
      <c r="I107" s="59" t="s">
        <v>478</v>
      </c>
      <c r="J107" s="59" t="s">
        <v>604</v>
      </c>
      <c r="K107" s="15">
        <v>3205507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</row>
    <row r="108" spans="1:43" s="4" customFormat="1" x14ac:dyDescent="0.3">
      <c r="A108" s="3"/>
      <c r="B108" s="44">
        <v>45913</v>
      </c>
      <c r="C108" s="3" t="s">
        <v>416</v>
      </c>
      <c r="D108" s="3" t="s">
        <v>58</v>
      </c>
      <c r="E108" s="42"/>
      <c r="F108" s="3" t="s">
        <v>683</v>
      </c>
      <c r="G108" s="3" t="s">
        <v>305</v>
      </c>
      <c r="H108" s="32">
        <v>3202906</v>
      </c>
      <c r="I108" s="3" t="s">
        <v>702</v>
      </c>
      <c r="J108" s="3" t="s">
        <v>447</v>
      </c>
      <c r="K108" s="32">
        <v>3055207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</row>
    <row r="109" spans="1:43" s="4" customFormat="1" x14ac:dyDescent="0.3">
      <c r="A109" s="3"/>
      <c r="B109" s="44">
        <v>45913</v>
      </c>
      <c r="C109" s="3" t="s">
        <v>416</v>
      </c>
      <c r="D109" s="3" t="s">
        <v>57</v>
      </c>
      <c r="E109" s="42"/>
      <c r="F109" s="32" t="s">
        <v>709</v>
      </c>
      <c r="G109" s="32" t="s">
        <v>268</v>
      </c>
      <c r="H109" s="15">
        <v>3203103</v>
      </c>
      <c r="I109" s="15" t="s">
        <v>703</v>
      </c>
      <c r="J109" s="15" t="s">
        <v>585</v>
      </c>
      <c r="K109" s="74" t="s">
        <v>556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s="4" customFormat="1" x14ac:dyDescent="0.3">
      <c r="A110" s="3"/>
      <c r="B110" s="44">
        <v>45913</v>
      </c>
      <c r="C110" s="3" t="s">
        <v>416</v>
      </c>
      <c r="D110" s="3" t="s">
        <v>491</v>
      </c>
      <c r="E110" s="42"/>
      <c r="F110" s="4" t="s">
        <v>709</v>
      </c>
      <c r="G110" s="4" t="s">
        <v>566</v>
      </c>
      <c r="H110" s="4">
        <v>3560703</v>
      </c>
      <c r="I110" s="3" t="s">
        <v>684</v>
      </c>
      <c r="J110" s="3" t="s">
        <v>149</v>
      </c>
      <c r="K110" s="4">
        <v>3354507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s="4" customFormat="1" x14ac:dyDescent="0.3">
      <c r="A111" s="3"/>
      <c r="B111" s="44">
        <v>45913</v>
      </c>
      <c r="C111" s="3" t="s">
        <v>416</v>
      </c>
      <c r="D111" s="3" t="s">
        <v>66</v>
      </c>
      <c r="E111" s="42"/>
      <c r="F111" s="59" t="s">
        <v>709</v>
      </c>
      <c r="G111" s="59" t="s">
        <v>607</v>
      </c>
      <c r="H111" s="15">
        <v>3596309</v>
      </c>
      <c r="I111" s="59" t="s">
        <v>680</v>
      </c>
      <c r="J111" s="59" t="s">
        <v>603</v>
      </c>
      <c r="K111" s="15">
        <v>3945400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s="4" customFormat="1" x14ac:dyDescent="0.3">
      <c r="A112" s="3"/>
      <c r="B112" s="44">
        <v>45913</v>
      </c>
      <c r="C112" s="3" t="s">
        <v>416</v>
      </c>
      <c r="D112" s="3" t="s">
        <v>488</v>
      </c>
      <c r="E112" s="42"/>
      <c r="F112" s="4" t="s">
        <v>684</v>
      </c>
      <c r="G112" s="4" t="s">
        <v>121</v>
      </c>
      <c r="H112" s="4">
        <v>3354309</v>
      </c>
      <c r="I112" s="3" t="s">
        <v>702</v>
      </c>
      <c r="J112" s="3" t="s">
        <v>119</v>
      </c>
      <c r="K112" s="4">
        <v>3067909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</row>
    <row r="113" spans="1:43" s="4" customFormat="1" x14ac:dyDescent="0.3">
      <c r="A113" s="3"/>
      <c r="B113" s="44">
        <v>45913</v>
      </c>
      <c r="C113" s="3" t="s">
        <v>416</v>
      </c>
      <c r="D113" s="3" t="s">
        <v>63</v>
      </c>
      <c r="E113" s="42"/>
      <c r="F113" s="3" t="s">
        <v>684</v>
      </c>
      <c r="G113" s="3" t="s">
        <v>369</v>
      </c>
      <c r="H113" s="74">
        <v>3202708</v>
      </c>
      <c r="I113" s="104" t="s">
        <v>645</v>
      </c>
      <c r="J113" s="104" t="s">
        <v>333</v>
      </c>
      <c r="K113" s="74">
        <v>3198801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</row>
    <row r="114" spans="1:43" s="4" customFormat="1" x14ac:dyDescent="0.3">
      <c r="A114" s="3"/>
      <c r="B114" s="44">
        <v>45913</v>
      </c>
      <c r="C114" s="3" t="s">
        <v>416</v>
      </c>
      <c r="D114" s="3" t="s">
        <v>486</v>
      </c>
      <c r="E114" s="42"/>
      <c r="F114" s="4" t="s">
        <v>646</v>
      </c>
      <c r="G114" s="4" t="s">
        <v>102</v>
      </c>
      <c r="H114" s="4">
        <v>3125406</v>
      </c>
      <c r="I114" s="3" t="s">
        <v>474</v>
      </c>
      <c r="J114" s="3" t="s">
        <v>103</v>
      </c>
      <c r="K114" s="4">
        <v>3353206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</row>
    <row r="115" spans="1:43" s="4" customFormat="1" x14ac:dyDescent="0.3">
      <c r="A115" s="3"/>
      <c r="B115" s="44">
        <v>45913</v>
      </c>
      <c r="C115" s="3" t="s">
        <v>416</v>
      </c>
      <c r="D115" s="3" t="s">
        <v>59</v>
      </c>
      <c r="E115" s="42"/>
      <c r="F115" s="4" t="s">
        <v>646</v>
      </c>
      <c r="G115" s="4" t="s">
        <v>275</v>
      </c>
      <c r="H115" s="4">
        <v>3202406</v>
      </c>
      <c r="I115" s="3" t="s">
        <v>710</v>
      </c>
      <c r="J115" s="3" t="s">
        <v>279</v>
      </c>
      <c r="K115" s="4">
        <v>3199706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</row>
    <row r="116" spans="1:43" s="4" customFormat="1" x14ac:dyDescent="0.3">
      <c r="A116" s="3"/>
      <c r="B116" s="44">
        <v>45913</v>
      </c>
      <c r="C116" s="3" t="s">
        <v>416</v>
      </c>
      <c r="D116" s="3" t="s">
        <v>492</v>
      </c>
      <c r="E116" s="42"/>
      <c r="F116" s="4" t="s">
        <v>646</v>
      </c>
      <c r="G116" s="4" t="s">
        <v>194</v>
      </c>
      <c r="H116" s="4">
        <v>3354205</v>
      </c>
      <c r="I116" s="3" t="s">
        <v>646</v>
      </c>
      <c r="J116" s="3" t="s">
        <v>159</v>
      </c>
      <c r="K116" s="4">
        <v>3354403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</row>
    <row r="117" spans="1:43" s="4" customFormat="1" x14ac:dyDescent="0.3">
      <c r="A117" s="3"/>
      <c r="B117" s="44">
        <v>45913</v>
      </c>
      <c r="C117" s="3" t="s">
        <v>416</v>
      </c>
      <c r="D117" s="3" t="s">
        <v>610</v>
      </c>
      <c r="E117" s="42"/>
      <c r="F117" s="3" t="s">
        <v>646</v>
      </c>
      <c r="G117" s="3" t="s">
        <v>350</v>
      </c>
      <c r="H117" s="4">
        <v>3202802</v>
      </c>
      <c r="I117" s="4" t="s">
        <v>711</v>
      </c>
      <c r="J117" s="4" t="s">
        <v>381</v>
      </c>
      <c r="K117" s="4">
        <v>3201209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</row>
    <row r="118" spans="1:43" s="4" customFormat="1" x14ac:dyDescent="0.3">
      <c r="A118" s="3"/>
      <c r="B118" s="44">
        <v>45913</v>
      </c>
      <c r="C118" s="3" t="s">
        <v>416</v>
      </c>
      <c r="D118" s="3" t="s">
        <v>56</v>
      </c>
      <c r="E118" s="42"/>
      <c r="F118" s="4" t="s">
        <v>696</v>
      </c>
      <c r="G118" s="4" t="s">
        <v>261</v>
      </c>
      <c r="H118" s="4">
        <v>3202302</v>
      </c>
      <c r="I118" s="73" t="s">
        <v>671</v>
      </c>
      <c r="J118" s="73" t="s">
        <v>247</v>
      </c>
      <c r="K118" s="4">
        <v>3034102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</row>
    <row r="119" spans="1:43" s="4" customFormat="1" x14ac:dyDescent="0.3">
      <c r="A119" s="3"/>
      <c r="B119" s="44">
        <v>45913</v>
      </c>
      <c r="C119" s="3" t="s">
        <v>416</v>
      </c>
      <c r="D119" s="3" t="s">
        <v>66</v>
      </c>
      <c r="E119" s="42"/>
      <c r="F119" s="59" t="s">
        <v>696</v>
      </c>
      <c r="G119" s="59" t="s">
        <v>609</v>
      </c>
      <c r="H119" s="15">
        <v>3900401</v>
      </c>
      <c r="I119" s="59" t="s">
        <v>659</v>
      </c>
      <c r="J119" s="59" t="s">
        <v>602</v>
      </c>
      <c r="K119" s="15">
        <v>4023001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</row>
    <row r="120" spans="1:43" s="4" customFormat="1" x14ac:dyDescent="0.3">
      <c r="A120" s="3"/>
      <c r="B120" s="44">
        <v>45913</v>
      </c>
      <c r="C120" s="3" t="s">
        <v>416</v>
      </c>
      <c r="D120" s="3" t="s">
        <v>500</v>
      </c>
      <c r="E120" s="42"/>
      <c r="F120" s="3" t="s">
        <v>672</v>
      </c>
      <c r="G120" s="3" t="s">
        <v>187</v>
      </c>
      <c r="H120" s="4">
        <v>3354101</v>
      </c>
      <c r="I120" s="4" t="s">
        <v>676</v>
      </c>
      <c r="J120" s="4" t="s">
        <v>577</v>
      </c>
      <c r="K120" s="4" t="s">
        <v>556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</row>
    <row r="121" spans="1:43" s="4" customFormat="1" x14ac:dyDescent="0.3">
      <c r="A121" s="3"/>
      <c r="B121" s="44">
        <v>45913</v>
      </c>
      <c r="C121" s="3" t="s">
        <v>416</v>
      </c>
      <c r="D121" s="3" t="s">
        <v>64</v>
      </c>
      <c r="E121" s="42">
        <v>4370907</v>
      </c>
      <c r="F121" s="3" t="s">
        <v>672</v>
      </c>
      <c r="G121" s="3" t="s">
        <v>316</v>
      </c>
      <c r="H121" s="4">
        <v>3069105</v>
      </c>
      <c r="I121" s="4" t="s">
        <v>692</v>
      </c>
      <c r="J121" s="4" t="s">
        <v>342</v>
      </c>
      <c r="K121" s="4">
        <v>3196501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</row>
    <row r="122" spans="1:43" s="4" customFormat="1" x14ac:dyDescent="0.3">
      <c r="A122" s="3"/>
      <c r="B122" s="44">
        <v>45913</v>
      </c>
      <c r="C122" s="3" t="s">
        <v>416</v>
      </c>
      <c r="D122" s="3" t="s">
        <v>67</v>
      </c>
      <c r="E122" s="42"/>
      <c r="F122" s="4" t="s">
        <v>672</v>
      </c>
      <c r="G122" s="4" t="s">
        <v>375</v>
      </c>
      <c r="H122" s="4">
        <v>3069209</v>
      </c>
      <c r="I122" s="3" t="s">
        <v>472</v>
      </c>
      <c r="J122" s="3" t="s">
        <v>338</v>
      </c>
      <c r="K122" s="4">
        <v>3207307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</row>
    <row r="123" spans="1:43" s="4" customFormat="1" x14ac:dyDescent="0.3">
      <c r="A123" s="3"/>
      <c r="B123" s="44">
        <v>45913</v>
      </c>
      <c r="C123" s="3" t="s">
        <v>416</v>
      </c>
      <c r="D123" s="3" t="s">
        <v>488</v>
      </c>
      <c r="E123" s="42"/>
      <c r="F123" s="4" t="s">
        <v>697</v>
      </c>
      <c r="G123" s="4" t="s">
        <v>122</v>
      </c>
      <c r="H123" s="4">
        <v>3353800</v>
      </c>
      <c r="I123" s="3" t="s">
        <v>645</v>
      </c>
      <c r="J123" s="3" t="s">
        <v>123</v>
      </c>
      <c r="K123" s="4">
        <v>3351104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s="4" customFormat="1" x14ac:dyDescent="0.3">
      <c r="A124" s="3"/>
      <c r="B124" s="44">
        <v>45913</v>
      </c>
      <c r="C124" s="3" t="s">
        <v>416</v>
      </c>
      <c r="D124" s="3" t="s">
        <v>63</v>
      </c>
      <c r="E124" s="42"/>
      <c r="F124" s="3" t="s">
        <v>697</v>
      </c>
      <c r="G124" s="3" t="s">
        <v>448</v>
      </c>
      <c r="H124" s="4">
        <v>3036808</v>
      </c>
      <c r="I124" s="104" t="s">
        <v>712</v>
      </c>
      <c r="J124" s="104" t="s">
        <v>334</v>
      </c>
      <c r="K124" s="74">
        <v>3198009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  <row r="125" spans="1:43" s="4" customFormat="1" x14ac:dyDescent="0.3">
      <c r="A125" s="3"/>
      <c r="B125" s="44">
        <v>45913</v>
      </c>
      <c r="C125" s="3" t="s">
        <v>416</v>
      </c>
      <c r="D125" s="3" t="s">
        <v>504</v>
      </c>
      <c r="E125" s="42"/>
      <c r="F125" s="4" t="s">
        <v>694</v>
      </c>
      <c r="G125" s="4" t="s">
        <v>112</v>
      </c>
      <c r="H125" s="4">
        <v>3353602</v>
      </c>
      <c r="I125" s="3" t="s">
        <v>662</v>
      </c>
      <c r="J125" s="3" t="s">
        <v>99</v>
      </c>
      <c r="K125" s="4">
        <v>3125604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s="4" customFormat="1" x14ac:dyDescent="0.3">
      <c r="A126" s="3"/>
      <c r="B126" s="44">
        <v>45913</v>
      </c>
      <c r="C126" s="3" t="s">
        <v>416</v>
      </c>
      <c r="D126" s="3" t="s">
        <v>57</v>
      </c>
      <c r="E126" s="42"/>
      <c r="F126" s="53" t="s">
        <v>694</v>
      </c>
      <c r="G126" s="53" t="s">
        <v>276</v>
      </c>
      <c r="H126" s="74">
        <v>3201709</v>
      </c>
      <c r="I126" s="3" t="s">
        <v>667</v>
      </c>
      <c r="J126" s="3" t="s">
        <v>257</v>
      </c>
      <c r="K126" s="4">
        <v>3209805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s="4" customFormat="1" x14ac:dyDescent="0.3">
      <c r="A127" s="3"/>
      <c r="B127" s="44">
        <v>45913</v>
      </c>
      <c r="C127" s="3" t="s">
        <v>416</v>
      </c>
      <c r="D127" s="3" t="s">
        <v>494</v>
      </c>
      <c r="E127" s="42"/>
      <c r="F127" s="4" t="s">
        <v>694</v>
      </c>
      <c r="G127" s="4" t="s">
        <v>188</v>
      </c>
      <c r="H127" s="4">
        <v>3353508</v>
      </c>
      <c r="I127" s="3" t="s">
        <v>694</v>
      </c>
      <c r="J127" s="3" t="s">
        <v>221</v>
      </c>
      <c r="K127" s="4">
        <v>3353404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s="4" customFormat="1" x14ac:dyDescent="0.3">
      <c r="A128" s="3"/>
      <c r="B128" s="44">
        <v>45913</v>
      </c>
      <c r="C128" s="3" t="s">
        <v>416</v>
      </c>
      <c r="D128" s="3" t="s">
        <v>65</v>
      </c>
      <c r="E128" s="42"/>
      <c r="F128" s="3" t="s">
        <v>655</v>
      </c>
      <c r="G128" s="3" t="s">
        <v>325</v>
      </c>
      <c r="H128" s="4">
        <v>3201501</v>
      </c>
      <c r="I128" s="4" t="s">
        <v>663</v>
      </c>
      <c r="J128" s="4" t="s">
        <v>290</v>
      </c>
      <c r="K128" s="4">
        <v>3197500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43" s="4" customFormat="1" x14ac:dyDescent="0.3">
      <c r="A129" s="3"/>
      <c r="B129" s="44">
        <v>45913</v>
      </c>
      <c r="C129" s="3" t="s">
        <v>416</v>
      </c>
      <c r="D129" s="3" t="s">
        <v>489</v>
      </c>
      <c r="F129" s="4" t="s">
        <v>685</v>
      </c>
      <c r="G129" s="4" t="s">
        <v>160</v>
      </c>
      <c r="H129" s="4">
        <v>3353008</v>
      </c>
      <c r="I129" s="4" t="s">
        <v>682</v>
      </c>
      <c r="J129" s="4" t="s">
        <v>564</v>
      </c>
      <c r="K129" s="4">
        <v>3969804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</row>
    <row r="130" spans="1:43" s="4" customFormat="1" x14ac:dyDescent="0.3">
      <c r="A130" s="3"/>
      <c r="B130" s="44">
        <v>45913</v>
      </c>
      <c r="C130" s="3" t="s">
        <v>416</v>
      </c>
      <c r="D130" s="3" t="s">
        <v>610</v>
      </c>
      <c r="E130" s="42"/>
      <c r="F130" s="3" t="s">
        <v>685</v>
      </c>
      <c r="G130" s="3" t="s">
        <v>351</v>
      </c>
      <c r="H130" s="4">
        <v>3201001</v>
      </c>
      <c r="I130" s="4" t="s">
        <v>666</v>
      </c>
      <c r="J130" s="4" t="s">
        <v>348</v>
      </c>
      <c r="K130" s="4">
        <v>3205903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</row>
    <row r="131" spans="1:43" s="4" customFormat="1" x14ac:dyDescent="0.3">
      <c r="A131" s="3"/>
      <c r="B131" s="44">
        <v>45913</v>
      </c>
      <c r="C131" s="3" t="s">
        <v>416</v>
      </c>
      <c r="D131" s="3" t="s">
        <v>495</v>
      </c>
      <c r="E131" s="42"/>
      <c r="F131" s="3" t="s">
        <v>685</v>
      </c>
      <c r="G131" s="3" t="s">
        <v>196</v>
      </c>
      <c r="H131" s="4">
        <v>3353102</v>
      </c>
      <c r="I131" s="3" t="s">
        <v>713</v>
      </c>
      <c r="J131" s="3" t="s">
        <v>199</v>
      </c>
      <c r="K131" s="4">
        <v>3349100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</row>
    <row r="132" spans="1:43" s="4" customFormat="1" x14ac:dyDescent="0.3">
      <c r="A132" s="3"/>
      <c r="B132" s="44">
        <v>45913</v>
      </c>
      <c r="C132" s="3" t="s">
        <v>416</v>
      </c>
      <c r="D132" s="3" t="s">
        <v>56</v>
      </c>
      <c r="E132" s="42"/>
      <c r="F132" s="73" t="s">
        <v>474</v>
      </c>
      <c r="G132" s="73" t="s">
        <v>253</v>
      </c>
      <c r="H132" s="4">
        <v>3037109</v>
      </c>
      <c r="I132" s="3" t="s">
        <v>475</v>
      </c>
      <c r="J132" s="3" t="s">
        <v>256</v>
      </c>
      <c r="K132" s="4">
        <v>3068700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</row>
    <row r="133" spans="1:43" s="4" customFormat="1" x14ac:dyDescent="0.3">
      <c r="A133" s="3"/>
      <c r="B133" s="44">
        <v>45913</v>
      </c>
      <c r="C133" s="3" t="s">
        <v>416</v>
      </c>
      <c r="D133" s="3" t="s">
        <v>590</v>
      </c>
      <c r="E133" s="42"/>
      <c r="F133" s="4" t="s">
        <v>474</v>
      </c>
      <c r="G133" s="4" t="s">
        <v>317</v>
      </c>
      <c r="H133" s="4">
        <v>3200700</v>
      </c>
      <c r="I133" s="3" t="s">
        <v>699</v>
      </c>
      <c r="J133" s="3" t="s">
        <v>594</v>
      </c>
      <c r="K133" s="4">
        <v>3196407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</row>
    <row r="134" spans="1:43" s="4" customFormat="1" x14ac:dyDescent="0.3">
      <c r="A134" s="3"/>
      <c r="B134" s="44">
        <v>45913</v>
      </c>
      <c r="C134" s="3" t="s">
        <v>416</v>
      </c>
      <c r="D134" s="3" t="s">
        <v>496</v>
      </c>
      <c r="E134" s="42"/>
      <c r="F134" s="4" t="s">
        <v>474</v>
      </c>
      <c r="G134" s="4" t="s">
        <v>426</v>
      </c>
      <c r="H134" s="4">
        <v>3352603</v>
      </c>
      <c r="I134" s="3" t="s">
        <v>675</v>
      </c>
      <c r="J134" s="3" t="s">
        <v>198</v>
      </c>
      <c r="K134" s="4">
        <v>3350803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</row>
    <row r="135" spans="1:43" s="4" customFormat="1" x14ac:dyDescent="0.3">
      <c r="A135" s="3"/>
      <c r="B135" s="44">
        <v>45913</v>
      </c>
      <c r="C135" s="3" t="s">
        <v>416</v>
      </c>
      <c r="D135" s="3" t="s">
        <v>610</v>
      </c>
      <c r="E135" s="42"/>
      <c r="F135" s="3" t="s">
        <v>714</v>
      </c>
      <c r="G135" s="3" t="s">
        <v>352</v>
      </c>
      <c r="H135" s="4">
        <v>3197208</v>
      </c>
      <c r="I135" s="4" t="s">
        <v>650</v>
      </c>
      <c r="J135" s="4" t="s">
        <v>353</v>
      </c>
      <c r="K135" s="4">
        <v>3200200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</row>
    <row r="136" spans="1:43" s="4" customFormat="1" x14ac:dyDescent="0.3">
      <c r="A136" s="3"/>
      <c r="B136" s="44">
        <v>45913</v>
      </c>
      <c r="C136" s="3" t="s">
        <v>416</v>
      </c>
      <c r="D136" s="4" t="s">
        <v>614</v>
      </c>
      <c r="E136" s="42"/>
      <c r="F136" s="3" t="s">
        <v>714</v>
      </c>
      <c r="G136" s="3" t="s">
        <v>454</v>
      </c>
      <c r="H136" s="4">
        <v>3820300</v>
      </c>
      <c r="I136" s="4" t="s">
        <v>673</v>
      </c>
      <c r="J136" s="4" t="s">
        <v>455</v>
      </c>
      <c r="K136" s="4">
        <v>3961604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</row>
    <row r="137" spans="1:43" s="4" customFormat="1" x14ac:dyDescent="0.3">
      <c r="A137" s="3"/>
      <c r="B137" s="44">
        <v>45913</v>
      </c>
      <c r="C137" s="3" t="s">
        <v>416</v>
      </c>
      <c r="D137" s="3" t="s">
        <v>489</v>
      </c>
      <c r="F137" s="3" t="s">
        <v>650</v>
      </c>
      <c r="G137" s="3" t="s">
        <v>163</v>
      </c>
      <c r="H137" s="4">
        <v>3351802</v>
      </c>
      <c r="I137" s="4" t="s">
        <v>712</v>
      </c>
      <c r="J137" s="4" t="s">
        <v>132</v>
      </c>
      <c r="K137" s="4">
        <v>3068304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</row>
    <row r="138" spans="1:43" s="4" customFormat="1" x14ac:dyDescent="0.3">
      <c r="A138" s="3"/>
      <c r="B138" s="44">
        <v>45913</v>
      </c>
      <c r="C138" s="3" t="s">
        <v>416</v>
      </c>
      <c r="D138" s="3" t="s">
        <v>590</v>
      </c>
      <c r="E138" s="42"/>
      <c r="F138" s="4" t="s">
        <v>650</v>
      </c>
      <c r="G138" s="4" t="s">
        <v>277</v>
      </c>
      <c r="H138" s="4">
        <v>3088400</v>
      </c>
      <c r="I138" s="3" t="s">
        <v>693</v>
      </c>
      <c r="J138" s="3" t="s">
        <v>322</v>
      </c>
      <c r="K138" s="4">
        <v>3207005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</row>
    <row r="139" spans="1:43" s="4" customFormat="1" x14ac:dyDescent="0.3">
      <c r="A139" s="3"/>
      <c r="B139" s="44">
        <v>45913</v>
      </c>
      <c r="C139" s="3" t="s">
        <v>416</v>
      </c>
      <c r="D139" s="3" t="s">
        <v>496</v>
      </c>
      <c r="E139" s="42"/>
      <c r="F139" s="3" t="s">
        <v>650</v>
      </c>
      <c r="G139" s="3" t="s">
        <v>205</v>
      </c>
      <c r="H139" s="74">
        <v>3351906</v>
      </c>
      <c r="I139" s="3" t="s">
        <v>671</v>
      </c>
      <c r="J139" s="3" t="s">
        <v>227</v>
      </c>
      <c r="K139" s="4">
        <v>3359408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</row>
    <row r="140" spans="1:43" s="4" customFormat="1" x14ac:dyDescent="0.3">
      <c r="A140" s="3"/>
      <c r="B140" s="44">
        <v>45913</v>
      </c>
      <c r="C140" s="3" t="s">
        <v>416</v>
      </c>
      <c r="D140" s="3" t="s">
        <v>59</v>
      </c>
      <c r="E140" s="42"/>
      <c r="F140" s="4" t="s">
        <v>656</v>
      </c>
      <c r="G140" s="4" t="s">
        <v>278</v>
      </c>
      <c r="H140" s="4">
        <v>3199800</v>
      </c>
      <c r="I140" s="3" t="s">
        <v>681</v>
      </c>
      <c r="J140" s="3" t="s">
        <v>281</v>
      </c>
      <c r="K140" s="4">
        <v>3195700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</row>
    <row r="141" spans="1:43" s="4" customFormat="1" x14ac:dyDescent="0.3">
      <c r="A141" s="3"/>
      <c r="B141" s="44">
        <v>45913</v>
      </c>
      <c r="C141" s="3" t="s">
        <v>416</v>
      </c>
      <c r="D141" s="3" t="s">
        <v>67</v>
      </c>
      <c r="E141" s="42"/>
      <c r="F141" s="4" t="s">
        <v>715</v>
      </c>
      <c r="G141" s="4" t="s">
        <v>377</v>
      </c>
      <c r="H141" s="4">
        <v>3200106</v>
      </c>
      <c r="I141" s="3" t="s">
        <v>688</v>
      </c>
      <c r="J141" s="3" t="s">
        <v>344</v>
      </c>
      <c r="K141" s="4">
        <v>3194909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</row>
    <row r="142" spans="1:43" s="4" customFormat="1" x14ac:dyDescent="0.3">
      <c r="A142" s="3"/>
      <c r="B142" s="44">
        <v>45913</v>
      </c>
      <c r="C142" s="3" t="s">
        <v>416</v>
      </c>
      <c r="D142" s="3" t="s">
        <v>487</v>
      </c>
      <c r="F142" s="4" t="s">
        <v>710</v>
      </c>
      <c r="G142" s="4" t="s">
        <v>113</v>
      </c>
      <c r="H142" s="4">
        <v>3352009</v>
      </c>
      <c r="I142" s="3" t="s">
        <v>647</v>
      </c>
      <c r="J142" s="3" t="s">
        <v>116</v>
      </c>
      <c r="K142" s="4">
        <v>3346009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</row>
    <row r="143" spans="1:43" s="4" customFormat="1" x14ac:dyDescent="0.3">
      <c r="A143" s="3"/>
      <c r="B143" s="44">
        <v>45913</v>
      </c>
      <c r="C143" s="3" t="s">
        <v>416</v>
      </c>
      <c r="D143" s="3" t="s">
        <v>496</v>
      </c>
      <c r="E143" s="42"/>
      <c r="F143" s="4" t="s">
        <v>710</v>
      </c>
      <c r="G143" s="4" t="s">
        <v>206</v>
      </c>
      <c r="H143" s="4">
        <v>3352103</v>
      </c>
      <c r="I143" s="3" t="s">
        <v>710</v>
      </c>
      <c r="J143" s="3" t="s">
        <v>462</v>
      </c>
      <c r="K143" s="4">
        <v>3352207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</row>
    <row r="144" spans="1:43" s="4" customFormat="1" x14ac:dyDescent="0.3">
      <c r="A144" s="3"/>
      <c r="B144" s="44">
        <v>45913</v>
      </c>
      <c r="C144" s="3" t="s">
        <v>416</v>
      </c>
      <c r="D144" s="4" t="s">
        <v>614</v>
      </c>
      <c r="E144" s="42"/>
      <c r="F144" s="3" t="s">
        <v>710</v>
      </c>
      <c r="G144" s="3" t="s">
        <v>384</v>
      </c>
      <c r="H144" s="4">
        <v>3199508</v>
      </c>
      <c r="I144" s="4" t="s">
        <v>713</v>
      </c>
      <c r="J144" s="4" t="s">
        <v>386</v>
      </c>
      <c r="K144" s="4">
        <v>3900807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</row>
    <row r="145" spans="1:43" s="4" customFormat="1" x14ac:dyDescent="0.3">
      <c r="A145" s="3"/>
      <c r="B145" s="44">
        <v>45913</v>
      </c>
      <c r="C145" s="3" t="s">
        <v>416</v>
      </c>
      <c r="D145" s="4" t="s">
        <v>614</v>
      </c>
      <c r="E145" s="42"/>
      <c r="F145" s="3" t="s">
        <v>710</v>
      </c>
      <c r="G145" s="3" t="s">
        <v>385</v>
      </c>
      <c r="H145" s="4">
        <v>3199602</v>
      </c>
      <c r="I145" s="4" t="s">
        <v>713</v>
      </c>
      <c r="J145" s="4" t="s">
        <v>623</v>
      </c>
      <c r="K145" s="4">
        <v>3819305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s="4" customFormat="1" x14ac:dyDescent="0.3">
      <c r="A146" s="3"/>
      <c r="B146" s="44">
        <v>45913</v>
      </c>
      <c r="C146" s="3" t="s">
        <v>416</v>
      </c>
      <c r="D146" s="3" t="s">
        <v>61</v>
      </c>
      <c r="E146" s="42"/>
      <c r="F146" s="4" t="s">
        <v>477</v>
      </c>
      <c r="G146" s="4" t="s">
        <v>308</v>
      </c>
      <c r="H146" s="4">
        <v>3199300</v>
      </c>
      <c r="I146" s="73" t="s">
        <v>680</v>
      </c>
      <c r="J146" s="73" t="s">
        <v>302</v>
      </c>
      <c r="K146" s="4">
        <v>3208400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</row>
    <row r="147" spans="1:43" s="4" customFormat="1" x14ac:dyDescent="0.3">
      <c r="A147" s="3"/>
      <c r="B147" s="44">
        <v>45913</v>
      </c>
      <c r="C147" s="3" t="s">
        <v>416</v>
      </c>
      <c r="D147" s="3" t="s">
        <v>61</v>
      </c>
      <c r="E147" s="42"/>
      <c r="F147" s="4" t="s">
        <v>477</v>
      </c>
      <c r="G147" s="4" t="s">
        <v>332</v>
      </c>
      <c r="H147" s="4">
        <v>3199206</v>
      </c>
      <c r="I147" s="3" t="s">
        <v>690</v>
      </c>
      <c r="J147" s="3" t="s">
        <v>304</v>
      </c>
      <c r="K147" s="4">
        <v>3204404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</row>
    <row r="148" spans="1:43" s="4" customFormat="1" x14ac:dyDescent="0.3">
      <c r="A148" s="3"/>
      <c r="B148" s="44">
        <v>45913</v>
      </c>
      <c r="C148" s="3" t="s">
        <v>416</v>
      </c>
      <c r="D148" s="3" t="s">
        <v>486</v>
      </c>
      <c r="E148" s="42"/>
      <c r="F148" s="4" t="s">
        <v>645</v>
      </c>
      <c r="G148" s="4" t="s">
        <v>104</v>
      </c>
      <c r="H148" s="4">
        <v>3036308</v>
      </c>
      <c r="I148" s="3" t="s">
        <v>671</v>
      </c>
      <c r="J148" s="3" t="s">
        <v>108</v>
      </c>
      <c r="K148" s="4">
        <v>3359700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</row>
    <row r="149" spans="1:43" s="4" customFormat="1" x14ac:dyDescent="0.3">
      <c r="A149" s="3"/>
      <c r="B149" s="44">
        <v>45913</v>
      </c>
      <c r="C149" s="3" t="s">
        <v>416</v>
      </c>
      <c r="D149" s="3" t="s">
        <v>61</v>
      </c>
      <c r="E149" s="42"/>
      <c r="F149" s="4" t="s">
        <v>645</v>
      </c>
      <c r="G149" s="4" t="s">
        <v>309</v>
      </c>
      <c r="H149" s="4">
        <v>3082104</v>
      </c>
      <c r="I149" s="3" t="s">
        <v>703</v>
      </c>
      <c r="J149" s="3" t="s">
        <v>596</v>
      </c>
      <c r="K149" s="4" t="s">
        <v>556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</row>
    <row r="150" spans="1:43" s="4" customFormat="1" x14ac:dyDescent="0.3">
      <c r="A150" s="3"/>
      <c r="B150" s="44">
        <v>45913</v>
      </c>
      <c r="C150" s="3" t="s">
        <v>416</v>
      </c>
      <c r="D150" s="3" t="s">
        <v>488</v>
      </c>
      <c r="E150" s="42"/>
      <c r="F150" s="4" t="s">
        <v>645</v>
      </c>
      <c r="G150" s="4" t="s">
        <v>151</v>
      </c>
      <c r="H150" s="4">
        <v>3351208</v>
      </c>
      <c r="I150" s="3" t="s">
        <v>704</v>
      </c>
      <c r="J150" s="3" t="s">
        <v>120</v>
      </c>
      <c r="K150" s="4">
        <v>3355506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</row>
    <row r="151" spans="1:43" s="4" customFormat="1" x14ac:dyDescent="0.3">
      <c r="A151" s="3"/>
      <c r="B151" s="44">
        <v>45913</v>
      </c>
      <c r="C151" s="3" t="s">
        <v>416</v>
      </c>
      <c r="D151" s="3" t="s">
        <v>491</v>
      </c>
      <c r="E151" s="42"/>
      <c r="F151" s="4" t="s">
        <v>645</v>
      </c>
      <c r="G151" s="4" t="s">
        <v>464</v>
      </c>
      <c r="H151" s="4">
        <v>3351406</v>
      </c>
      <c r="I151" s="3" t="s">
        <v>697</v>
      </c>
      <c r="J151" s="3" t="s">
        <v>150</v>
      </c>
      <c r="K151" s="4">
        <v>3353706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</row>
    <row r="152" spans="1:43" s="4" customFormat="1" x14ac:dyDescent="0.3">
      <c r="A152" s="3"/>
      <c r="B152" s="44">
        <v>45913</v>
      </c>
      <c r="C152" s="3" t="s">
        <v>416</v>
      </c>
      <c r="D152" s="3" t="s">
        <v>496</v>
      </c>
      <c r="E152" s="42"/>
      <c r="F152" s="4" t="s">
        <v>716</v>
      </c>
      <c r="G152" s="4" t="s">
        <v>427</v>
      </c>
      <c r="H152" s="4">
        <v>3351500</v>
      </c>
      <c r="I152" s="3" t="s">
        <v>652</v>
      </c>
      <c r="J152" s="3" t="s">
        <v>229</v>
      </c>
      <c r="K152" s="4">
        <v>3358409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s="4" customFormat="1" x14ac:dyDescent="0.3">
      <c r="A153" s="3"/>
      <c r="B153" s="44">
        <v>45913</v>
      </c>
      <c r="C153" s="3" t="s">
        <v>416</v>
      </c>
      <c r="D153" s="3" t="s">
        <v>610</v>
      </c>
      <c r="E153" s="42"/>
      <c r="F153" s="3" t="s">
        <v>716</v>
      </c>
      <c r="G153" s="3" t="s">
        <v>433</v>
      </c>
      <c r="H153" s="4">
        <v>3198905</v>
      </c>
      <c r="I153" s="4" t="s">
        <v>682</v>
      </c>
      <c r="J153" s="4" t="s">
        <v>611</v>
      </c>
      <c r="K153" s="4">
        <v>3204800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</row>
    <row r="154" spans="1:43" s="4" customFormat="1" x14ac:dyDescent="0.3">
      <c r="A154" s="3"/>
      <c r="B154" s="44">
        <v>45913</v>
      </c>
      <c r="C154" s="3" t="s">
        <v>416</v>
      </c>
      <c r="D154" s="3" t="s">
        <v>489</v>
      </c>
      <c r="F154" s="3" t="s">
        <v>678</v>
      </c>
      <c r="G154" s="3" t="s">
        <v>131</v>
      </c>
      <c r="H154" s="4">
        <v>3350605</v>
      </c>
      <c r="I154" s="4" t="s">
        <v>476</v>
      </c>
      <c r="J154" s="4" t="s">
        <v>128</v>
      </c>
      <c r="K154" s="4">
        <v>3357202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</row>
    <row r="155" spans="1:43" s="4" customFormat="1" x14ac:dyDescent="0.3">
      <c r="A155" s="3"/>
      <c r="B155" s="44">
        <v>45913</v>
      </c>
      <c r="C155" s="3" t="s">
        <v>416</v>
      </c>
      <c r="D155" s="3" t="s">
        <v>610</v>
      </c>
      <c r="E155" s="42"/>
      <c r="F155" s="3" t="s">
        <v>675</v>
      </c>
      <c r="G155" s="3" t="s">
        <v>450</v>
      </c>
      <c r="H155" s="4">
        <v>3198405</v>
      </c>
      <c r="I155" s="4" t="s">
        <v>474</v>
      </c>
      <c r="J155" s="4" t="s">
        <v>458</v>
      </c>
      <c r="K155" s="4">
        <v>3200304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s="4" customFormat="1" x14ac:dyDescent="0.3">
      <c r="A156" s="3"/>
      <c r="B156" s="44">
        <v>45913</v>
      </c>
      <c r="C156" s="3" t="s">
        <v>416</v>
      </c>
      <c r="D156" s="3" t="s">
        <v>490</v>
      </c>
      <c r="F156" s="3" t="s">
        <v>691</v>
      </c>
      <c r="G156" s="3" t="s">
        <v>142</v>
      </c>
      <c r="H156" s="4">
        <v>3350501</v>
      </c>
      <c r="I156" s="4" t="s">
        <v>717</v>
      </c>
      <c r="J156" s="4" t="s">
        <v>425</v>
      </c>
      <c r="K156" s="4">
        <v>3347206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s="4" customFormat="1" x14ac:dyDescent="0.3">
      <c r="A157" s="3"/>
      <c r="B157" s="44">
        <v>45913</v>
      </c>
      <c r="C157" s="3" t="s">
        <v>416</v>
      </c>
      <c r="D157" s="3" t="s">
        <v>497</v>
      </c>
      <c r="E157" s="42"/>
      <c r="F157" s="17" t="s">
        <v>691</v>
      </c>
      <c r="G157" s="17" t="s">
        <v>215</v>
      </c>
      <c r="H157" s="74">
        <v>3350407</v>
      </c>
      <c r="I157" s="17" t="s">
        <v>653</v>
      </c>
      <c r="J157" s="17" t="s">
        <v>209</v>
      </c>
      <c r="K157" s="74">
        <v>3360705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</row>
    <row r="158" spans="1:43" s="4" customFormat="1" x14ac:dyDescent="0.3">
      <c r="A158" s="3"/>
      <c r="B158" s="44">
        <v>45913</v>
      </c>
      <c r="C158" s="3" t="s">
        <v>416</v>
      </c>
      <c r="D158" s="3" t="s">
        <v>65</v>
      </c>
      <c r="E158" s="42"/>
      <c r="F158" s="15" t="s">
        <v>691</v>
      </c>
      <c r="G158" s="15" t="s">
        <v>327</v>
      </c>
      <c r="H158" s="74">
        <v>3198603</v>
      </c>
      <c r="I158" s="4" t="s">
        <v>718</v>
      </c>
      <c r="J158" s="4" t="s">
        <v>359</v>
      </c>
      <c r="K158" s="4">
        <v>3204602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</row>
    <row r="159" spans="1:43" s="4" customFormat="1" x14ac:dyDescent="0.3">
      <c r="A159" s="3"/>
      <c r="B159" s="44">
        <v>45913</v>
      </c>
      <c r="C159" s="3" t="s">
        <v>416</v>
      </c>
      <c r="D159" s="3" t="s">
        <v>490</v>
      </c>
      <c r="F159" s="3" t="s">
        <v>654</v>
      </c>
      <c r="G159" s="3" t="s">
        <v>143</v>
      </c>
      <c r="H159" s="4">
        <v>3349704</v>
      </c>
      <c r="I159" s="4" t="s">
        <v>653</v>
      </c>
      <c r="J159" s="4" t="s">
        <v>126</v>
      </c>
      <c r="K159" s="4">
        <v>3361402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</row>
    <row r="160" spans="1:43" s="4" customFormat="1" x14ac:dyDescent="0.3">
      <c r="A160" s="3"/>
      <c r="B160" s="44">
        <v>45913</v>
      </c>
      <c r="C160" s="3" t="s">
        <v>416</v>
      </c>
      <c r="D160" s="3" t="s">
        <v>497</v>
      </c>
      <c r="E160" s="42"/>
      <c r="F160" s="3" t="s">
        <v>654</v>
      </c>
      <c r="G160" s="3" t="s">
        <v>438</v>
      </c>
      <c r="H160" s="74">
        <v>3906207</v>
      </c>
      <c r="I160" s="3" t="s">
        <v>681</v>
      </c>
      <c r="J160" s="3" t="s">
        <v>175</v>
      </c>
      <c r="K160" s="74">
        <v>3347800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s="4" customFormat="1" x14ac:dyDescent="0.3">
      <c r="A161" s="3"/>
      <c r="B161" s="44">
        <v>45913</v>
      </c>
      <c r="C161" s="3" t="s">
        <v>416</v>
      </c>
      <c r="D161" s="3" t="s">
        <v>58</v>
      </c>
      <c r="E161" s="42"/>
      <c r="F161" s="3" t="s">
        <v>712</v>
      </c>
      <c r="G161" s="3" t="s">
        <v>270</v>
      </c>
      <c r="H161" s="4">
        <v>3069605</v>
      </c>
      <c r="I161" s="32" t="s">
        <v>478</v>
      </c>
      <c r="J161" s="32" t="s">
        <v>267</v>
      </c>
      <c r="K161" s="15">
        <v>3205205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</row>
    <row r="162" spans="1:43" s="4" customFormat="1" x14ac:dyDescent="0.3">
      <c r="A162" s="3"/>
      <c r="B162" s="44">
        <v>45913</v>
      </c>
      <c r="C162" s="3" t="s">
        <v>416</v>
      </c>
      <c r="D162" s="3" t="s">
        <v>495</v>
      </c>
      <c r="E162" s="42"/>
      <c r="F162" s="3" t="s">
        <v>712</v>
      </c>
      <c r="G162" s="3" t="s">
        <v>164</v>
      </c>
      <c r="H162" s="4">
        <v>3349402</v>
      </c>
      <c r="I162" s="3" t="s">
        <v>646</v>
      </c>
      <c r="J162" s="3" t="s">
        <v>195</v>
      </c>
      <c r="K162" s="74">
        <v>3361600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s="4" customFormat="1" x14ac:dyDescent="0.3">
      <c r="A163" s="3"/>
      <c r="B163" s="44">
        <v>45913</v>
      </c>
      <c r="C163" s="3" t="s">
        <v>416</v>
      </c>
      <c r="D163" s="3" t="s">
        <v>492</v>
      </c>
      <c r="E163" s="42"/>
      <c r="F163" s="4" t="s">
        <v>713</v>
      </c>
      <c r="G163" s="4" t="s">
        <v>165</v>
      </c>
      <c r="H163" s="4">
        <v>3349006</v>
      </c>
      <c r="I163" s="3" t="s">
        <v>719</v>
      </c>
      <c r="J163" s="3" t="s">
        <v>155</v>
      </c>
      <c r="K163" s="4">
        <v>3361600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</row>
    <row r="164" spans="1:43" s="4" customFormat="1" x14ac:dyDescent="0.3">
      <c r="A164" s="3"/>
      <c r="B164" s="44">
        <v>45913</v>
      </c>
      <c r="C164" s="3" t="s">
        <v>416</v>
      </c>
      <c r="D164" s="3" t="s">
        <v>62</v>
      </c>
      <c r="E164" s="42"/>
      <c r="F164" s="4" t="s">
        <v>663</v>
      </c>
      <c r="G164" s="4" t="s">
        <v>280</v>
      </c>
      <c r="H164" s="4">
        <v>3198103</v>
      </c>
      <c r="I164" s="3" t="s">
        <v>479</v>
      </c>
      <c r="J164" s="3" t="s">
        <v>319</v>
      </c>
      <c r="K164" s="4">
        <v>3210508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</row>
    <row r="165" spans="1:43" s="4" customFormat="1" x14ac:dyDescent="0.3">
      <c r="A165" s="3"/>
      <c r="B165" s="44">
        <v>45913</v>
      </c>
      <c r="C165" s="3" t="s">
        <v>416</v>
      </c>
      <c r="D165" s="3" t="s">
        <v>493</v>
      </c>
      <c r="E165" s="42"/>
      <c r="F165" s="3" t="s">
        <v>663</v>
      </c>
      <c r="G165" s="3" t="s">
        <v>173</v>
      </c>
      <c r="H165" s="4">
        <v>3349308</v>
      </c>
      <c r="I165" s="4" t="s">
        <v>701</v>
      </c>
      <c r="J165" s="4" t="s">
        <v>171</v>
      </c>
      <c r="K165" s="4">
        <v>3355600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</row>
    <row r="166" spans="1:43" s="4" customFormat="1" x14ac:dyDescent="0.3">
      <c r="A166" s="3"/>
      <c r="B166" s="44">
        <v>45913</v>
      </c>
      <c r="C166" s="3" t="s">
        <v>416</v>
      </c>
      <c r="D166" s="3" t="s">
        <v>500</v>
      </c>
      <c r="E166" s="42"/>
      <c r="F166" s="3" t="s">
        <v>663</v>
      </c>
      <c r="G166" s="3" t="s">
        <v>239</v>
      </c>
      <c r="H166" s="4">
        <v>3348809</v>
      </c>
      <c r="I166" s="4" t="s">
        <v>691</v>
      </c>
      <c r="J166" s="4" t="s">
        <v>238</v>
      </c>
      <c r="K166" s="4">
        <v>3350105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s="4" customFormat="1" x14ac:dyDescent="0.3">
      <c r="A167" s="3"/>
      <c r="B167" s="44">
        <v>45913</v>
      </c>
      <c r="C167" s="3" t="s">
        <v>416</v>
      </c>
      <c r="D167" s="3" t="s">
        <v>56</v>
      </c>
      <c r="E167" s="42"/>
      <c r="F167" s="4" t="s">
        <v>471</v>
      </c>
      <c r="G167" s="4" t="s">
        <v>441</v>
      </c>
      <c r="H167" s="4">
        <v>3023409</v>
      </c>
      <c r="I167" s="3" t="s">
        <v>471</v>
      </c>
      <c r="J167" s="3" t="s">
        <v>254</v>
      </c>
      <c r="K167" s="4">
        <v>3068908</v>
      </c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s="4" customFormat="1" x14ac:dyDescent="0.3">
      <c r="A168" s="3"/>
      <c r="B168" s="44">
        <v>45913</v>
      </c>
      <c r="C168" s="3" t="s">
        <v>416</v>
      </c>
      <c r="D168" s="3" t="s">
        <v>487</v>
      </c>
      <c r="F168" s="4" t="s">
        <v>471</v>
      </c>
      <c r="G168" s="4" t="s">
        <v>133</v>
      </c>
      <c r="H168" s="4">
        <v>3348705</v>
      </c>
      <c r="I168" s="3" t="s">
        <v>709</v>
      </c>
      <c r="J168" s="3" t="s">
        <v>111</v>
      </c>
      <c r="K168" s="4">
        <v>3354601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</row>
    <row r="169" spans="1:43" s="4" customFormat="1" x14ac:dyDescent="0.3">
      <c r="A169" s="3"/>
      <c r="B169" s="44">
        <v>45913</v>
      </c>
      <c r="C169" s="3" t="s">
        <v>416</v>
      </c>
      <c r="D169" s="3" t="s">
        <v>590</v>
      </c>
      <c r="E169" s="42"/>
      <c r="F169" s="4" t="s">
        <v>471</v>
      </c>
      <c r="G169" s="4" t="s">
        <v>291</v>
      </c>
      <c r="H169" s="4">
        <v>3196709</v>
      </c>
      <c r="I169" s="3" t="s">
        <v>676</v>
      </c>
      <c r="J169" s="3" t="s">
        <v>285</v>
      </c>
      <c r="K169" s="4">
        <v>3208504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</row>
    <row r="170" spans="1:43" s="4" customFormat="1" x14ac:dyDescent="0.3">
      <c r="A170" s="3"/>
      <c r="B170" s="44">
        <v>45913</v>
      </c>
      <c r="C170" s="3" t="s">
        <v>416</v>
      </c>
      <c r="D170" s="3" t="s">
        <v>493</v>
      </c>
      <c r="E170" s="42"/>
      <c r="F170" s="3" t="s">
        <v>471</v>
      </c>
      <c r="G170" s="3" t="s">
        <v>217</v>
      </c>
      <c r="H170" s="4">
        <v>3348309</v>
      </c>
      <c r="I170" s="4" t="s">
        <v>471</v>
      </c>
      <c r="J170" s="4" t="s">
        <v>174</v>
      </c>
      <c r="K170" s="4">
        <v>3348101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</row>
    <row r="171" spans="1:43" s="4" customFormat="1" x14ac:dyDescent="0.3">
      <c r="A171" s="3"/>
      <c r="B171" s="44">
        <v>45913</v>
      </c>
      <c r="C171" s="3" t="s">
        <v>416</v>
      </c>
      <c r="D171" s="3" t="s">
        <v>497</v>
      </c>
      <c r="E171" s="42"/>
      <c r="F171" s="15" t="s">
        <v>471</v>
      </c>
      <c r="G171" s="15" t="s">
        <v>240</v>
      </c>
      <c r="H171" s="74">
        <v>3348403</v>
      </c>
      <c r="I171" s="17" t="s">
        <v>480</v>
      </c>
      <c r="J171" s="17" t="s">
        <v>428</v>
      </c>
      <c r="K171" s="74">
        <v>3360309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</row>
    <row r="172" spans="1:43" s="4" customFormat="1" x14ac:dyDescent="0.3">
      <c r="A172" s="3"/>
      <c r="B172" s="44">
        <v>45913</v>
      </c>
      <c r="C172" s="3" t="s">
        <v>416</v>
      </c>
      <c r="D172" s="3" t="s">
        <v>487</v>
      </c>
      <c r="F172" s="4" t="s">
        <v>692</v>
      </c>
      <c r="G172" s="4" t="s">
        <v>115</v>
      </c>
      <c r="H172" s="4">
        <v>3068106</v>
      </c>
      <c r="I172" s="3" t="s">
        <v>663</v>
      </c>
      <c r="J172" s="3" t="s">
        <v>419</v>
      </c>
      <c r="K172" s="4">
        <v>3349204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s="4" customFormat="1" x14ac:dyDescent="0.3">
      <c r="A173" s="3"/>
      <c r="B173" s="44">
        <v>45913</v>
      </c>
      <c r="C173" s="3" t="s">
        <v>416</v>
      </c>
      <c r="D173" s="3" t="s">
        <v>488</v>
      </c>
      <c r="E173" s="42"/>
      <c r="F173" s="4" t="s">
        <v>698</v>
      </c>
      <c r="G173" s="4" t="s">
        <v>561</v>
      </c>
      <c r="H173" s="4" t="s">
        <v>563</v>
      </c>
      <c r="I173" s="3" t="s">
        <v>720</v>
      </c>
      <c r="J173" s="3" t="s">
        <v>153</v>
      </c>
      <c r="K173" s="4">
        <v>3033405</v>
      </c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</row>
    <row r="174" spans="1:43" s="4" customFormat="1" x14ac:dyDescent="0.3">
      <c r="A174" s="3"/>
      <c r="B174" s="44">
        <v>45913</v>
      </c>
      <c r="C174" s="3" t="s">
        <v>416</v>
      </c>
      <c r="D174" s="3" t="s">
        <v>58</v>
      </c>
      <c r="E174" s="42"/>
      <c r="F174" s="3" t="s">
        <v>698</v>
      </c>
      <c r="G174" s="3" t="s">
        <v>587</v>
      </c>
      <c r="H174" s="32" t="s">
        <v>563</v>
      </c>
      <c r="I174" s="3" t="s">
        <v>706</v>
      </c>
      <c r="J174" s="3" t="s">
        <v>269</v>
      </c>
      <c r="K174" s="32">
        <v>3069407</v>
      </c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</row>
    <row r="175" spans="1:43" s="4" customFormat="1" x14ac:dyDescent="0.3">
      <c r="A175" s="3"/>
      <c r="B175" s="44">
        <v>45913</v>
      </c>
      <c r="C175" s="3" t="s">
        <v>416</v>
      </c>
      <c r="D175" s="3" t="s">
        <v>495</v>
      </c>
      <c r="E175" s="42"/>
      <c r="F175" s="3" t="s">
        <v>699</v>
      </c>
      <c r="G175" s="3" t="s">
        <v>569</v>
      </c>
      <c r="H175" s="4">
        <v>3125708</v>
      </c>
      <c r="I175" s="3" t="s">
        <v>670</v>
      </c>
      <c r="J175" s="3" t="s">
        <v>224</v>
      </c>
      <c r="K175" s="4">
        <v>3347008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</row>
    <row r="176" spans="1:43" s="4" customFormat="1" x14ac:dyDescent="0.3">
      <c r="A176" s="3"/>
      <c r="B176" s="44">
        <v>45913</v>
      </c>
      <c r="C176" s="3" t="s">
        <v>416</v>
      </c>
      <c r="D176" s="3" t="s">
        <v>492</v>
      </c>
      <c r="E176" s="42"/>
      <c r="F176" s="4" t="s">
        <v>670</v>
      </c>
      <c r="G176" s="4" t="s">
        <v>145</v>
      </c>
      <c r="H176" s="4">
        <v>3347404</v>
      </c>
      <c r="I176" s="3" t="s">
        <v>714</v>
      </c>
      <c r="J176" s="3" t="s">
        <v>162</v>
      </c>
      <c r="K176" s="4">
        <v>3348903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s="4" customFormat="1" x14ac:dyDescent="0.3">
      <c r="A177" s="3"/>
      <c r="B177" s="44">
        <v>45913</v>
      </c>
      <c r="C177" s="3" t="s">
        <v>416</v>
      </c>
      <c r="D177" s="3" t="s">
        <v>492</v>
      </c>
      <c r="E177" s="42"/>
      <c r="F177" s="4" t="s">
        <v>673</v>
      </c>
      <c r="G177" s="4" t="s">
        <v>134</v>
      </c>
      <c r="H177" s="4">
        <v>3347102</v>
      </c>
      <c r="I177" s="3" t="s">
        <v>474</v>
      </c>
      <c r="J177" s="3" t="s">
        <v>161</v>
      </c>
      <c r="K177" s="4">
        <v>3352509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</row>
    <row r="178" spans="1:43" s="4" customFormat="1" x14ac:dyDescent="0.3">
      <c r="A178" s="3"/>
      <c r="B178" s="44">
        <v>45913</v>
      </c>
      <c r="C178" s="3" t="s">
        <v>416</v>
      </c>
      <c r="D178" s="3" t="s">
        <v>495</v>
      </c>
      <c r="E178" s="42"/>
      <c r="F178" s="3" t="s">
        <v>673</v>
      </c>
      <c r="G178" s="3" t="s">
        <v>200</v>
      </c>
      <c r="H178" s="53">
        <v>3901004</v>
      </c>
      <c r="I178" s="3" t="s">
        <v>685</v>
      </c>
      <c r="J178" s="3" t="s">
        <v>197</v>
      </c>
      <c r="K178" s="4">
        <v>3353300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s="4" customFormat="1" x14ac:dyDescent="0.3">
      <c r="A179" s="3"/>
      <c r="B179" s="44">
        <v>45913</v>
      </c>
      <c r="C179" s="3" t="s">
        <v>416</v>
      </c>
      <c r="D179" s="3" t="s">
        <v>64</v>
      </c>
      <c r="E179" s="42">
        <v>4370907</v>
      </c>
      <c r="F179" s="3" t="s">
        <v>717</v>
      </c>
      <c r="G179" s="3" t="s">
        <v>432</v>
      </c>
      <c r="H179" s="4">
        <v>3195106</v>
      </c>
      <c r="I179" s="4" t="s">
        <v>710</v>
      </c>
      <c r="J179" s="4" t="s">
        <v>354</v>
      </c>
      <c r="K179" s="4">
        <v>3199404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s="4" customFormat="1" x14ac:dyDescent="0.3">
      <c r="A180" s="3"/>
      <c r="B180" s="44">
        <v>45913</v>
      </c>
      <c r="C180" s="3" t="s">
        <v>416</v>
      </c>
      <c r="D180" s="3" t="s">
        <v>67</v>
      </c>
      <c r="E180" s="42"/>
      <c r="F180" s="4" t="s">
        <v>717</v>
      </c>
      <c r="G180" s="4" t="s">
        <v>435</v>
      </c>
      <c r="H180" s="4">
        <v>3195200</v>
      </c>
      <c r="I180" s="3" t="s">
        <v>662</v>
      </c>
      <c r="J180" s="3" t="s">
        <v>373</v>
      </c>
      <c r="K180" s="4">
        <v>3207807</v>
      </c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</row>
    <row r="181" spans="1:43" s="4" customFormat="1" x14ac:dyDescent="0.3">
      <c r="A181" s="3"/>
      <c r="B181" s="44">
        <v>45913</v>
      </c>
      <c r="C181" s="3" t="s">
        <v>416</v>
      </c>
      <c r="D181" s="3" t="s">
        <v>62</v>
      </c>
      <c r="E181" s="42"/>
      <c r="F181" s="4" t="s">
        <v>679</v>
      </c>
      <c r="G181" s="4" t="s">
        <v>292</v>
      </c>
      <c r="H181" s="4">
        <v>3195304</v>
      </c>
      <c r="I181" s="3" t="s">
        <v>471</v>
      </c>
      <c r="J181" s="3" t="s">
        <v>328</v>
      </c>
      <c r="K181" s="4">
        <v>3196803</v>
      </c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</row>
    <row r="182" spans="1:43" s="4" customFormat="1" x14ac:dyDescent="0.3">
      <c r="A182" s="3"/>
      <c r="B182" s="44">
        <v>45913</v>
      </c>
      <c r="C182" s="3" t="s">
        <v>416</v>
      </c>
      <c r="D182" s="3" t="s">
        <v>500</v>
      </c>
      <c r="E182" s="42"/>
      <c r="F182" s="3" t="s">
        <v>679</v>
      </c>
      <c r="G182" s="3" t="s">
        <v>466</v>
      </c>
      <c r="H182" s="4">
        <v>3346707</v>
      </c>
      <c r="I182" s="4" t="s">
        <v>476</v>
      </c>
      <c r="J182" s="4" t="s">
        <v>575</v>
      </c>
      <c r="K182" s="4">
        <v>3900005</v>
      </c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</row>
    <row r="183" spans="1:43" s="4" customFormat="1" x14ac:dyDescent="0.3">
      <c r="A183" s="3"/>
      <c r="B183" s="44">
        <v>45913</v>
      </c>
      <c r="C183" s="3" t="s">
        <v>416</v>
      </c>
      <c r="D183" s="3" t="s">
        <v>487</v>
      </c>
      <c r="F183" s="4" t="s">
        <v>721</v>
      </c>
      <c r="G183" s="4" t="s">
        <v>124</v>
      </c>
      <c r="H183" s="4">
        <v>3267501</v>
      </c>
      <c r="I183" s="3" t="s">
        <v>695</v>
      </c>
      <c r="J183" s="3" t="s">
        <v>101</v>
      </c>
      <c r="K183" s="4">
        <v>3067305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s="4" customFormat="1" x14ac:dyDescent="0.3">
      <c r="A184" s="3"/>
      <c r="B184" s="44">
        <v>45913</v>
      </c>
      <c r="C184" s="3" t="s">
        <v>416</v>
      </c>
      <c r="D184" s="3" t="s">
        <v>58</v>
      </c>
      <c r="E184" s="42"/>
      <c r="F184" s="3" t="s">
        <v>721</v>
      </c>
      <c r="G184" s="3" t="s">
        <v>271</v>
      </c>
      <c r="H184" s="32">
        <v>3194701</v>
      </c>
      <c r="I184" s="3" t="s">
        <v>659</v>
      </c>
      <c r="J184" s="3" t="s">
        <v>265</v>
      </c>
      <c r="K184" s="32">
        <v>3208702</v>
      </c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</row>
    <row r="185" spans="1:43" s="4" customFormat="1" x14ac:dyDescent="0.3">
      <c r="A185" s="3"/>
      <c r="B185" s="44">
        <v>45913</v>
      </c>
      <c r="C185" s="3" t="s">
        <v>416</v>
      </c>
      <c r="D185" s="3" t="s">
        <v>60</v>
      </c>
      <c r="E185" s="42"/>
      <c r="F185" s="3" t="s">
        <v>721</v>
      </c>
      <c r="G185" s="3" t="s">
        <v>300</v>
      </c>
      <c r="H185" s="32">
        <v>3194805</v>
      </c>
      <c r="I185" s="3" t="s">
        <v>698</v>
      </c>
      <c r="J185" s="3" t="s">
        <v>595</v>
      </c>
      <c r="K185" s="32" t="s">
        <v>563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</row>
    <row r="186" spans="1:43" s="4" customFormat="1" x14ac:dyDescent="0.3">
      <c r="A186" s="3"/>
      <c r="B186" s="44">
        <v>45913</v>
      </c>
      <c r="C186" s="3" t="s">
        <v>416</v>
      </c>
      <c r="D186" s="3" t="s">
        <v>489</v>
      </c>
      <c r="F186" s="3" t="s">
        <v>688</v>
      </c>
      <c r="G186" s="3" t="s">
        <v>10</v>
      </c>
      <c r="H186" s="4">
        <v>3036204</v>
      </c>
      <c r="I186" s="4" t="s">
        <v>679</v>
      </c>
      <c r="J186" s="4" t="s">
        <v>135</v>
      </c>
      <c r="K186" s="4">
        <v>3346603</v>
      </c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</row>
    <row r="187" spans="1:43" s="4" customFormat="1" x14ac:dyDescent="0.3">
      <c r="A187" s="3"/>
      <c r="B187" s="44">
        <v>45913</v>
      </c>
      <c r="C187" s="3" t="s">
        <v>416</v>
      </c>
      <c r="D187" s="3" t="s">
        <v>56</v>
      </c>
      <c r="E187" s="42"/>
      <c r="F187" s="4" t="s">
        <v>688</v>
      </c>
      <c r="G187" s="4" t="s">
        <v>264</v>
      </c>
      <c r="H187" s="4">
        <v>3055603</v>
      </c>
      <c r="I187" s="106" t="s">
        <v>672</v>
      </c>
      <c r="J187" s="106" t="s">
        <v>252</v>
      </c>
      <c r="K187" s="106">
        <v>3070204</v>
      </c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s="4" customFormat="1" x14ac:dyDescent="0.3">
      <c r="A188" s="3"/>
      <c r="B188" s="44">
        <v>45913</v>
      </c>
      <c r="C188" s="3" t="s">
        <v>416</v>
      </c>
      <c r="D188" s="3" t="s">
        <v>504</v>
      </c>
      <c r="E188" s="42"/>
      <c r="F188" s="4" t="s">
        <v>720</v>
      </c>
      <c r="G188" s="4" t="s">
        <v>13</v>
      </c>
      <c r="H188" s="4">
        <v>3125906</v>
      </c>
      <c r="I188" s="3" t="s">
        <v>479</v>
      </c>
      <c r="J188" s="3" t="s">
        <v>9</v>
      </c>
      <c r="K188" s="4">
        <v>3033405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</row>
    <row r="189" spans="1:43" s="4" customFormat="1" x14ac:dyDescent="0.3">
      <c r="A189" s="3"/>
      <c r="B189" s="44">
        <v>45913</v>
      </c>
      <c r="C189" s="3" t="s">
        <v>416</v>
      </c>
      <c r="D189" s="3" t="s">
        <v>61</v>
      </c>
      <c r="E189" s="42"/>
      <c r="F189" s="4" t="s">
        <v>720</v>
      </c>
      <c r="G189" s="4" t="s">
        <v>335</v>
      </c>
      <c r="H189" s="4">
        <v>3194201</v>
      </c>
      <c r="I189" s="3" t="s">
        <v>684</v>
      </c>
      <c r="J189" s="3" t="s">
        <v>306</v>
      </c>
      <c r="K189" s="4">
        <v>3202604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s="4" customFormat="1" x14ac:dyDescent="0.3">
      <c r="A190" s="3"/>
      <c r="B190" s="44">
        <v>45913</v>
      </c>
      <c r="C190" s="3" t="s">
        <v>416</v>
      </c>
      <c r="D190" s="3" t="s">
        <v>57</v>
      </c>
      <c r="E190" s="42"/>
      <c r="F190" s="4" t="s">
        <v>647</v>
      </c>
      <c r="G190" s="4" t="s">
        <v>282</v>
      </c>
      <c r="H190" s="4">
        <v>3193900</v>
      </c>
      <c r="I190" s="3" t="s">
        <v>693</v>
      </c>
      <c r="J190" s="3" t="s">
        <v>258</v>
      </c>
      <c r="K190" s="4">
        <v>3207109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s="4" customFormat="1" x14ac:dyDescent="0.3">
      <c r="A191" s="3"/>
      <c r="B191" s="44">
        <v>45913</v>
      </c>
      <c r="C191" s="3" t="s">
        <v>416</v>
      </c>
      <c r="D191" s="3" t="s">
        <v>494</v>
      </c>
      <c r="E191" s="42"/>
      <c r="F191" s="4" t="s">
        <v>647</v>
      </c>
      <c r="G191" s="4" t="s">
        <v>191</v>
      </c>
      <c r="H191" s="4">
        <v>3345708</v>
      </c>
      <c r="I191" s="3" t="s">
        <v>475</v>
      </c>
      <c r="J191" s="3" t="s">
        <v>183</v>
      </c>
      <c r="K191" s="4">
        <v>3362901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s="4" customFormat="1" x14ac:dyDescent="0.3">
      <c r="A192" s="3"/>
      <c r="B192" s="44">
        <v>45913</v>
      </c>
      <c r="C192" s="3" t="s">
        <v>416</v>
      </c>
      <c r="D192" s="3" t="s">
        <v>496</v>
      </c>
      <c r="E192" s="42"/>
      <c r="F192" s="4" t="s">
        <v>687</v>
      </c>
      <c r="G192" s="4" t="s">
        <v>207</v>
      </c>
      <c r="H192" s="4">
        <v>3346801</v>
      </c>
      <c r="I192" s="3" t="s">
        <v>671</v>
      </c>
      <c r="J192" s="3" t="s">
        <v>203</v>
      </c>
      <c r="K192" s="4">
        <v>3359304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s="4" customFormat="1" x14ac:dyDescent="0.3">
      <c r="A193" s="3"/>
      <c r="B193" s="44">
        <v>45913</v>
      </c>
      <c r="C193" s="3" t="s">
        <v>416</v>
      </c>
      <c r="D193" s="3" t="s">
        <v>59</v>
      </c>
      <c r="E193" s="42"/>
      <c r="F193" s="4" t="s">
        <v>687</v>
      </c>
      <c r="G193" s="4" t="s">
        <v>283</v>
      </c>
      <c r="H193" s="4">
        <v>3194107</v>
      </c>
      <c r="I193" s="3" t="s">
        <v>652</v>
      </c>
      <c r="J193" s="3" t="s">
        <v>313</v>
      </c>
      <c r="K193" s="4">
        <v>3207901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</row>
    <row r="194" spans="1:43" s="4" customFormat="1" x14ac:dyDescent="0.3">
      <c r="A194" s="3"/>
      <c r="B194" s="44">
        <v>45920</v>
      </c>
      <c r="C194" s="3" t="s">
        <v>416</v>
      </c>
      <c r="D194" s="3" t="s">
        <v>504</v>
      </c>
      <c r="E194" s="42"/>
      <c r="F194" s="3" t="s">
        <v>475</v>
      </c>
      <c r="G194" s="3" t="s">
        <v>15</v>
      </c>
      <c r="H194" s="4">
        <v>3029601</v>
      </c>
      <c r="I194" s="4" t="s">
        <v>480</v>
      </c>
      <c r="J194" s="4" t="s">
        <v>505</v>
      </c>
      <c r="K194" s="4">
        <v>3033207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</row>
    <row r="195" spans="1:43" s="4" customFormat="1" x14ac:dyDescent="0.3">
      <c r="A195" s="3"/>
      <c r="B195" s="44">
        <v>45920</v>
      </c>
      <c r="C195" s="3" t="s">
        <v>416</v>
      </c>
      <c r="D195" s="3" t="s">
        <v>56</v>
      </c>
      <c r="E195" s="42"/>
      <c r="F195" s="3" t="s">
        <v>475</v>
      </c>
      <c r="G195" s="3" t="s">
        <v>256</v>
      </c>
      <c r="H195" s="4">
        <v>3068700</v>
      </c>
      <c r="I195" s="4" t="s">
        <v>688</v>
      </c>
      <c r="J195" s="4" t="s">
        <v>264</v>
      </c>
      <c r="K195" s="4">
        <v>3055603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</row>
    <row r="196" spans="1:43" s="4" customFormat="1" x14ac:dyDescent="0.3">
      <c r="A196" s="3"/>
      <c r="B196" s="44">
        <v>45920</v>
      </c>
      <c r="C196" s="3" t="s">
        <v>416</v>
      </c>
      <c r="D196" s="3" t="s">
        <v>494</v>
      </c>
      <c r="E196" s="42"/>
      <c r="F196" s="3" t="s">
        <v>475</v>
      </c>
      <c r="G196" s="3" t="s">
        <v>183</v>
      </c>
      <c r="H196" s="4">
        <v>3362901</v>
      </c>
      <c r="I196" s="3" t="s">
        <v>694</v>
      </c>
      <c r="J196" s="3" t="s">
        <v>188</v>
      </c>
      <c r="K196" s="4">
        <v>3353508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</row>
    <row r="197" spans="1:43" s="4" customFormat="1" x14ac:dyDescent="0.3">
      <c r="A197" s="3"/>
      <c r="B197" s="44">
        <v>45920</v>
      </c>
      <c r="C197" s="3" t="s">
        <v>416</v>
      </c>
      <c r="D197" s="3" t="s">
        <v>498</v>
      </c>
      <c r="E197" s="42"/>
      <c r="F197" s="3" t="s">
        <v>475</v>
      </c>
      <c r="G197" s="3" t="s">
        <v>184</v>
      </c>
      <c r="H197" s="74">
        <v>3363004</v>
      </c>
      <c r="I197" s="3" t="s">
        <v>647</v>
      </c>
      <c r="J197" s="3" t="s">
        <v>225</v>
      </c>
      <c r="K197" s="4">
        <v>3345802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</row>
    <row r="198" spans="1:43" s="4" customFormat="1" x14ac:dyDescent="0.3">
      <c r="A198" s="3"/>
      <c r="B198" s="44">
        <v>45920</v>
      </c>
      <c r="C198" s="3" t="s">
        <v>416</v>
      </c>
      <c r="D198" s="3" t="s">
        <v>70</v>
      </c>
      <c r="E198" s="42"/>
      <c r="F198" s="3" t="s">
        <v>475</v>
      </c>
      <c r="G198" s="3" t="s">
        <v>371</v>
      </c>
      <c r="H198" s="74">
        <v>3212006</v>
      </c>
      <c r="I198" s="3" t="s">
        <v>472</v>
      </c>
      <c r="J198" s="3" t="s">
        <v>400</v>
      </c>
      <c r="K198" s="4">
        <v>3818608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s="4" customFormat="1" x14ac:dyDescent="0.3">
      <c r="A199" s="3"/>
      <c r="B199" s="44">
        <v>45920</v>
      </c>
      <c r="C199" s="3" t="s">
        <v>416</v>
      </c>
      <c r="D199" s="3" t="s">
        <v>501</v>
      </c>
      <c r="E199" s="42"/>
      <c r="F199" s="3" t="s">
        <v>475</v>
      </c>
      <c r="G199" s="3" t="s">
        <v>241</v>
      </c>
      <c r="H199" s="4">
        <v>3362401</v>
      </c>
      <c r="I199" s="3" t="s">
        <v>689</v>
      </c>
      <c r="J199" s="3" t="s">
        <v>581</v>
      </c>
      <c r="K199" s="4">
        <v>4022804</v>
      </c>
      <c r="L199" s="3"/>
      <c r="M199" s="51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s="4" customFormat="1" x14ac:dyDescent="0.3">
      <c r="A200" s="3"/>
      <c r="B200" s="44">
        <v>45920</v>
      </c>
      <c r="C200" s="3" t="s">
        <v>416</v>
      </c>
      <c r="D200" s="3" t="s">
        <v>592</v>
      </c>
      <c r="E200" s="42"/>
      <c r="F200" s="3" t="s">
        <v>475</v>
      </c>
      <c r="G200" s="3" t="s">
        <v>398</v>
      </c>
      <c r="H200" s="74">
        <v>3211601</v>
      </c>
      <c r="I200" s="3" t="s">
        <v>570</v>
      </c>
      <c r="J200" s="3" t="s">
        <v>570</v>
      </c>
      <c r="K200" s="4" t="s">
        <v>556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</row>
    <row r="201" spans="1:43" s="4" customFormat="1" x14ac:dyDescent="0.3">
      <c r="A201" s="3"/>
      <c r="B201" s="44">
        <v>45920</v>
      </c>
      <c r="C201" s="3" t="s">
        <v>416</v>
      </c>
      <c r="D201" s="3" t="s">
        <v>60</v>
      </c>
      <c r="E201" s="42"/>
      <c r="F201" s="32" t="s">
        <v>705</v>
      </c>
      <c r="G201" s="32" t="s">
        <v>293</v>
      </c>
      <c r="H201" s="15">
        <v>3211705</v>
      </c>
      <c r="I201" s="3" t="s">
        <v>695</v>
      </c>
      <c r="J201" s="3" t="s">
        <v>296</v>
      </c>
      <c r="K201" s="4">
        <v>3203905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</row>
    <row r="202" spans="1:43" s="4" customFormat="1" x14ac:dyDescent="0.3">
      <c r="A202" s="3"/>
      <c r="B202" s="44">
        <v>45920</v>
      </c>
      <c r="C202" s="3" t="s">
        <v>416</v>
      </c>
      <c r="D202" s="3" t="s">
        <v>590</v>
      </c>
      <c r="E202" s="42"/>
      <c r="F202" s="3" t="s">
        <v>648</v>
      </c>
      <c r="G202" s="3" t="s">
        <v>449</v>
      </c>
      <c r="H202" s="4">
        <v>3961500</v>
      </c>
      <c r="I202" s="4" t="s">
        <v>671</v>
      </c>
      <c r="J202" s="4" t="s">
        <v>311</v>
      </c>
      <c r="K202" s="4">
        <v>3209003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</row>
    <row r="203" spans="1:43" s="4" customFormat="1" x14ac:dyDescent="0.3">
      <c r="A203" s="3"/>
      <c r="B203" s="44">
        <v>45920</v>
      </c>
      <c r="C203" s="3" t="s">
        <v>416</v>
      </c>
      <c r="D203" s="3" t="s">
        <v>492</v>
      </c>
      <c r="E203" s="42"/>
      <c r="F203" s="3" t="s">
        <v>649</v>
      </c>
      <c r="G203" s="3" t="s">
        <v>154</v>
      </c>
      <c r="H203" s="4">
        <v>3362109</v>
      </c>
      <c r="I203" s="4" t="s">
        <v>646</v>
      </c>
      <c r="J203" s="4" t="s">
        <v>194</v>
      </c>
      <c r="K203" s="4">
        <v>3354205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</row>
    <row r="204" spans="1:43" s="4" customFormat="1" x14ac:dyDescent="0.3">
      <c r="A204" s="3"/>
      <c r="B204" s="44">
        <v>45920</v>
      </c>
      <c r="C204" s="3" t="s">
        <v>416</v>
      </c>
      <c r="D204" s="3" t="s">
        <v>496</v>
      </c>
      <c r="E204" s="42"/>
      <c r="F204" s="3" t="s">
        <v>651</v>
      </c>
      <c r="G204" s="3" t="s">
        <v>202</v>
      </c>
      <c r="H204" s="74">
        <v>3361808</v>
      </c>
      <c r="I204" s="4" t="s">
        <v>710</v>
      </c>
      <c r="J204" s="4" t="s">
        <v>206</v>
      </c>
      <c r="K204" s="4">
        <v>3352103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</row>
    <row r="205" spans="1:43" s="4" customFormat="1" x14ac:dyDescent="0.3">
      <c r="A205" s="3"/>
      <c r="B205" s="44">
        <v>45920</v>
      </c>
      <c r="C205" s="3" t="s">
        <v>416</v>
      </c>
      <c r="D205" s="3" t="s">
        <v>492</v>
      </c>
      <c r="E205" s="42"/>
      <c r="F205" s="3" t="s">
        <v>719</v>
      </c>
      <c r="G205" s="3" t="s">
        <v>155</v>
      </c>
      <c r="H205" s="4">
        <v>3361600</v>
      </c>
      <c r="I205" s="4" t="s">
        <v>670</v>
      </c>
      <c r="J205" s="4" t="s">
        <v>145</v>
      </c>
      <c r="K205" s="4">
        <v>3347404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</row>
    <row r="206" spans="1:43" s="4" customFormat="1" x14ac:dyDescent="0.3">
      <c r="B206" s="99">
        <v>45920</v>
      </c>
      <c r="C206" s="98" t="s">
        <v>553</v>
      </c>
      <c r="D206" s="4" t="s">
        <v>514</v>
      </c>
      <c r="F206" s="73" t="s">
        <v>515</v>
      </c>
      <c r="G206" s="73" t="s">
        <v>515</v>
      </c>
      <c r="H206" s="73"/>
      <c r="I206" s="73" t="s">
        <v>479</v>
      </c>
      <c r="J206" s="73" t="s">
        <v>479</v>
      </c>
      <c r="K206" s="4" t="s">
        <v>418</v>
      </c>
    </row>
    <row r="207" spans="1:43" s="4" customFormat="1" x14ac:dyDescent="0.3">
      <c r="A207" s="3"/>
      <c r="B207" s="44">
        <v>45920</v>
      </c>
      <c r="C207" s="3" t="s">
        <v>416</v>
      </c>
      <c r="D207" s="3" t="s">
        <v>490</v>
      </c>
      <c r="F207" s="3" t="s">
        <v>653</v>
      </c>
      <c r="G207" s="3" t="s">
        <v>126</v>
      </c>
      <c r="H207" s="4">
        <v>3361402</v>
      </c>
      <c r="I207" s="4" t="s">
        <v>676</v>
      </c>
      <c r="J207" s="4" t="s">
        <v>138</v>
      </c>
      <c r="K207" s="4">
        <v>3067805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</row>
    <row r="208" spans="1:43" s="4" customFormat="1" x14ac:dyDescent="0.3">
      <c r="A208" s="3"/>
      <c r="B208" s="44">
        <v>45920</v>
      </c>
      <c r="C208" s="3" t="s">
        <v>416</v>
      </c>
      <c r="D208" s="3" t="s">
        <v>497</v>
      </c>
      <c r="E208" s="42"/>
      <c r="F208" s="17" t="s">
        <v>653</v>
      </c>
      <c r="G208" s="17" t="s">
        <v>209</v>
      </c>
      <c r="H208" s="74">
        <v>3360705</v>
      </c>
      <c r="I208" s="4" t="s">
        <v>654</v>
      </c>
      <c r="J208" s="4" t="s">
        <v>216</v>
      </c>
      <c r="K208" s="4">
        <v>3349808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</row>
    <row r="209" spans="1:43" s="4" customFormat="1" x14ac:dyDescent="0.3">
      <c r="A209" s="3"/>
      <c r="B209" s="44">
        <v>45920</v>
      </c>
      <c r="C209" s="3" t="s">
        <v>416</v>
      </c>
      <c r="D209" s="3" t="s">
        <v>593</v>
      </c>
      <c r="E209" s="42"/>
      <c r="F209" s="3" t="s">
        <v>653</v>
      </c>
      <c r="G209" s="3" t="s">
        <v>459</v>
      </c>
      <c r="H209" s="4">
        <v>3211101</v>
      </c>
      <c r="I209" s="15" t="s">
        <v>570</v>
      </c>
      <c r="J209" s="15" t="s">
        <v>570</v>
      </c>
      <c r="K209" s="74" t="s">
        <v>556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</row>
    <row r="210" spans="1:43" s="4" customFormat="1" x14ac:dyDescent="0.3">
      <c r="A210" s="3"/>
      <c r="B210" s="44">
        <v>45920</v>
      </c>
      <c r="C210" s="3" t="s">
        <v>416</v>
      </c>
      <c r="D210" s="3" t="s">
        <v>504</v>
      </c>
      <c r="E210" s="42"/>
      <c r="F210" s="3" t="s">
        <v>479</v>
      </c>
      <c r="G210" s="3" t="s">
        <v>9</v>
      </c>
      <c r="H210" s="4">
        <v>3033405</v>
      </c>
      <c r="I210" s="3" t="s">
        <v>666</v>
      </c>
      <c r="J210" s="3" t="s">
        <v>12</v>
      </c>
      <c r="K210" s="4">
        <v>3034206</v>
      </c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</row>
    <row r="211" spans="1:43" s="4" customFormat="1" x14ac:dyDescent="0.3">
      <c r="A211" s="3"/>
      <c r="B211" s="44">
        <v>45920</v>
      </c>
      <c r="C211" s="3" t="s">
        <v>416</v>
      </c>
      <c r="D211" s="3" t="s">
        <v>487</v>
      </c>
      <c r="F211" s="3" t="s">
        <v>479</v>
      </c>
      <c r="G211" s="3" t="s">
        <v>127</v>
      </c>
      <c r="H211" s="4">
        <v>3360809</v>
      </c>
      <c r="I211" s="4" t="s">
        <v>710</v>
      </c>
      <c r="J211" s="4" t="s">
        <v>113</v>
      </c>
      <c r="K211" s="4">
        <v>3352009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s="4" customFormat="1" x14ac:dyDescent="0.3">
      <c r="A212" s="3"/>
      <c r="B212" s="44">
        <v>45920</v>
      </c>
      <c r="C212" s="3" t="s">
        <v>416</v>
      </c>
      <c r="D212" s="3" t="s">
        <v>590</v>
      </c>
      <c r="E212" s="42"/>
      <c r="F212" s="3" t="s">
        <v>479</v>
      </c>
      <c r="G212" s="3" t="s">
        <v>284</v>
      </c>
      <c r="H212" s="4">
        <v>3210904</v>
      </c>
      <c r="I212" s="4" t="s">
        <v>650</v>
      </c>
      <c r="J212" s="4" t="s">
        <v>277</v>
      </c>
      <c r="K212" s="4">
        <v>3088400</v>
      </c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s="4" customFormat="1" x14ac:dyDescent="0.3">
      <c r="A213" s="3"/>
      <c r="B213" s="44">
        <v>45920</v>
      </c>
      <c r="C213" s="3" t="s">
        <v>416</v>
      </c>
      <c r="D213" s="3" t="s">
        <v>490</v>
      </c>
      <c r="F213" s="3" t="s">
        <v>479</v>
      </c>
      <c r="G213" s="3" t="s">
        <v>166</v>
      </c>
      <c r="H213" s="4">
        <v>3361006</v>
      </c>
      <c r="I213" s="4" t="s">
        <v>480</v>
      </c>
      <c r="J213" s="4" t="s">
        <v>420</v>
      </c>
      <c r="K213" s="4">
        <v>3360101</v>
      </c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s="4" customFormat="1" x14ac:dyDescent="0.3">
      <c r="A214" s="3"/>
      <c r="B214" s="44">
        <v>45920</v>
      </c>
      <c r="C214" s="3" t="s">
        <v>416</v>
      </c>
      <c r="D214" s="3" t="s">
        <v>62</v>
      </c>
      <c r="E214" s="42"/>
      <c r="F214" s="3" t="s">
        <v>479</v>
      </c>
      <c r="G214" s="3" t="s">
        <v>319</v>
      </c>
      <c r="H214" s="4">
        <v>3210508</v>
      </c>
      <c r="I214" s="4" t="s">
        <v>700</v>
      </c>
      <c r="J214" s="4" t="s">
        <v>442</v>
      </c>
      <c r="K214" s="4">
        <v>3205007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</row>
    <row r="215" spans="1:43" s="4" customFormat="1" x14ac:dyDescent="0.3">
      <c r="A215" s="3"/>
      <c r="B215" s="44">
        <v>45920</v>
      </c>
      <c r="C215" s="3" t="s">
        <v>416</v>
      </c>
      <c r="D215" s="3" t="s">
        <v>493</v>
      </c>
      <c r="E215" s="42"/>
      <c r="F215" s="3" t="s">
        <v>479</v>
      </c>
      <c r="G215" s="3" t="s">
        <v>211</v>
      </c>
      <c r="H215" s="4">
        <v>3361204</v>
      </c>
      <c r="I215" s="4" t="s">
        <v>471</v>
      </c>
      <c r="J215" s="4" t="s">
        <v>217</v>
      </c>
      <c r="K215" s="4">
        <v>3348309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</row>
    <row r="216" spans="1:43" s="4" customFormat="1" x14ac:dyDescent="0.3">
      <c r="A216" s="3"/>
      <c r="B216" s="44">
        <v>45920</v>
      </c>
      <c r="C216" s="3" t="s">
        <v>416</v>
      </c>
      <c r="D216" s="3" t="s">
        <v>69</v>
      </c>
      <c r="E216" s="42"/>
      <c r="F216" s="3" t="s">
        <v>479</v>
      </c>
      <c r="G216" s="3" t="s">
        <v>392</v>
      </c>
      <c r="H216" s="74">
        <v>3210706</v>
      </c>
      <c r="I216" s="3" t="s">
        <v>663</v>
      </c>
      <c r="J216" s="3" t="s">
        <v>362</v>
      </c>
      <c r="K216" s="4">
        <v>3197406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</row>
    <row r="217" spans="1:43" s="4" customFormat="1" x14ac:dyDescent="0.3">
      <c r="A217" s="3"/>
      <c r="B217" s="44">
        <v>45920</v>
      </c>
      <c r="C217" s="3" t="s">
        <v>416</v>
      </c>
      <c r="D217" s="3" t="s">
        <v>593</v>
      </c>
      <c r="E217" s="42"/>
      <c r="F217" s="3" t="s">
        <v>479</v>
      </c>
      <c r="G217" s="3" t="s">
        <v>628</v>
      </c>
      <c r="H217" s="4" t="s">
        <v>642</v>
      </c>
      <c r="I217" s="4" t="s">
        <v>661</v>
      </c>
      <c r="J217" s="4" t="s">
        <v>640</v>
      </c>
      <c r="K217" s="4">
        <v>3210102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</row>
    <row r="218" spans="1:43" s="4" customFormat="1" x14ac:dyDescent="0.3">
      <c r="B218" s="100">
        <v>45920</v>
      </c>
      <c r="C218" s="98" t="s">
        <v>553</v>
      </c>
      <c r="D218" s="4" t="s">
        <v>508</v>
      </c>
      <c r="F218" s="73" t="s">
        <v>554</v>
      </c>
      <c r="G218" s="73" t="s">
        <v>9</v>
      </c>
      <c r="H218" s="73"/>
      <c r="I218" s="73" t="s">
        <v>478</v>
      </c>
      <c r="J218" s="73" t="s">
        <v>478</v>
      </c>
      <c r="K218" s="4" t="s">
        <v>418</v>
      </c>
    </row>
    <row r="219" spans="1:43" s="3" customFormat="1" x14ac:dyDescent="0.3">
      <c r="A219" s="4"/>
      <c r="B219" s="99">
        <v>45920</v>
      </c>
      <c r="C219" s="98" t="s">
        <v>553</v>
      </c>
      <c r="D219" s="4" t="s">
        <v>506</v>
      </c>
      <c r="E219" s="4"/>
      <c r="F219" s="73" t="s">
        <v>480</v>
      </c>
      <c r="G219" s="73" t="s">
        <v>480</v>
      </c>
      <c r="H219" s="73"/>
      <c r="I219" s="73" t="s">
        <v>507</v>
      </c>
      <c r="J219" s="73" t="s">
        <v>507</v>
      </c>
      <c r="K219" s="4" t="s">
        <v>418</v>
      </c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1:43" s="3" customFormat="1" x14ac:dyDescent="0.3">
      <c r="B220" s="44">
        <v>45920</v>
      </c>
      <c r="C220" s="3" t="s">
        <v>416</v>
      </c>
      <c r="D220" s="3" t="s">
        <v>486</v>
      </c>
      <c r="E220" s="42"/>
      <c r="F220" s="3" t="s">
        <v>480</v>
      </c>
      <c r="G220" s="3" t="s">
        <v>406</v>
      </c>
      <c r="H220" s="4">
        <v>3124501</v>
      </c>
      <c r="I220" s="3" t="s">
        <v>682</v>
      </c>
      <c r="J220" s="3" t="s">
        <v>559</v>
      </c>
      <c r="K220" s="4">
        <v>3969200</v>
      </c>
    </row>
    <row r="221" spans="1:43" s="3" customFormat="1" x14ac:dyDescent="0.3">
      <c r="B221" s="44">
        <v>45920</v>
      </c>
      <c r="C221" s="3" t="s">
        <v>416</v>
      </c>
      <c r="D221" s="3" t="s">
        <v>493</v>
      </c>
      <c r="E221" s="42"/>
      <c r="F221" s="3" t="s">
        <v>480</v>
      </c>
      <c r="G221" s="3" t="s">
        <v>423</v>
      </c>
      <c r="H221" s="4">
        <v>3360403</v>
      </c>
      <c r="I221" s="4" t="s">
        <v>479</v>
      </c>
      <c r="J221" s="4" t="s">
        <v>210</v>
      </c>
      <c r="K221" s="4">
        <v>3361100</v>
      </c>
    </row>
    <row r="222" spans="1:43" s="3" customFormat="1" x14ac:dyDescent="0.3">
      <c r="B222" s="44">
        <v>45920</v>
      </c>
      <c r="C222" s="3" t="s">
        <v>416</v>
      </c>
      <c r="D222" s="3" t="s">
        <v>497</v>
      </c>
      <c r="E222" s="42"/>
      <c r="F222" s="17" t="s">
        <v>480</v>
      </c>
      <c r="G222" s="17" t="s">
        <v>428</v>
      </c>
      <c r="H222" s="74">
        <v>3360309</v>
      </c>
      <c r="I222" s="17" t="s">
        <v>653</v>
      </c>
      <c r="J222" s="17" t="s">
        <v>208</v>
      </c>
      <c r="K222" s="74">
        <v>3361308</v>
      </c>
    </row>
    <row r="223" spans="1:43" s="3" customFormat="1" x14ac:dyDescent="0.3">
      <c r="B223" s="44">
        <v>45920</v>
      </c>
      <c r="C223" s="3" t="s">
        <v>416</v>
      </c>
      <c r="D223" s="3" t="s">
        <v>490</v>
      </c>
      <c r="E223" s="4"/>
      <c r="F223" s="3" t="s">
        <v>660</v>
      </c>
      <c r="G223" s="3" t="s">
        <v>137</v>
      </c>
      <c r="H223" s="4">
        <v>3359908</v>
      </c>
      <c r="I223" s="4" t="s">
        <v>654</v>
      </c>
      <c r="J223" s="4" t="s">
        <v>143</v>
      </c>
      <c r="K223" s="4">
        <v>3349704</v>
      </c>
    </row>
    <row r="224" spans="1:43" s="3" customFormat="1" x14ac:dyDescent="0.3">
      <c r="B224" s="44">
        <v>45920</v>
      </c>
      <c r="C224" s="3" t="s">
        <v>416</v>
      </c>
      <c r="D224" s="3" t="s">
        <v>62</v>
      </c>
      <c r="E224" s="42"/>
      <c r="F224" s="3" t="s">
        <v>660</v>
      </c>
      <c r="G224" s="3" t="s">
        <v>443</v>
      </c>
      <c r="H224" s="4">
        <v>3210008</v>
      </c>
      <c r="I224" s="4" t="s">
        <v>476</v>
      </c>
      <c r="J224" s="4" t="s">
        <v>287</v>
      </c>
      <c r="K224" s="4">
        <v>3206600</v>
      </c>
    </row>
    <row r="225" spans="2:14" s="3" customFormat="1" x14ac:dyDescent="0.3">
      <c r="B225" s="44">
        <v>45920</v>
      </c>
      <c r="C225" s="3" t="s">
        <v>416</v>
      </c>
      <c r="D225" s="3" t="s">
        <v>497</v>
      </c>
      <c r="E225" s="42"/>
      <c r="F225" s="17" t="s">
        <v>660</v>
      </c>
      <c r="G225" s="17" t="s">
        <v>212</v>
      </c>
      <c r="H225" s="74">
        <v>3360007</v>
      </c>
      <c r="I225" s="3" t="s">
        <v>654</v>
      </c>
      <c r="J225" s="3" t="s">
        <v>438</v>
      </c>
      <c r="K225" s="74">
        <v>3906207</v>
      </c>
    </row>
    <row r="226" spans="2:14" s="3" customFormat="1" x14ac:dyDescent="0.3">
      <c r="B226" s="44">
        <v>45920</v>
      </c>
      <c r="C226" s="3" t="s">
        <v>416</v>
      </c>
      <c r="D226" s="3" t="s">
        <v>493</v>
      </c>
      <c r="E226" s="42"/>
      <c r="F226" s="3" t="s">
        <v>657</v>
      </c>
      <c r="G226" s="3" t="s">
        <v>167</v>
      </c>
      <c r="H226" s="4">
        <v>3359804</v>
      </c>
      <c r="I226" s="4" t="s">
        <v>476</v>
      </c>
      <c r="J226" s="4" t="s">
        <v>170</v>
      </c>
      <c r="K226" s="4">
        <v>3356703</v>
      </c>
    </row>
    <row r="227" spans="2:14" s="3" customFormat="1" x14ac:dyDescent="0.3">
      <c r="B227" s="44">
        <v>45920</v>
      </c>
      <c r="C227" s="3" t="s">
        <v>416</v>
      </c>
      <c r="D227" s="3" t="s">
        <v>69</v>
      </c>
      <c r="E227" s="42"/>
      <c r="F227" s="3" t="s">
        <v>657</v>
      </c>
      <c r="G227" s="3" t="s">
        <v>393</v>
      </c>
      <c r="H227" s="4">
        <v>3209701</v>
      </c>
      <c r="I227" s="3" t="s">
        <v>471</v>
      </c>
      <c r="J227" s="3" t="s">
        <v>364</v>
      </c>
      <c r="K227" s="4">
        <v>3197000</v>
      </c>
    </row>
    <row r="228" spans="2:14" s="3" customFormat="1" x14ac:dyDescent="0.3">
      <c r="B228" s="44">
        <v>45920</v>
      </c>
      <c r="C228" s="3" t="s">
        <v>416</v>
      </c>
      <c r="D228" s="3" t="s">
        <v>500</v>
      </c>
      <c r="E228" s="42"/>
      <c r="F228" s="3" t="s">
        <v>657</v>
      </c>
      <c r="G228" s="3" t="s">
        <v>574</v>
      </c>
      <c r="H228" s="4">
        <v>3359606</v>
      </c>
      <c r="I228" s="4" t="s">
        <v>479</v>
      </c>
      <c r="J228" s="4" t="s">
        <v>465</v>
      </c>
      <c r="K228" s="4">
        <v>3962207</v>
      </c>
    </row>
    <row r="229" spans="2:14" s="3" customFormat="1" x14ac:dyDescent="0.3">
      <c r="B229" s="44">
        <v>45920</v>
      </c>
      <c r="C229" s="3" t="s">
        <v>416</v>
      </c>
      <c r="D229" s="3" t="s">
        <v>501</v>
      </c>
      <c r="E229" s="42"/>
      <c r="F229" s="3" t="s">
        <v>722</v>
      </c>
      <c r="G229" s="3" t="s">
        <v>600</v>
      </c>
      <c r="H229" s="4" t="s">
        <v>556</v>
      </c>
      <c r="I229" s="3" t="s">
        <v>708</v>
      </c>
      <c r="J229" s="3" t="s">
        <v>598</v>
      </c>
      <c r="K229" s="4">
        <v>3354903</v>
      </c>
      <c r="M229" s="3" t="s">
        <v>571</v>
      </c>
      <c r="N229" s="3" t="s">
        <v>598</v>
      </c>
    </row>
    <row r="230" spans="2:14" s="3" customFormat="1" x14ac:dyDescent="0.3">
      <c r="B230" s="44">
        <v>45920</v>
      </c>
      <c r="C230" s="3" t="s">
        <v>416</v>
      </c>
      <c r="D230" s="3" t="s">
        <v>57</v>
      </c>
      <c r="E230" s="42"/>
      <c r="F230" s="3" t="s">
        <v>667</v>
      </c>
      <c r="G230" s="3" t="s">
        <v>257</v>
      </c>
      <c r="H230" s="4">
        <v>3209805</v>
      </c>
      <c r="I230" s="32" t="s">
        <v>709</v>
      </c>
      <c r="J230" s="32" t="s">
        <v>268</v>
      </c>
      <c r="K230" s="15">
        <v>3203103</v>
      </c>
    </row>
    <row r="231" spans="2:14" s="3" customFormat="1" x14ac:dyDescent="0.3">
      <c r="B231" s="44">
        <v>45920</v>
      </c>
      <c r="C231" s="3" t="s">
        <v>416</v>
      </c>
      <c r="D231" s="3" t="s">
        <v>60</v>
      </c>
      <c r="E231" s="42"/>
      <c r="F231" s="3" t="s">
        <v>667</v>
      </c>
      <c r="G231" s="3" t="s">
        <v>294</v>
      </c>
      <c r="H231" s="4">
        <v>3209409</v>
      </c>
      <c r="I231" s="3" t="s">
        <v>667</v>
      </c>
      <c r="J231" s="3" t="s">
        <v>444</v>
      </c>
      <c r="K231" s="32">
        <v>3209909</v>
      </c>
    </row>
    <row r="232" spans="2:14" s="3" customFormat="1" x14ac:dyDescent="0.3">
      <c r="B232" s="44">
        <v>45920</v>
      </c>
      <c r="C232" s="3" t="s">
        <v>416</v>
      </c>
      <c r="D232" s="3" t="s">
        <v>56</v>
      </c>
      <c r="E232" s="42"/>
      <c r="F232" s="73" t="s">
        <v>671</v>
      </c>
      <c r="G232" s="73" t="s">
        <v>247</v>
      </c>
      <c r="H232" s="4">
        <v>3034102</v>
      </c>
      <c r="I232" s="4" t="s">
        <v>661</v>
      </c>
      <c r="J232" s="4" t="s">
        <v>439</v>
      </c>
      <c r="K232" s="4">
        <v>3023701</v>
      </c>
    </row>
    <row r="233" spans="2:14" s="3" customFormat="1" x14ac:dyDescent="0.3">
      <c r="B233" s="44">
        <v>45920</v>
      </c>
      <c r="C233" s="3" t="s">
        <v>416</v>
      </c>
      <c r="D233" s="3" t="s">
        <v>486</v>
      </c>
      <c r="E233" s="42"/>
      <c r="F233" s="3" t="s">
        <v>671</v>
      </c>
      <c r="G233" s="3" t="s">
        <v>108</v>
      </c>
      <c r="H233" s="4">
        <v>3359700</v>
      </c>
      <c r="I233" s="4" t="s">
        <v>652</v>
      </c>
      <c r="J233" s="4" t="s">
        <v>110</v>
      </c>
      <c r="K233" s="4">
        <v>3359106</v>
      </c>
    </row>
    <row r="234" spans="2:14" s="3" customFormat="1" x14ac:dyDescent="0.3">
      <c r="B234" s="44">
        <v>45920</v>
      </c>
      <c r="C234" s="3" t="s">
        <v>416</v>
      </c>
      <c r="D234" s="3" t="s">
        <v>496</v>
      </c>
      <c r="E234" s="42"/>
      <c r="F234" s="3" t="s">
        <v>671</v>
      </c>
      <c r="G234" s="3" t="s">
        <v>203</v>
      </c>
      <c r="H234" s="4">
        <v>3359304</v>
      </c>
      <c r="I234" s="3" t="s">
        <v>650</v>
      </c>
      <c r="J234" s="3" t="s">
        <v>205</v>
      </c>
      <c r="K234" s="74">
        <v>3351906</v>
      </c>
    </row>
    <row r="235" spans="2:14" s="3" customFormat="1" x14ac:dyDescent="0.3">
      <c r="B235" s="44">
        <v>45920</v>
      </c>
      <c r="C235" s="3" t="s">
        <v>416</v>
      </c>
      <c r="D235" s="3" t="s">
        <v>496</v>
      </c>
      <c r="E235" s="42"/>
      <c r="F235" s="3" t="s">
        <v>671</v>
      </c>
      <c r="G235" s="3" t="s">
        <v>227</v>
      </c>
      <c r="H235" s="4">
        <v>3359408</v>
      </c>
      <c r="I235" s="3" t="s">
        <v>716</v>
      </c>
      <c r="J235" s="3" t="s">
        <v>427</v>
      </c>
      <c r="K235" s="4">
        <v>3351500</v>
      </c>
    </row>
    <row r="236" spans="2:14" s="3" customFormat="1" x14ac:dyDescent="0.3">
      <c r="B236" s="44">
        <v>45920</v>
      </c>
      <c r="C236" s="3" t="s">
        <v>416</v>
      </c>
      <c r="D236" s="3" t="s">
        <v>499</v>
      </c>
      <c r="E236" s="42"/>
      <c r="F236" s="3" t="s">
        <v>671</v>
      </c>
      <c r="G236" s="3" t="s">
        <v>228</v>
      </c>
      <c r="H236" s="74">
        <v>3358607</v>
      </c>
      <c r="I236" s="3" t="s">
        <v>474</v>
      </c>
      <c r="J236" s="3" t="s">
        <v>597</v>
      </c>
      <c r="K236" s="4">
        <v>3352707</v>
      </c>
      <c r="M236" s="51"/>
    </row>
    <row r="237" spans="2:14" s="3" customFormat="1" x14ac:dyDescent="0.3">
      <c r="B237" s="44">
        <v>45920</v>
      </c>
      <c r="C237" s="3" t="s">
        <v>416</v>
      </c>
      <c r="D237" s="3" t="s">
        <v>58</v>
      </c>
      <c r="E237" s="42"/>
      <c r="F237" s="3" t="s">
        <v>659</v>
      </c>
      <c r="G237" s="3" t="s">
        <v>265</v>
      </c>
      <c r="H237" s="4">
        <v>3208702</v>
      </c>
      <c r="I237" s="3" t="s">
        <v>683</v>
      </c>
      <c r="J237" s="3" t="s">
        <v>305</v>
      </c>
      <c r="K237" s="32">
        <v>3202906</v>
      </c>
    </row>
    <row r="238" spans="2:14" s="3" customFormat="1" x14ac:dyDescent="0.3">
      <c r="B238" s="44">
        <v>45920</v>
      </c>
      <c r="C238" s="3" t="s">
        <v>416</v>
      </c>
      <c r="D238" s="3" t="s">
        <v>61</v>
      </c>
      <c r="E238" s="42"/>
      <c r="F238" s="106" t="s">
        <v>659</v>
      </c>
      <c r="G238" s="106" t="s">
        <v>367</v>
      </c>
      <c r="H238" s="106">
        <v>3208806</v>
      </c>
      <c r="I238" s="4" t="s">
        <v>477</v>
      </c>
      <c r="J238" s="4" t="s">
        <v>332</v>
      </c>
      <c r="K238" s="4">
        <v>3199206</v>
      </c>
    </row>
    <row r="239" spans="2:14" s="3" customFormat="1" x14ac:dyDescent="0.3">
      <c r="B239" s="44">
        <v>45920</v>
      </c>
      <c r="C239" s="3" t="s">
        <v>416</v>
      </c>
      <c r="D239" s="3" t="s">
        <v>66</v>
      </c>
      <c r="E239" s="42"/>
      <c r="F239" s="104" t="s">
        <v>659</v>
      </c>
      <c r="G239" s="104" t="s">
        <v>602</v>
      </c>
      <c r="H239" s="74">
        <v>4023001</v>
      </c>
      <c r="I239" s="3" t="s">
        <v>690</v>
      </c>
      <c r="J239" s="3" t="s">
        <v>605</v>
      </c>
      <c r="K239" s="74">
        <v>3900109</v>
      </c>
    </row>
    <row r="240" spans="2:14" s="3" customFormat="1" x14ac:dyDescent="0.3">
      <c r="B240" s="44">
        <v>45920</v>
      </c>
      <c r="C240" s="3" t="s">
        <v>416</v>
      </c>
      <c r="D240" s="3" t="s">
        <v>486</v>
      </c>
      <c r="E240" s="42"/>
      <c r="F240" s="3" t="s">
        <v>676</v>
      </c>
      <c r="G240" s="3" t="s">
        <v>109</v>
      </c>
      <c r="H240" s="4">
        <v>3067701</v>
      </c>
      <c r="I240" s="4" t="s">
        <v>646</v>
      </c>
      <c r="J240" s="4" t="s">
        <v>102</v>
      </c>
      <c r="K240" s="4">
        <v>3125406</v>
      </c>
    </row>
    <row r="241" spans="2:11" s="3" customFormat="1" x14ac:dyDescent="0.3">
      <c r="B241" s="44">
        <v>45920</v>
      </c>
      <c r="C241" s="3" t="s">
        <v>416</v>
      </c>
      <c r="D241" s="3" t="s">
        <v>590</v>
      </c>
      <c r="E241" s="42"/>
      <c r="F241" s="3" t="s">
        <v>676</v>
      </c>
      <c r="G241" s="3" t="s">
        <v>285</v>
      </c>
      <c r="H241" s="4">
        <v>3208504</v>
      </c>
      <c r="I241" s="4" t="s">
        <v>472</v>
      </c>
      <c r="J241" s="4" t="s">
        <v>315</v>
      </c>
      <c r="K241" s="4">
        <v>3455307</v>
      </c>
    </row>
    <row r="242" spans="2:11" s="3" customFormat="1" x14ac:dyDescent="0.3">
      <c r="B242" s="44">
        <v>45920</v>
      </c>
      <c r="C242" s="3" t="s">
        <v>416</v>
      </c>
      <c r="D242" s="3" t="s">
        <v>62</v>
      </c>
      <c r="E242" s="42"/>
      <c r="F242" s="3" t="s">
        <v>676</v>
      </c>
      <c r="G242" s="3" t="s">
        <v>286</v>
      </c>
      <c r="H242" s="4">
        <v>3019605</v>
      </c>
      <c r="I242" s="4" t="s">
        <v>679</v>
      </c>
      <c r="J242" s="4" t="s">
        <v>292</v>
      </c>
      <c r="K242" s="4">
        <v>3195304</v>
      </c>
    </row>
    <row r="243" spans="2:11" s="3" customFormat="1" x14ac:dyDescent="0.3">
      <c r="B243" s="44">
        <v>45920</v>
      </c>
      <c r="C243" s="3" t="s">
        <v>416</v>
      </c>
      <c r="D243" s="3" t="s">
        <v>500</v>
      </c>
      <c r="E243" s="42"/>
      <c r="F243" s="3" t="s">
        <v>676</v>
      </c>
      <c r="G243" s="3" t="s">
        <v>577</v>
      </c>
      <c r="H243" s="4" t="s">
        <v>556</v>
      </c>
      <c r="I243" s="4" t="s">
        <v>479</v>
      </c>
      <c r="J243" s="4" t="s">
        <v>232</v>
      </c>
      <c r="K243" s="4">
        <v>3360507</v>
      </c>
    </row>
    <row r="244" spans="2:11" s="3" customFormat="1" x14ac:dyDescent="0.3">
      <c r="B244" s="44">
        <v>45920</v>
      </c>
      <c r="C244" s="3" t="s">
        <v>416</v>
      </c>
      <c r="D244" s="3" t="s">
        <v>488</v>
      </c>
      <c r="E244" s="42"/>
      <c r="F244" s="3" t="s">
        <v>680</v>
      </c>
      <c r="G244" s="3" t="s">
        <v>117</v>
      </c>
      <c r="H244" s="4">
        <v>3359002</v>
      </c>
      <c r="I244" s="4" t="s">
        <v>684</v>
      </c>
      <c r="J244" s="4" t="s">
        <v>121</v>
      </c>
      <c r="K244" s="4">
        <v>3354309</v>
      </c>
    </row>
    <row r="245" spans="2:11" s="3" customFormat="1" x14ac:dyDescent="0.3">
      <c r="B245" s="44">
        <v>45920</v>
      </c>
      <c r="C245" s="3" t="s">
        <v>416</v>
      </c>
      <c r="D245" s="3" t="s">
        <v>61</v>
      </c>
      <c r="E245" s="42"/>
      <c r="F245" s="73" t="s">
        <v>680</v>
      </c>
      <c r="G245" s="73" t="s">
        <v>302</v>
      </c>
      <c r="H245" s="4">
        <v>3208400</v>
      </c>
      <c r="I245" s="4" t="s">
        <v>720</v>
      </c>
      <c r="J245" s="4" t="s">
        <v>335</v>
      </c>
      <c r="K245" s="4">
        <v>3194201</v>
      </c>
    </row>
    <row r="246" spans="2:11" s="3" customFormat="1" x14ac:dyDescent="0.3">
      <c r="B246" s="44">
        <v>45920</v>
      </c>
      <c r="C246" s="3" t="s">
        <v>416</v>
      </c>
      <c r="D246" s="3" t="s">
        <v>66</v>
      </c>
      <c r="E246" s="42"/>
      <c r="F246" s="104" t="s">
        <v>680</v>
      </c>
      <c r="G246" s="104" t="s">
        <v>603</v>
      </c>
      <c r="H246" s="74">
        <v>3945400</v>
      </c>
      <c r="I246" s="3" t="s">
        <v>696</v>
      </c>
      <c r="J246" s="3" t="s">
        <v>609</v>
      </c>
      <c r="K246" s="74">
        <v>3900401</v>
      </c>
    </row>
    <row r="247" spans="2:11" s="3" customFormat="1" x14ac:dyDescent="0.3">
      <c r="B247" s="44">
        <v>45920</v>
      </c>
      <c r="C247" s="3" t="s">
        <v>416</v>
      </c>
      <c r="D247" s="3" t="s">
        <v>59</v>
      </c>
      <c r="E247" s="42"/>
      <c r="F247" s="3" t="s">
        <v>652</v>
      </c>
      <c r="G247" s="3" t="s">
        <v>313</v>
      </c>
      <c r="H247" s="4">
        <v>3207901</v>
      </c>
      <c r="I247" s="3" t="s">
        <v>653</v>
      </c>
      <c r="J247" s="3" t="s">
        <v>272</v>
      </c>
      <c r="K247" s="4">
        <v>3211205</v>
      </c>
    </row>
    <row r="248" spans="2:11" s="3" customFormat="1" x14ac:dyDescent="0.3">
      <c r="B248" s="44">
        <v>45920</v>
      </c>
      <c r="C248" s="3" t="s">
        <v>416</v>
      </c>
      <c r="D248" s="3" t="s">
        <v>496</v>
      </c>
      <c r="E248" s="42"/>
      <c r="F248" s="3" t="s">
        <v>652</v>
      </c>
      <c r="G248" s="3" t="s">
        <v>229</v>
      </c>
      <c r="H248" s="4">
        <v>3358409</v>
      </c>
      <c r="I248" s="4" t="s">
        <v>665</v>
      </c>
      <c r="J248" s="4" t="s">
        <v>204</v>
      </c>
      <c r="K248" s="4">
        <v>3357400</v>
      </c>
    </row>
    <row r="249" spans="2:11" s="3" customFormat="1" x14ac:dyDescent="0.3">
      <c r="B249" s="44">
        <v>45920</v>
      </c>
      <c r="C249" s="3" t="s">
        <v>416</v>
      </c>
      <c r="D249" s="3" t="s">
        <v>68</v>
      </c>
      <c r="E249" s="42"/>
      <c r="F249" s="3" t="s">
        <v>652</v>
      </c>
      <c r="G249" s="3" t="s">
        <v>625</v>
      </c>
      <c r="H249" s="4">
        <v>3899803</v>
      </c>
      <c r="I249" s="4" t="s">
        <v>649</v>
      </c>
      <c r="J249" s="4" t="s">
        <v>456</v>
      </c>
      <c r="K249" s="4">
        <v>3545602</v>
      </c>
    </row>
    <row r="250" spans="2:11" s="3" customFormat="1" x14ac:dyDescent="0.3">
      <c r="B250" s="44">
        <v>45920</v>
      </c>
      <c r="C250" s="3" t="s">
        <v>416</v>
      </c>
      <c r="D250" s="3" t="s">
        <v>504</v>
      </c>
      <c r="E250" s="42"/>
      <c r="F250" s="3" t="s">
        <v>662</v>
      </c>
      <c r="G250" s="3" t="s">
        <v>99</v>
      </c>
      <c r="H250" s="4">
        <v>3125604</v>
      </c>
      <c r="I250" s="4" t="s">
        <v>720</v>
      </c>
      <c r="J250" s="4" t="s">
        <v>13</v>
      </c>
      <c r="K250" s="4">
        <v>3125906</v>
      </c>
    </row>
    <row r="251" spans="2:11" s="3" customFormat="1" x14ac:dyDescent="0.3">
      <c r="B251" s="44">
        <v>45920</v>
      </c>
      <c r="C251" s="3" t="s">
        <v>416</v>
      </c>
      <c r="D251" s="3" t="s">
        <v>59</v>
      </c>
      <c r="E251" s="42"/>
      <c r="F251" s="3" t="s">
        <v>662</v>
      </c>
      <c r="G251" s="3" t="s">
        <v>314</v>
      </c>
      <c r="H251" s="4">
        <v>3208004</v>
      </c>
      <c r="I251" s="4" t="s">
        <v>646</v>
      </c>
      <c r="J251" s="4" t="s">
        <v>275</v>
      </c>
      <c r="K251" s="4">
        <v>3202406</v>
      </c>
    </row>
    <row r="252" spans="2:11" s="3" customFormat="1" x14ac:dyDescent="0.3">
      <c r="B252" s="44">
        <v>45920</v>
      </c>
      <c r="C252" s="3" t="s">
        <v>416</v>
      </c>
      <c r="D252" s="3" t="s">
        <v>494</v>
      </c>
      <c r="E252" s="42"/>
      <c r="F252" s="3" t="s">
        <v>662</v>
      </c>
      <c r="G252" s="3" t="s">
        <v>218</v>
      </c>
      <c r="H252" s="4">
        <v>3358201</v>
      </c>
      <c r="I252" s="4" t="s">
        <v>662</v>
      </c>
      <c r="J252" s="4" t="s">
        <v>242</v>
      </c>
      <c r="K252" s="4">
        <v>3358107</v>
      </c>
    </row>
    <row r="253" spans="2:11" s="3" customFormat="1" x14ac:dyDescent="0.3">
      <c r="B253" s="44">
        <v>45920</v>
      </c>
      <c r="C253" s="3" t="s">
        <v>416</v>
      </c>
      <c r="D253" s="3" t="s">
        <v>67</v>
      </c>
      <c r="E253" s="42"/>
      <c r="F253" s="3" t="s">
        <v>662</v>
      </c>
      <c r="G253" s="3" t="s">
        <v>373</v>
      </c>
      <c r="H253" s="4">
        <v>3207807</v>
      </c>
      <c r="I253" s="4" t="s">
        <v>715</v>
      </c>
      <c r="J253" s="4" t="s">
        <v>377</v>
      </c>
      <c r="K253" s="4">
        <v>3200106</v>
      </c>
    </row>
    <row r="254" spans="2:11" s="3" customFormat="1" x14ac:dyDescent="0.3">
      <c r="B254" s="44">
        <v>45920</v>
      </c>
      <c r="C254" s="3" t="s">
        <v>416</v>
      </c>
      <c r="D254" s="3" t="s">
        <v>592</v>
      </c>
      <c r="E254" s="42"/>
      <c r="F254" s="3" t="s">
        <v>662</v>
      </c>
      <c r="G254" s="3" t="s">
        <v>634</v>
      </c>
      <c r="H254" s="74">
        <v>4023105</v>
      </c>
      <c r="I254" s="3" t="s">
        <v>670</v>
      </c>
      <c r="J254" s="3" t="s">
        <v>636</v>
      </c>
      <c r="K254" s="74">
        <v>3195502</v>
      </c>
    </row>
    <row r="255" spans="2:11" s="3" customFormat="1" x14ac:dyDescent="0.3">
      <c r="B255" s="44">
        <v>45920</v>
      </c>
      <c r="C255" s="3" t="s">
        <v>416</v>
      </c>
      <c r="D255" s="3" t="s">
        <v>60</v>
      </c>
      <c r="E255" s="42"/>
      <c r="F255" s="3" t="s">
        <v>707</v>
      </c>
      <c r="G255" s="3" t="s">
        <v>295</v>
      </c>
      <c r="H255" s="4">
        <v>3207505</v>
      </c>
      <c r="I255" s="3" t="s">
        <v>473</v>
      </c>
      <c r="J255" s="3" t="s">
        <v>445</v>
      </c>
      <c r="K255" s="4">
        <v>3204102</v>
      </c>
    </row>
    <row r="256" spans="2:11" s="3" customFormat="1" x14ac:dyDescent="0.3">
      <c r="B256" s="44">
        <v>45920</v>
      </c>
      <c r="C256" s="3" t="s">
        <v>416</v>
      </c>
      <c r="D256" s="3" t="s">
        <v>504</v>
      </c>
      <c r="E256" s="42"/>
      <c r="F256" s="3" t="s">
        <v>472</v>
      </c>
      <c r="G256" s="3" t="s">
        <v>11</v>
      </c>
      <c r="H256" s="4">
        <v>3034800</v>
      </c>
      <c r="I256" s="4" t="s">
        <v>671</v>
      </c>
      <c r="J256" s="4" t="s">
        <v>8</v>
      </c>
      <c r="K256" s="4">
        <v>3034008</v>
      </c>
    </row>
    <row r="257" spans="2:13" s="3" customFormat="1" x14ac:dyDescent="0.3">
      <c r="B257" s="44">
        <v>45920</v>
      </c>
      <c r="C257" s="3" t="s">
        <v>416</v>
      </c>
      <c r="D257" s="3" t="s">
        <v>490</v>
      </c>
      <c r="E257" s="4"/>
      <c r="F257" s="3" t="s">
        <v>472</v>
      </c>
      <c r="G257" s="3" t="s">
        <v>140</v>
      </c>
      <c r="H257" s="4">
        <v>3357900</v>
      </c>
      <c r="I257" s="4" t="s">
        <v>475</v>
      </c>
      <c r="J257" s="4" t="s">
        <v>125</v>
      </c>
      <c r="K257" s="4">
        <v>3362807</v>
      </c>
    </row>
    <row r="258" spans="2:13" s="3" customFormat="1" x14ac:dyDescent="0.3">
      <c r="B258" s="44">
        <v>45920</v>
      </c>
      <c r="C258" s="3" t="s">
        <v>416</v>
      </c>
      <c r="D258" s="3" t="s">
        <v>67</v>
      </c>
      <c r="E258" s="42"/>
      <c r="F258" s="3" t="s">
        <v>472</v>
      </c>
      <c r="G258" s="3" t="s">
        <v>338</v>
      </c>
      <c r="H258" s="4">
        <v>3207307</v>
      </c>
      <c r="I258" s="4" t="s">
        <v>708</v>
      </c>
      <c r="J258" s="4" t="s">
        <v>339</v>
      </c>
      <c r="K258" s="4">
        <v>3204300</v>
      </c>
    </row>
    <row r="259" spans="2:13" s="3" customFormat="1" x14ac:dyDescent="0.3">
      <c r="B259" s="44">
        <v>45920</v>
      </c>
      <c r="C259" s="3" t="s">
        <v>416</v>
      </c>
      <c r="D259" s="3" t="s">
        <v>67</v>
      </c>
      <c r="E259" s="42"/>
      <c r="F259" s="3" t="s">
        <v>472</v>
      </c>
      <c r="G259" s="3" t="s">
        <v>374</v>
      </c>
      <c r="H259" s="4">
        <v>3207203</v>
      </c>
      <c r="I259" s="4" t="s">
        <v>672</v>
      </c>
      <c r="J259" s="4" t="s">
        <v>375</v>
      </c>
      <c r="K259" s="4">
        <v>3069209</v>
      </c>
    </row>
    <row r="260" spans="2:13" s="3" customFormat="1" x14ac:dyDescent="0.3">
      <c r="B260" s="44">
        <v>45920</v>
      </c>
      <c r="C260" s="3" t="s">
        <v>416</v>
      </c>
      <c r="D260" s="3" t="s">
        <v>498</v>
      </c>
      <c r="E260" s="42"/>
      <c r="F260" s="3" t="s">
        <v>472</v>
      </c>
      <c r="G260" s="3" t="s">
        <v>219</v>
      </c>
      <c r="H260" s="4">
        <v>3357608</v>
      </c>
      <c r="I260" s="3" t="s">
        <v>692</v>
      </c>
      <c r="J260" s="3" t="s">
        <v>223</v>
      </c>
      <c r="K260" s="4">
        <v>3348007</v>
      </c>
    </row>
    <row r="261" spans="2:13" s="3" customFormat="1" x14ac:dyDescent="0.3">
      <c r="B261" s="44">
        <v>45920</v>
      </c>
      <c r="C261" s="3" t="s">
        <v>416</v>
      </c>
      <c r="D261" s="3" t="s">
        <v>501</v>
      </c>
      <c r="E261" s="42"/>
      <c r="F261" s="3" t="s">
        <v>472</v>
      </c>
      <c r="G261" s="3" t="s">
        <v>578</v>
      </c>
      <c r="H261" s="4">
        <v>4022700</v>
      </c>
      <c r="I261" s="3" t="s">
        <v>662</v>
      </c>
      <c r="J261" s="3" t="s">
        <v>243</v>
      </c>
      <c r="K261" s="4">
        <v>3899907</v>
      </c>
      <c r="M261" s="51"/>
    </row>
    <row r="262" spans="2:13" s="3" customFormat="1" x14ac:dyDescent="0.3">
      <c r="B262" s="44">
        <v>45920</v>
      </c>
      <c r="C262" s="3" t="s">
        <v>416</v>
      </c>
      <c r="D262" s="3" t="s">
        <v>68</v>
      </c>
      <c r="E262" s="42"/>
      <c r="F262" s="3" t="s">
        <v>665</v>
      </c>
      <c r="G262" s="3" t="s">
        <v>457</v>
      </c>
      <c r="H262" s="4">
        <v>3818806</v>
      </c>
      <c r="I262" s="4" t="s">
        <v>671</v>
      </c>
      <c r="J262" s="4" t="s">
        <v>389</v>
      </c>
      <c r="K262" s="4">
        <v>3209201</v>
      </c>
    </row>
    <row r="263" spans="2:13" s="3" customFormat="1" x14ac:dyDescent="0.3">
      <c r="B263" s="44">
        <v>45920</v>
      </c>
      <c r="C263" s="3" t="s">
        <v>416</v>
      </c>
      <c r="D263" s="3" t="s">
        <v>499</v>
      </c>
      <c r="E263" s="42"/>
      <c r="F263" s="3" t="s">
        <v>665</v>
      </c>
      <c r="G263" s="3" t="s">
        <v>461</v>
      </c>
      <c r="H263" s="4">
        <v>3818702</v>
      </c>
      <c r="I263" s="3" t="s">
        <v>710</v>
      </c>
      <c r="J263" s="3" t="s">
        <v>230</v>
      </c>
      <c r="K263" s="4">
        <v>3900609</v>
      </c>
    </row>
    <row r="264" spans="2:13" s="3" customFormat="1" x14ac:dyDescent="0.3">
      <c r="B264" s="44">
        <v>45920</v>
      </c>
      <c r="C264" s="3" t="s">
        <v>416</v>
      </c>
      <c r="D264" s="3" t="s">
        <v>68</v>
      </c>
      <c r="E264" s="42"/>
      <c r="F264" s="3" t="s">
        <v>665</v>
      </c>
      <c r="G264" s="3" t="s">
        <v>627</v>
      </c>
      <c r="H264" s="4" t="s">
        <v>638</v>
      </c>
      <c r="I264" s="4" t="s">
        <v>570</v>
      </c>
      <c r="J264" s="4" t="s">
        <v>570</v>
      </c>
      <c r="K264" s="4" t="s">
        <v>556</v>
      </c>
    </row>
    <row r="265" spans="2:13" s="3" customFormat="1" x14ac:dyDescent="0.3">
      <c r="B265" s="44">
        <v>45920</v>
      </c>
      <c r="C265" s="3" t="s">
        <v>416</v>
      </c>
      <c r="D265" s="3" t="s">
        <v>57</v>
      </c>
      <c r="E265" s="42"/>
      <c r="F265" s="3" t="s">
        <v>693</v>
      </c>
      <c r="G265" s="3" t="s">
        <v>258</v>
      </c>
      <c r="H265" s="4">
        <v>3207109</v>
      </c>
      <c r="I265" s="32" t="s">
        <v>476</v>
      </c>
      <c r="J265" s="32" t="s">
        <v>249</v>
      </c>
      <c r="K265" s="15">
        <v>3038202</v>
      </c>
    </row>
    <row r="266" spans="2:13" s="3" customFormat="1" x14ac:dyDescent="0.3">
      <c r="B266" s="44">
        <v>45920</v>
      </c>
      <c r="C266" s="3" t="s">
        <v>416</v>
      </c>
      <c r="D266" s="3" t="s">
        <v>590</v>
      </c>
      <c r="E266" s="42"/>
      <c r="F266" s="3" t="s">
        <v>693</v>
      </c>
      <c r="G266" s="3" t="s">
        <v>322</v>
      </c>
      <c r="H266" s="4">
        <v>3207005</v>
      </c>
      <c r="I266" s="4" t="s">
        <v>474</v>
      </c>
      <c r="J266" s="4" t="s">
        <v>317</v>
      </c>
      <c r="K266" s="4">
        <v>3200700</v>
      </c>
    </row>
    <row r="267" spans="2:13" s="3" customFormat="1" x14ac:dyDescent="0.3">
      <c r="B267" s="44">
        <v>45920</v>
      </c>
      <c r="C267" s="3" t="s">
        <v>416</v>
      </c>
      <c r="D267" s="3" t="s">
        <v>489</v>
      </c>
      <c r="E267" s="4"/>
      <c r="F267" s="4" t="s">
        <v>476</v>
      </c>
      <c r="G267" s="4" t="s">
        <v>128</v>
      </c>
      <c r="H267" s="4">
        <v>3357202</v>
      </c>
      <c r="I267" s="4" t="s">
        <v>685</v>
      </c>
      <c r="J267" s="4" t="s">
        <v>160</v>
      </c>
      <c r="K267" s="4">
        <v>3353008</v>
      </c>
    </row>
    <row r="268" spans="2:13" s="3" customFormat="1" x14ac:dyDescent="0.3">
      <c r="B268" s="44">
        <v>45920</v>
      </c>
      <c r="C268" s="3" t="s">
        <v>416</v>
      </c>
      <c r="D268" s="3" t="s">
        <v>59</v>
      </c>
      <c r="E268" s="42"/>
      <c r="F268" s="3" t="s">
        <v>476</v>
      </c>
      <c r="G268" s="3" t="s">
        <v>274</v>
      </c>
      <c r="H268" s="4">
        <v>3206902</v>
      </c>
      <c r="I268" s="4" t="s">
        <v>656</v>
      </c>
      <c r="J268" s="4" t="s">
        <v>278</v>
      </c>
      <c r="K268" s="4">
        <v>3199800</v>
      </c>
    </row>
    <row r="269" spans="2:13" s="3" customFormat="1" x14ac:dyDescent="0.3">
      <c r="B269" s="44">
        <v>45920</v>
      </c>
      <c r="C269" s="3" t="s">
        <v>416</v>
      </c>
      <c r="D269" s="3" t="s">
        <v>490</v>
      </c>
      <c r="E269" s="4"/>
      <c r="F269" s="3" t="s">
        <v>476</v>
      </c>
      <c r="G269" s="3" t="s">
        <v>168</v>
      </c>
      <c r="H269" s="4">
        <v>3356505</v>
      </c>
      <c r="I269" s="4" t="s">
        <v>691</v>
      </c>
      <c r="J269" s="4" t="s">
        <v>142</v>
      </c>
      <c r="K269" s="4">
        <v>3350501</v>
      </c>
    </row>
    <row r="270" spans="2:13" s="3" customFormat="1" x14ac:dyDescent="0.3">
      <c r="B270" s="44">
        <v>45920</v>
      </c>
      <c r="C270" s="3" t="s">
        <v>416</v>
      </c>
      <c r="D270" s="3" t="s">
        <v>65</v>
      </c>
      <c r="E270" s="42"/>
      <c r="F270" s="3" t="s">
        <v>476</v>
      </c>
      <c r="G270" s="3" t="s">
        <v>358</v>
      </c>
      <c r="H270" s="4">
        <v>3206402</v>
      </c>
      <c r="I270" s="4" t="s">
        <v>655</v>
      </c>
      <c r="J270" s="4" t="s">
        <v>325</v>
      </c>
      <c r="K270" s="4">
        <v>3201501</v>
      </c>
    </row>
    <row r="271" spans="2:13" s="3" customFormat="1" x14ac:dyDescent="0.3">
      <c r="B271" s="44">
        <v>45920</v>
      </c>
      <c r="C271" s="3" t="s">
        <v>416</v>
      </c>
      <c r="D271" s="3" t="s">
        <v>497</v>
      </c>
      <c r="E271" s="42"/>
      <c r="F271" s="17" t="s">
        <v>476</v>
      </c>
      <c r="G271" s="17" t="s">
        <v>234</v>
      </c>
      <c r="H271" s="74">
        <v>3356807</v>
      </c>
      <c r="I271" s="17" t="s">
        <v>657</v>
      </c>
      <c r="J271" s="17" t="s">
        <v>213</v>
      </c>
      <c r="K271" s="74">
        <v>3359502</v>
      </c>
    </row>
    <row r="272" spans="2:13" s="3" customFormat="1" x14ac:dyDescent="0.3">
      <c r="B272" s="44">
        <v>45920</v>
      </c>
      <c r="C272" s="3" t="s">
        <v>416</v>
      </c>
      <c r="D272" s="3" t="s">
        <v>500</v>
      </c>
      <c r="E272" s="42"/>
      <c r="F272" s="3" t="s">
        <v>476</v>
      </c>
      <c r="G272" s="3" t="s">
        <v>575</v>
      </c>
      <c r="H272" s="4">
        <v>3900005</v>
      </c>
      <c r="I272" s="4" t="s">
        <v>701</v>
      </c>
      <c r="J272" s="4" t="s">
        <v>236</v>
      </c>
      <c r="K272" s="4">
        <v>3355704</v>
      </c>
    </row>
    <row r="273" spans="2:13" s="3" customFormat="1" x14ac:dyDescent="0.3">
      <c r="B273" s="44">
        <v>45920</v>
      </c>
      <c r="C273" s="3" t="s">
        <v>416</v>
      </c>
      <c r="D273" s="3" t="s">
        <v>492</v>
      </c>
      <c r="E273" s="42"/>
      <c r="F273" s="3" t="s">
        <v>666</v>
      </c>
      <c r="G273" s="3" t="s">
        <v>158</v>
      </c>
      <c r="H273" s="4">
        <v>3356901</v>
      </c>
      <c r="I273" s="4" t="s">
        <v>648</v>
      </c>
      <c r="J273" s="4" t="s">
        <v>201</v>
      </c>
      <c r="K273" s="4">
        <v>3362203</v>
      </c>
    </row>
    <row r="274" spans="2:13" s="3" customFormat="1" x14ac:dyDescent="0.3">
      <c r="B274" s="44">
        <v>45920</v>
      </c>
      <c r="C274" s="3" t="s">
        <v>416</v>
      </c>
      <c r="D274" s="3" t="s">
        <v>610</v>
      </c>
      <c r="E274" s="42"/>
      <c r="F274" s="3" t="s">
        <v>666</v>
      </c>
      <c r="G274" s="3" t="s">
        <v>348</v>
      </c>
      <c r="H274" s="4">
        <v>3205903</v>
      </c>
      <c r="I274" s="4" t="s">
        <v>716</v>
      </c>
      <c r="J274" s="4" t="s">
        <v>433</v>
      </c>
      <c r="K274" s="4">
        <v>3198905</v>
      </c>
    </row>
    <row r="275" spans="2:13" s="3" customFormat="1" x14ac:dyDescent="0.3">
      <c r="B275" s="44">
        <v>45920</v>
      </c>
      <c r="C275" s="3" t="s">
        <v>416</v>
      </c>
      <c r="D275" s="3" t="s">
        <v>495</v>
      </c>
      <c r="E275" s="42"/>
      <c r="F275" s="3" t="s">
        <v>666</v>
      </c>
      <c r="G275" s="3" t="s">
        <v>192</v>
      </c>
      <c r="H275" s="53">
        <v>3357004</v>
      </c>
      <c r="I275" s="3" t="s">
        <v>685</v>
      </c>
      <c r="J275" s="3" t="s">
        <v>196</v>
      </c>
      <c r="K275" s="4">
        <v>3353102</v>
      </c>
    </row>
    <row r="276" spans="2:13" s="3" customFormat="1" x14ac:dyDescent="0.3">
      <c r="B276" s="44">
        <v>45920</v>
      </c>
      <c r="C276" s="3" t="s">
        <v>416</v>
      </c>
      <c r="D276" s="3" t="s">
        <v>495</v>
      </c>
      <c r="E276" s="42"/>
      <c r="F276" s="3" t="s">
        <v>666</v>
      </c>
      <c r="G276" s="3" t="s">
        <v>193</v>
      </c>
      <c r="H276" s="4">
        <v>3357108</v>
      </c>
      <c r="I276" s="3" t="s">
        <v>673</v>
      </c>
      <c r="J276" s="3" t="s">
        <v>200</v>
      </c>
      <c r="K276" s="53">
        <v>3901004</v>
      </c>
    </row>
    <row r="277" spans="2:13" s="3" customFormat="1" x14ac:dyDescent="0.3">
      <c r="B277" s="44">
        <v>45920</v>
      </c>
      <c r="C277" s="3" t="s">
        <v>416</v>
      </c>
      <c r="D277" s="3" t="s">
        <v>57</v>
      </c>
      <c r="E277" s="42"/>
      <c r="F277" s="73" t="s">
        <v>478</v>
      </c>
      <c r="G277" s="73" t="s">
        <v>260</v>
      </c>
      <c r="H277" s="15">
        <v>3205705</v>
      </c>
      <c r="I277" s="4" t="s">
        <v>666</v>
      </c>
      <c r="J277" s="4" t="s">
        <v>259</v>
      </c>
      <c r="K277" s="4">
        <v>3205809</v>
      </c>
    </row>
    <row r="278" spans="2:13" s="3" customFormat="1" x14ac:dyDescent="0.3">
      <c r="B278" s="44">
        <v>45920</v>
      </c>
      <c r="C278" s="3" t="s">
        <v>416</v>
      </c>
      <c r="D278" s="3" t="s">
        <v>58</v>
      </c>
      <c r="E278" s="42"/>
      <c r="F278" s="32" t="s">
        <v>478</v>
      </c>
      <c r="G278" s="32" t="s">
        <v>267</v>
      </c>
      <c r="H278" s="15">
        <v>3205205</v>
      </c>
      <c r="I278" s="3" t="s">
        <v>690</v>
      </c>
      <c r="J278" s="3" t="s">
        <v>303</v>
      </c>
      <c r="K278" s="4">
        <v>3205101</v>
      </c>
    </row>
    <row r="279" spans="2:13" s="3" customFormat="1" x14ac:dyDescent="0.3">
      <c r="B279" s="44">
        <v>45920</v>
      </c>
      <c r="C279" s="3" t="s">
        <v>416</v>
      </c>
      <c r="D279" s="3" t="s">
        <v>63</v>
      </c>
      <c r="E279" s="42"/>
      <c r="F279" s="3" t="s">
        <v>478</v>
      </c>
      <c r="G279" s="3" t="s">
        <v>331</v>
      </c>
      <c r="H279" s="74">
        <v>3205403</v>
      </c>
      <c r="I279" s="3" t="s">
        <v>680</v>
      </c>
      <c r="J279" s="3" t="s">
        <v>329</v>
      </c>
      <c r="K279" s="74">
        <v>3208108</v>
      </c>
    </row>
    <row r="280" spans="2:13" s="3" customFormat="1" x14ac:dyDescent="0.3">
      <c r="B280" s="44">
        <v>45920</v>
      </c>
      <c r="C280" s="3" t="s">
        <v>416</v>
      </c>
      <c r="D280" s="3" t="s">
        <v>66</v>
      </c>
      <c r="E280" s="42"/>
      <c r="F280" s="3" t="s">
        <v>478</v>
      </c>
      <c r="G280" s="3" t="s">
        <v>604</v>
      </c>
      <c r="H280" s="74">
        <v>3205507</v>
      </c>
      <c r="I280" s="3" t="s">
        <v>709</v>
      </c>
      <c r="J280" s="3" t="s">
        <v>607</v>
      </c>
      <c r="K280" s="4">
        <v>3596309</v>
      </c>
    </row>
    <row r="281" spans="2:13" s="3" customFormat="1" x14ac:dyDescent="0.3">
      <c r="B281" s="44">
        <v>45920</v>
      </c>
      <c r="C281" s="3" t="s">
        <v>416</v>
      </c>
      <c r="D281" s="3" t="s">
        <v>56</v>
      </c>
      <c r="E281" s="42"/>
      <c r="F281" s="3" t="s">
        <v>690</v>
      </c>
      <c r="G281" s="3" t="s">
        <v>250</v>
      </c>
      <c r="H281" s="4">
        <v>3070100</v>
      </c>
      <c r="I281" s="4" t="s">
        <v>696</v>
      </c>
      <c r="J281" s="4" t="s">
        <v>261</v>
      </c>
      <c r="K281" s="4">
        <v>3202302</v>
      </c>
    </row>
    <row r="282" spans="2:13" s="3" customFormat="1" x14ac:dyDescent="0.3">
      <c r="B282" s="44">
        <v>45920</v>
      </c>
      <c r="C282" s="3" t="s">
        <v>416</v>
      </c>
      <c r="D282" s="3" t="s">
        <v>61</v>
      </c>
      <c r="E282" s="42"/>
      <c r="F282" s="3" t="s">
        <v>690</v>
      </c>
      <c r="G282" s="3" t="s">
        <v>304</v>
      </c>
      <c r="H282" s="4">
        <v>3204404</v>
      </c>
      <c r="I282" s="4" t="s">
        <v>477</v>
      </c>
      <c r="J282" s="4" t="s">
        <v>308</v>
      </c>
      <c r="K282" s="4">
        <v>3199300</v>
      </c>
    </row>
    <row r="283" spans="2:13" s="3" customFormat="1" x14ac:dyDescent="0.3">
      <c r="B283" s="44">
        <v>45920</v>
      </c>
      <c r="C283" s="3" t="s">
        <v>416</v>
      </c>
      <c r="D283" s="3" t="s">
        <v>65</v>
      </c>
      <c r="E283" s="42"/>
      <c r="F283" s="3" t="s">
        <v>718</v>
      </c>
      <c r="G283" s="3" t="s">
        <v>359</v>
      </c>
      <c r="H283" s="4">
        <v>3204602</v>
      </c>
      <c r="I283" s="4" t="s">
        <v>653</v>
      </c>
      <c r="J283" s="4" t="s">
        <v>451</v>
      </c>
      <c r="K283" s="4">
        <v>3211309</v>
      </c>
    </row>
    <row r="284" spans="2:13" s="3" customFormat="1" x14ac:dyDescent="0.3">
      <c r="B284" s="44">
        <v>45920</v>
      </c>
      <c r="C284" s="3" t="s">
        <v>416</v>
      </c>
      <c r="D284" s="3" t="s">
        <v>57</v>
      </c>
      <c r="E284" s="42"/>
      <c r="F284" s="3" t="s">
        <v>682</v>
      </c>
      <c r="G284" s="3" t="s">
        <v>584</v>
      </c>
      <c r="H284" s="4">
        <v>3069303</v>
      </c>
      <c r="I284" s="4" t="s">
        <v>647</v>
      </c>
      <c r="J284" s="4" t="s">
        <v>282</v>
      </c>
      <c r="K284" s="4">
        <v>3193900</v>
      </c>
    </row>
    <row r="285" spans="2:13" s="3" customFormat="1" x14ac:dyDescent="0.3">
      <c r="B285" s="44">
        <v>45920</v>
      </c>
      <c r="C285" s="3" t="s">
        <v>416</v>
      </c>
      <c r="D285" s="3" t="s">
        <v>489</v>
      </c>
      <c r="E285" s="4"/>
      <c r="F285" s="4" t="s">
        <v>682</v>
      </c>
      <c r="G285" s="4" t="s">
        <v>564</v>
      </c>
      <c r="H285" s="4">
        <v>3969804</v>
      </c>
      <c r="I285" s="3" t="s">
        <v>671</v>
      </c>
      <c r="J285" s="3" t="s">
        <v>156</v>
      </c>
      <c r="K285" s="4">
        <v>3359200</v>
      </c>
    </row>
    <row r="286" spans="2:13" s="3" customFormat="1" x14ac:dyDescent="0.3">
      <c r="B286" s="44">
        <v>45920</v>
      </c>
      <c r="C286" s="3" t="s">
        <v>416</v>
      </c>
      <c r="D286" s="3" t="s">
        <v>610</v>
      </c>
      <c r="E286" s="42"/>
      <c r="F286" s="3" t="s">
        <v>682</v>
      </c>
      <c r="G286" s="3" t="s">
        <v>611</v>
      </c>
      <c r="H286" s="4">
        <v>3204800</v>
      </c>
      <c r="I286" s="4" t="s">
        <v>714</v>
      </c>
      <c r="J286" s="4" t="s">
        <v>352</v>
      </c>
      <c r="K286" s="4">
        <v>3197208</v>
      </c>
    </row>
    <row r="287" spans="2:13" s="3" customFormat="1" x14ac:dyDescent="0.3">
      <c r="B287" s="44">
        <v>45920</v>
      </c>
      <c r="C287" s="3" t="s">
        <v>416</v>
      </c>
      <c r="D287" s="3" t="s">
        <v>501</v>
      </c>
      <c r="E287" s="42"/>
      <c r="F287" s="3" t="s">
        <v>682</v>
      </c>
      <c r="G287" s="3" t="s">
        <v>579</v>
      </c>
      <c r="H287" s="74">
        <v>3970007</v>
      </c>
      <c r="I287" s="3" t="s">
        <v>717</v>
      </c>
      <c r="J287" s="3" t="s">
        <v>583</v>
      </c>
      <c r="K287" s="4">
        <v>4022908</v>
      </c>
      <c r="M287" s="51"/>
    </row>
    <row r="288" spans="2:13" s="3" customFormat="1" x14ac:dyDescent="0.3">
      <c r="B288" s="44">
        <v>45920</v>
      </c>
      <c r="C288" s="3" t="s">
        <v>416</v>
      </c>
      <c r="D288" s="3" t="s">
        <v>592</v>
      </c>
      <c r="E288" s="42"/>
      <c r="F288" s="3" t="s">
        <v>682</v>
      </c>
      <c r="G288" s="3" t="s">
        <v>635</v>
      </c>
      <c r="H288" s="74">
        <v>3969700</v>
      </c>
      <c r="I288" s="3" t="s">
        <v>647</v>
      </c>
      <c r="J288" s="3" t="s">
        <v>405</v>
      </c>
      <c r="K288" s="74">
        <v>3901108</v>
      </c>
    </row>
    <row r="289" spans="1:43" s="3" customFormat="1" x14ac:dyDescent="0.3">
      <c r="B289" s="44">
        <v>45920</v>
      </c>
      <c r="C289" s="3" t="s">
        <v>416</v>
      </c>
      <c r="D289" s="3" t="s">
        <v>493</v>
      </c>
      <c r="E289" s="42"/>
      <c r="F289" s="3" t="s">
        <v>701</v>
      </c>
      <c r="G289" s="3" t="s">
        <v>171</v>
      </c>
      <c r="H289" s="4">
        <v>3355600</v>
      </c>
      <c r="I289" s="4" t="s">
        <v>676</v>
      </c>
      <c r="J289" s="4" t="s">
        <v>214</v>
      </c>
      <c r="K289" s="4">
        <v>3358805</v>
      </c>
    </row>
    <row r="290" spans="1:43" s="3" customFormat="1" x14ac:dyDescent="0.3">
      <c r="B290" s="44">
        <v>45920</v>
      </c>
      <c r="C290" s="3" t="s">
        <v>416</v>
      </c>
      <c r="D290" s="3" t="s">
        <v>62</v>
      </c>
      <c r="E290" s="42"/>
      <c r="F290" s="3" t="s">
        <v>701</v>
      </c>
      <c r="G290" s="3" t="s">
        <v>360</v>
      </c>
      <c r="H290" s="4">
        <v>3203801</v>
      </c>
      <c r="I290" s="3" t="s">
        <v>476</v>
      </c>
      <c r="J290" s="3" t="s">
        <v>323</v>
      </c>
      <c r="K290" s="4">
        <v>3206506</v>
      </c>
    </row>
    <row r="291" spans="1:43" s="3" customFormat="1" x14ac:dyDescent="0.3">
      <c r="B291" s="44">
        <v>45920</v>
      </c>
      <c r="C291" s="3" t="s">
        <v>416</v>
      </c>
      <c r="D291" s="3" t="s">
        <v>488</v>
      </c>
      <c r="E291" s="42"/>
      <c r="F291" s="3" t="s">
        <v>702</v>
      </c>
      <c r="G291" s="3" t="s">
        <v>119</v>
      </c>
      <c r="H291" s="4">
        <v>3067909</v>
      </c>
      <c r="I291" s="4" t="s">
        <v>697</v>
      </c>
      <c r="J291" s="4" t="s">
        <v>122</v>
      </c>
      <c r="K291" s="4">
        <v>3353800</v>
      </c>
    </row>
    <row r="292" spans="1:43" s="3" customFormat="1" x14ac:dyDescent="0.3">
      <c r="B292" s="44">
        <v>45920</v>
      </c>
      <c r="C292" s="3" t="s">
        <v>416</v>
      </c>
      <c r="D292" s="3" t="s">
        <v>58</v>
      </c>
      <c r="E292" s="42"/>
      <c r="F292" s="3" t="s">
        <v>702</v>
      </c>
      <c r="G292" s="3" t="s">
        <v>447</v>
      </c>
      <c r="H292" s="4">
        <v>3055207</v>
      </c>
      <c r="I292" s="3" t="s">
        <v>712</v>
      </c>
      <c r="J292" s="3" t="s">
        <v>270</v>
      </c>
      <c r="K292" s="4">
        <v>3069605</v>
      </c>
    </row>
    <row r="293" spans="1:43" s="3" customFormat="1" x14ac:dyDescent="0.3">
      <c r="B293" s="44">
        <v>45920</v>
      </c>
      <c r="C293" s="3" t="s">
        <v>416</v>
      </c>
      <c r="D293" s="3" t="s">
        <v>487</v>
      </c>
      <c r="E293" s="4"/>
      <c r="F293" s="3" t="s">
        <v>695</v>
      </c>
      <c r="G293" s="3" t="s">
        <v>101</v>
      </c>
      <c r="H293" s="4">
        <v>3067305</v>
      </c>
      <c r="I293" s="4" t="s">
        <v>471</v>
      </c>
      <c r="J293" s="4" t="s">
        <v>133</v>
      </c>
      <c r="K293" s="4">
        <v>3348705</v>
      </c>
    </row>
    <row r="294" spans="1:43" s="3" customFormat="1" x14ac:dyDescent="0.3">
      <c r="B294" s="44">
        <v>45920</v>
      </c>
      <c r="C294" s="3" t="s">
        <v>416</v>
      </c>
      <c r="D294" s="3" t="s">
        <v>491</v>
      </c>
      <c r="E294" s="42"/>
      <c r="F294" s="3" t="s">
        <v>695</v>
      </c>
      <c r="G294" s="3" t="s">
        <v>148</v>
      </c>
      <c r="H294" s="4">
        <v>3355402</v>
      </c>
      <c r="I294" s="4" t="s">
        <v>702</v>
      </c>
      <c r="J294" s="4" t="s">
        <v>180</v>
      </c>
      <c r="K294" s="4">
        <v>3355308</v>
      </c>
    </row>
    <row r="295" spans="1:43" s="3" customFormat="1" x14ac:dyDescent="0.3">
      <c r="B295" s="44">
        <v>45920</v>
      </c>
      <c r="C295" s="3" t="s">
        <v>416</v>
      </c>
      <c r="D295" s="3" t="s">
        <v>488</v>
      </c>
      <c r="E295" s="42"/>
      <c r="F295" s="3" t="s">
        <v>704</v>
      </c>
      <c r="G295" s="3" t="s">
        <v>120</v>
      </c>
      <c r="H295" s="4">
        <v>3355506</v>
      </c>
      <c r="I295" s="4" t="s">
        <v>695</v>
      </c>
      <c r="J295" s="4" t="s">
        <v>147</v>
      </c>
      <c r="K295" s="4">
        <v>3067409</v>
      </c>
    </row>
    <row r="296" spans="1:43" s="3" customFormat="1" x14ac:dyDescent="0.3">
      <c r="A296" s="4"/>
      <c r="B296" s="100">
        <v>45920</v>
      </c>
      <c r="C296" s="98" t="s">
        <v>553</v>
      </c>
      <c r="D296" s="4" t="s">
        <v>508</v>
      </c>
      <c r="E296" s="4"/>
      <c r="F296" s="73" t="s">
        <v>473</v>
      </c>
      <c r="G296" s="73" t="s">
        <v>473</v>
      </c>
      <c r="H296" s="73"/>
      <c r="I296" s="73" t="s">
        <v>509</v>
      </c>
      <c r="J296" s="73" t="s">
        <v>509</v>
      </c>
      <c r="K296" s="4" t="s">
        <v>418</v>
      </c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1:43" s="3" customFormat="1" x14ac:dyDescent="0.3">
      <c r="B297" s="44">
        <v>45920</v>
      </c>
      <c r="C297" s="3" t="s">
        <v>416</v>
      </c>
      <c r="D297" s="3" t="s">
        <v>494</v>
      </c>
      <c r="E297" s="42"/>
      <c r="F297" s="3" t="s">
        <v>708</v>
      </c>
      <c r="G297" s="3" t="s">
        <v>220</v>
      </c>
      <c r="H297" s="4">
        <v>3354809</v>
      </c>
      <c r="I297" s="4" t="s">
        <v>472</v>
      </c>
      <c r="J297" s="4" t="s">
        <v>186</v>
      </c>
      <c r="K297" s="4">
        <v>3357702</v>
      </c>
    </row>
    <row r="298" spans="1:43" s="3" customFormat="1" x14ac:dyDescent="0.3">
      <c r="B298" s="44">
        <v>45920</v>
      </c>
      <c r="C298" s="3" t="s">
        <v>416</v>
      </c>
      <c r="D298" s="3" t="s">
        <v>488</v>
      </c>
      <c r="E298" s="42"/>
      <c r="F298" s="3" t="s">
        <v>703</v>
      </c>
      <c r="G298" s="3" t="s">
        <v>560</v>
      </c>
      <c r="H298" s="4" t="s">
        <v>562</v>
      </c>
      <c r="I298" s="4" t="s">
        <v>698</v>
      </c>
      <c r="J298" s="4" t="s">
        <v>561</v>
      </c>
      <c r="K298" s="4" t="s">
        <v>563</v>
      </c>
    </row>
    <row r="299" spans="1:43" s="3" customFormat="1" x14ac:dyDescent="0.3">
      <c r="B299" s="44">
        <v>45920</v>
      </c>
      <c r="C299" s="3" t="s">
        <v>416</v>
      </c>
      <c r="D299" s="3" t="s">
        <v>57</v>
      </c>
      <c r="E299" s="42"/>
      <c r="F299" s="15" t="s">
        <v>703</v>
      </c>
      <c r="G299" s="15" t="s">
        <v>585</v>
      </c>
      <c r="H299" s="74" t="s">
        <v>556</v>
      </c>
      <c r="I299" s="4" t="s">
        <v>680</v>
      </c>
      <c r="J299" s="4" t="s">
        <v>266</v>
      </c>
      <c r="K299" s="4">
        <v>3208306</v>
      </c>
    </row>
    <row r="300" spans="1:43" s="3" customFormat="1" x14ac:dyDescent="0.3">
      <c r="B300" s="44">
        <v>45920</v>
      </c>
      <c r="C300" s="3" t="s">
        <v>416</v>
      </c>
      <c r="D300" s="3" t="s">
        <v>58</v>
      </c>
      <c r="E300" s="42"/>
      <c r="F300" s="3" t="s">
        <v>703</v>
      </c>
      <c r="G300" s="3" t="s">
        <v>586</v>
      </c>
      <c r="H300" s="4" t="s">
        <v>588</v>
      </c>
      <c r="I300" s="3" t="s">
        <v>721</v>
      </c>
      <c r="J300" s="3" t="s">
        <v>271</v>
      </c>
      <c r="K300" s="32">
        <v>3194701</v>
      </c>
    </row>
    <row r="301" spans="1:43" s="3" customFormat="1" x14ac:dyDescent="0.3">
      <c r="B301" s="44">
        <v>45920</v>
      </c>
      <c r="C301" s="3" t="s">
        <v>416</v>
      </c>
      <c r="D301" s="3" t="s">
        <v>61</v>
      </c>
      <c r="E301" s="42"/>
      <c r="F301" s="3" t="s">
        <v>703</v>
      </c>
      <c r="G301" s="3" t="s">
        <v>596</v>
      </c>
      <c r="H301" s="4" t="s">
        <v>556</v>
      </c>
      <c r="I301" s="4" t="s">
        <v>658</v>
      </c>
      <c r="J301" s="4" t="s">
        <v>301</v>
      </c>
      <c r="K301" s="4">
        <v>3210300</v>
      </c>
    </row>
    <row r="302" spans="1:43" s="3" customFormat="1" x14ac:dyDescent="0.3">
      <c r="B302" s="44">
        <v>45920</v>
      </c>
      <c r="C302" s="3" t="s">
        <v>416</v>
      </c>
      <c r="D302" s="3" t="s">
        <v>63</v>
      </c>
      <c r="E302" s="42"/>
      <c r="F302" s="3" t="s">
        <v>683</v>
      </c>
      <c r="G302" s="3" t="s">
        <v>368</v>
      </c>
      <c r="H302" s="74">
        <v>3203009</v>
      </c>
      <c r="I302" s="3" t="s">
        <v>697</v>
      </c>
      <c r="J302" s="3" t="s">
        <v>448</v>
      </c>
      <c r="K302" s="4">
        <v>3036808</v>
      </c>
    </row>
    <row r="303" spans="1:43" s="3" customFormat="1" x14ac:dyDescent="0.3">
      <c r="B303" s="44">
        <v>45920</v>
      </c>
      <c r="C303" s="3" t="s">
        <v>416</v>
      </c>
      <c r="D303" s="3" t="s">
        <v>487</v>
      </c>
      <c r="E303" s="4"/>
      <c r="F303" s="3" t="s">
        <v>709</v>
      </c>
      <c r="G303" s="3" t="s">
        <v>111</v>
      </c>
      <c r="H303" s="4">
        <v>3354601</v>
      </c>
      <c r="I303" s="4" t="s">
        <v>692</v>
      </c>
      <c r="J303" s="4" t="s">
        <v>115</v>
      </c>
      <c r="K303" s="4">
        <v>3068106</v>
      </c>
    </row>
    <row r="304" spans="1:43" s="3" customFormat="1" x14ac:dyDescent="0.3">
      <c r="B304" s="44">
        <v>45920</v>
      </c>
      <c r="C304" s="3" t="s">
        <v>416</v>
      </c>
      <c r="D304" s="3" t="s">
        <v>61</v>
      </c>
      <c r="E304" s="42"/>
      <c r="F304" s="3" t="s">
        <v>684</v>
      </c>
      <c r="G304" s="3" t="s">
        <v>306</v>
      </c>
      <c r="H304" s="4">
        <v>3202604</v>
      </c>
      <c r="I304" s="4" t="s">
        <v>478</v>
      </c>
      <c r="J304" s="4" t="s">
        <v>330</v>
      </c>
      <c r="K304" s="4">
        <v>3205309</v>
      </c>
    </row>
    <row r="305" spans="2:11" s="3" customFormat="1" x14ac:dyDescent="0.3">
      <c r="B305" s="44">
        <v>45920</v>
      </c>
      <c r="C305" s="3" t="s">
        <v>416</v>
      </c>
      <c r="D305" s="3" t="s">
        <v>491</v>
      </c>
      <c r="E305" s="42"/>
      <c r="F305" s="3" t="s">
        <v>684</v>
      </c>
      <c r="G305" s="3" t="s">
        <v>149</v>
      </c>
      <c r="H305" s="4">
        <v>3354507</v>
      </c>
      <c r="I305" s="3" t="s">
        <v>690</v>
      </c>
      <c r="J305" s="3" t="s">
        <v>179</v>
      </c>
      <c r="K305" s="4">
        <v>3818900</v>
      </c>
    </row>
    <row r="306" spans="2:11" s="3" customFormat="1" x14ac:dyDescent="0.3">
      <c r="B306" s="44">
        <v>45920</v>
      </c>
      <c r="C306" s="3" t="s">
        <v>416</v>
      </c>
      <c r="D306" s="3" t="s">
        <v>66</v>
      </c>
      <c r="E306" s="42"/>
      <c r="F306" s="3" t="s">
        <v>684</v>
      </c>
      <c r="G306" s="3" t="s">
        <v>608</v>
      </c>
      <c r="H306" s="74">
        <v>3819107</v>
      </c>
      <c r="I306" s="3" t="s">
        <v>703</v>
      </c>
      <c r="J306" s="3" t="s">
        <v>606</v>
      </c>
      <c r="K306" s="74" t="s">
        <v>588</v>
      </c>
    </row>
    <row r="307" spans="2:11" s="3" customFormat="1" x14ac:dyDescent="0.3">
      <c r="B307" s="44">
        <v>45920</v>
      </c>
      <c r="C307" s="3" t="s">
        <v>416</v>
      </c>
      <c r="D307" s="3" t="s">
        <v>491</v>
      </c>
      <c r="E307" s="42"/>
      <c r="F307" s="104" t="s">
        <v>684</v>
      </c>
      <c r="G307" s="104" t="s">
        <v>182</v>
      </c>
      <c r="H307" s="53">
        <v>3900203</v>
      </c>
      <c r="I307" s="4" t="s">
        <v>709</v>
      </c>
      <c r="J307" s="4" t="s">
        <v>566</v>
      </c>
      <c r="K307" s="4">
        <v>3560703</v>
      </c>
    </row>
    <row r="308" spans="2:11" s="3" customFormat="1" x14ac:dyDescent="0.3">
      <c r="B308" s="44">
        <v>45920</v>
      </c>
      <c r="C308" s="3" t="s">
        <v>416</v>
      </c>
      <c r="D308" s="3" t="s">
        <v>56</v>
      </c>
      <c r="E308" s="42"/>
      <c r="F308" s="3" t="s">
        <v>646</v>
      </c>
      <c r="G308" s="3" t="s">
        <v>251</v>
      </c>
      <c r="H308" s="4">
        <v>3036704</v>
      </c>
      <c r="I308" s="4" t="s">
        <v>471</v>
      </c>
      <c r="J308" s="4" t="s">
        <v>441</v>
      </c>
      <c r="K308" s="4">
        <v>3023409</v>
      </c>
    </row>
    <row r="309" spans="2:11" s="3" customFormat="1" x14ac:dyDescent="0.3">
      <c r="B309" s="44">
        <v>45920</v>
      </c>
      <c r="C309" s="3" t="s">
        <v>416</v>
      </c>
      <c r="D309" s="3" t="s">
        <v>492</v>
      </c>
      <c r="E309" s="42"/>
      <c r="F309" s="3" t="s">
        <v>646</v>
      </c>
      <c r="G309" s="3" t="s">
        <v>159</v>
      </c>
      <c r="H309" s="4">
        <v>3354403</v>
      </c>
      <c r="I309" s="4" t="s">
        <v>713</v>
      </c>
      <c r="J309" s="4" t="s">
        <v>165</v>
      </c>
      <c r="K309" s="4">
        <v>3349006</v>
      </c>
    </row>
    <row r="310" spans="2:11" s="3" customFormat="1" x14ac:dyDescent="0.3">
      <c r="B310" s="44">
        <v>45920</v>
      </c>
      <c r="C310" s="3" t="s">
        <v>416</v>
      </c>
      <c r="D310" s="3" t="s">
        <v>64</v>
      </c>
      <c r="E310" s="42">
        <v>4370907</v>
      </c>
      <c r="F310" s="3" t="s">
        <v>646</v>
      </c>
      <c r="G310" s="3" t="s">
        <v>349</v>
      </c>
      <c r="H310" s="4">
        <v>3202500</v>
      </c>
      <c r="I310" s="4" t="s">
        <v>717</v>
      </c>
      <c r="J310" s="4" t="s">
        <v>432</v>
      </c>
      <c r="K310" s="4">
        <v>3195106</v>
      </c>
    </row>
    <row r="311" spans="2:11" s="3" customFormat="1" x14ac:dyDescent="0.3">
      <c r="B311" s="44">
        <v>45920</v>
      </c>
      <c r="C311" s="3" t="s">
        <v>416</v>
      </c>
      <c r="D311" s="4" t="s">
        <v>614</v>
      </c>
      <c r="E311" s="42"/>
      <c r="F311" s="3" t="s">
        <v>646</v>
      </c>
      <c r="G311" s="3" t="s">
        <v>380</v>
      </c>
      <c r="H311" s="4">
        <v>3202208</v>
      </c>
      <c r="I311" s="4" t="s">
        <v>714</v>
      </c>
      <c r="J311" s="4" t="s">
        <v>454</v>
      </c>
      <c r="K311" s="4">
        <v>3820300</v>
      </c>
    </row>
    <row r="312" spans="2:11" s="3" customFormat="1" x14ac:dyDescent="0.3">
      <c r="B312" s="44">
        <v>45920</v>
      </c>
      <c r="C312" s="3" t="s">
        <v>416</v>
      </c>
      <c r="D312" s="3" t="s">
        <v>495</v>
      </c>
      <c r="E312" s="42"/>
      <c r="F312" s="3" t="s">
        <v>646</v>
      </c>
      <c r="G312" s="3" t="s">
        <v>195</v>
      </c>
      <c r="H312" s="74">
        <v>3361600</v>
      </c>
      <c r="I312" s="3" t="s">
        <v>570</v>
      </c>
      <c r="J312" s="3" t="s">
        <v>570</v>
      </c>
      <c r="K312" s="4" t="s">
        <v>556</v>
      </c>
    </row>
    <row r="313" spans="2:11" s="3" customFormat="1" x14ac:dyDescent="0.3">
      <c r="B313" s="44">
        <v>45920</v>
      </c>
      <c r="C313" s="3" t="s">
        <v>416</v>
      </c>
      <c r="D313" s="3" t="s">
        <v>61</v>
      </c>
      <c r="E313" s="42"/>
      <c r="F313" s="3" t="s">
        <v>696</v>
      </c>
      <c r="G313" s="3" t="s">
        <v>307</v>
      </c>
      <c r="H313" s="4">
        <v>3201907</v>
      </c>
      <c r="I313" s="3" t="s">
        <v>645</v>
      </c>
      <c r="J313" s="3" t="s">
        <v>309</v>
      </c>
      <c r="K313" s="4">
        <v>3082104</v>
      </c>
    </row>
    <row r="314" spans="2:11" s="3" customFormat="1" x14ac:dyDescent="0.3">
      <c r="B314" s="44">
        <v>45920</v>
      </c>
      <c r="C314" s="3" t="s">
        <v>416</v>
      </c>
      <c r="D314" s="3" t="s">
        <v>489</v>
      </c>
      <c r="E314" s="4"/>
      <c r="F314" s="3" t="s">
        <v>672</v>
      </c>
      <c r="G314" s="3" t="s">
        <v>129</v>
      </c>
      <c r="H314" s="4">
        <v>3067503</v>
      </c>
      <c r="I314" s="3" t="s">
        <v>662</v>
      </c>
      <c r="J314" s="3" t="s">
        <v>139</v>
      </c>
      <c r="K314" s="4">
        <v>3358305</v>
      </c>
    </row>
    <row r="315" spans="2:11" s="3" customFormat="1" x14ac:dyDescent="0.3">
      <c r="B315" s="44">
        <v>45920</v>
      </c>
      <c r="C315" s="3" t="s">
        <v>416</v>
      </c>
      <c r="D315" s="3" t="s">
        <v>56</v>
      </c>
      <c r="E315" s="42"/>
      <c r="F315" s="106" t="s">
        <v>672</v>
      </c>
      <c r="G315" s="106" t="s">
        <v>252</v>
      </c>
      <c r="H315" s="106">
        <v>3070204</v>
      </c>
      <c r="I315" s="4" t="s">
        <v>472</v>
      </c>
      <c r="J315" s="4" t="s">
        <v>248</v>
      </c>
      <c r="K315" s="4">
        <v>3207609</v>
      </c>
    </row>
    <row r="316" spans="2:11" s="3" customFormat="1" x14ac:dyDescent="0.3">
      <c r="B316" s="44">
        <v>45920</v>
      </c>
      <c r="C316" s="3" t="s">
        <v>416</v>
      </c>
      <c r="D316" s="3" t="s">
        <v>70</v>
      </c>
      <c r="E316" s="42"/>
      <c r="F316" s="3" t="s">
        <v>672</v>
      </c>
      <c r="G316" s="3" t="s">
        <v>401</v>
      </c>
      <c r="H316" s="4">
        <v>3202000</v>
      </c>
      <c r="I316" s="3" t="s">
        <v>662</v>
      </c>
      <c r="J316" s="3" t="s">
        <v>399</v>
      </c>
      <c r="K316" s="4">
        <v>3207401</v>
      </c>
    </row>
    <row r="317" spans="2:11" s="3" customFormat="1" x14ac:dyDescent="0.3">
      <c r="B317" s="44">
        <v>45920</v>
      </c>
      <c r="C317" s="3" t="s">
        <v>416</v>
      </c>
      <c r="D317" s="3" t="s">
        <v>58</v>
      </c>
      <c r="E317" s="42"/>
      <c r="F317" s="3" t="s">
        <v>697</v>
      </c>
      <c r="G317" s="3" t="s">
        <v>262</v>
      </c>
      <c r="H317" s="4">
        <v>3055405</v>
      </c>
      <c r="I317" s="3" t="s">
        <v>698</v>
      </c>
      <c r="J317" s="3" t="s">
        <v>587</v>
      </c>
      <c r="K317" s="32" t="s">
        <v>563</v>
      </c>
    </row>
    <row r="318" spans="2:11" s="3" customFormat="1" x14ac:dyDescent="0.3">
      <c r="B318" s="44">
        <v>45920</v>
      </c>
      <c r="C318" s="3" t="s">
        <v>416</v>
      </c>
      <c r="D318" s="3" t="s">
        <v>491</v>
      </c>
      <c r="E318" s="42"/>
      <c r="F318" s="3" t="s">
        <v>697</v>
      </c>
      <c r="G318" s="3" t="s">
        <v>150</v>
      </c>
      <c r="H318" s="4">
        <v>3353706</v>
      </c>
      <c r="I318" s="4" t="s">
        <v>680</v>
      </c>
      <c r="J318" s="4" t="s">
        <v>177</v>
      </c>
      <c r="K318" s="4">
        <v>3899709</v>
      </c>
    </row>
    <row r="319" spans="2:11" s="3" customFormat="1" x14ac:dyDescent="0.3">
      <c r="B319" s="44">
        <v>45920</v>
      </c>
      <c r="C319" s="3" t="s">
        <v>416</v>
      </c>
      <c r="D319" s="3" t="s">
        <v>62</v>
      </c>
      <c r="E319" s="42"/>
      <c r="F319" s="3" t="s">
        <v>694</v>
      </c>
      <c r="G319" s="3" t="s">
        <v>340</v>
      </c>
      <c r="H319" s="4">
        <v>3201803</v>
      </c>
      <c r="I319" s="4" t="s">
        <v>677</v>
      </c>
      <c r="J319" s="4" t="s">
        <v>324</v>
      </c>
      <c r="K319" s="4">
        <v>3201605</v>
      </c>
    </row>
    <row r="320" spans="2:11" s="3" customFormat="1" x14ac:dyDescent="0.3">
      <c r="B320" s="44">
        <v>45920</v>
      </c>
      <c r="C320" s="3" t="s">
        <v>416</v>
      </c>
      <c r="D320" s="3" t="s">
        <v>494</v>
      </c>
      <c r="E320" s="42"/>
      <c r="F320" s="3" t="s">
        <v>694</v>
      </c>
      <c r="G320" s="3" t="s">
        <v>221</v>
      </c>
      <c r="H320" s="4">
        <v>3353404</v>
      </c>
      <c r="I320" s="4" t="s">
        <v>708</v>
      </c>
      <c r="J320" s="4" t="s">
        <v>141</v>
      </c>
      <c r="K320" s="4">
        <v>3125802</v>
      </c>
    </row>
    <row r="321" spans="2:14" s="3" customFormat="1" x14ac:dyDescent="0.3">
      <c r="B321" s="44">
        <v>45920</v>
      </c>
      <c r="C321" s="3" t="s">
        <v>416</v>
      </c>
      <c r="D321" s="3" t="s">
        <v>69</v>
      </c>
      <c r="E321" s="42"/>
      <c r="F321" s="3" t="s">
        <v>694</v>
      </c>
      <c r="G321" s="3" t="s">
        <v>376</v>
      </c>
      <c r="H321" s="74">
        <v>3201303</v>
      </c>
      <c r="I321" s="3" t="s">
        <v>694</v>
      </c>
      <c r="J321" s="3" t="s">
        <v>402</v>
      </c>
      <c r="K321" s="4">
        <v>3201407</v>
      </c>
    </row>
    <row r="322" spans="2:14" s="3" customFormat="1" x14ac:dyDescent="0.3">
      <c r="B322" s="44">
        <v>45920</v>
      </c>
      <c r="C322" s="3" t="s">
        <v>416</v>
      </c>
      <c r="D322" s="3" t="s">
        <v>498</v>
      </c>
      <c r="E322" s="42"/>
      <c r="F322" s="3" t="s">
        <v>694</v>
      </c>
      <c r="G322" s="3" t="s">
        <v>245</v>
      </c>
      <c r="H322" s="4">
        <v>3352905</v>
      </c>
      <c r="I322" s="3" t="s">
        <v>472</v>
      </c>
      <c r="J322" s="3" t="s">
        <v>244</v>
      </c>
      <c r="K322" s="4">
        <v>3357504</v>
      </c>
    </row>
    <row r="323" spans="2:14" s="3" customFormat="1" x14ac:dyDescent="0.3">
      <c r="B323" s="44">
        <v>45920</v>
      </c>
      <c r="C323" s="3" t="s">
        <v>416</v>
      </c>
      <c r="D323" s="3" t="s">
        <v>593</v>
      </c>
      <c r="E323" s="42"/>
      <c r="F323" s="3" t="s">
        <v>694</v>
      </c>
      <c r="G323" s="3" t="s">
        <v>632</v>
      </c>
      <c r="H323" s="4">
        <v>4023303</v>
      </c>
      <c r="I323" s="4" t="s">
        <v>701</v>
      </c>
      <c r="J323" s="4" t="s">
        <v>631</v>
      </c>
      <c r="K323" s="4">
        <v>4023209</v>
      </c>
    </row>
    <row r="324" spans="2:14" s="3" customFormat="1" x14ac:dyDescent="0.3">
      <c r="B324" s="44">
        <v>45920</v>
      </c>
      <c r="C324" s="3" t="s">
        <v>416</v>
      </c>
      <c r="D324" s="3" t="s">
        <v>59</v>
      </c>
      <c r="E324" s="42"/>
      <c r="F324" s="3" t="s">
        <v>655</v>
      </c>
      <c r="G324" s="3" t="s">
        <v>288</v>
      </c>
      <c r="H324" s="4">
        <v>3200908</v>
      </c>
      <c r="I324" s="4" t="s">
        <v>661</v>
      </c>
      <c r="J324" s="4" t="s">
        <v>641</v>
      </c>
      <c r="K324" s="4">
        <v>3055707</v>
      </c>
    </row>
    <row r="325" spans="2:14" s="3" customFormat="1" x14ac:dyDescent="0.3">
      <c r="B325" s="44">
        <v>45920</v>
      </c>
      <c r="C325" s="3" t="s">
        <v>416</v>
      </c>
      <c r="D325" s="3" t="s">
        <v>69</v>
      </c>
      <c r="E325" s="42"/>
      <c r="F325" s="3" t="s">
        <v>655</v>
      </c>
      <c r="G325" s="3" t="s">
        <v>394</v>
      </c>
      <c r="H325" s="4">
        <v>3201105</v>
      </c>
      <c r="I325" s="3" t="s">
        <v>681</v>
      </c>
      <c r="J325" s="3" t="s">
        <v>365</v>
      </c>
      <c r="K325" s="4">
        <v>3195804</v>
      </c>
    </row>
    <row r="326" spans="2:14" s="3" customFormat="1" x14ac:dyDescent="0.3">
      <c r="B326" s="44">
        <v>45920</v>
      </c>
      <c r="C326" s="3" t="s">
        <v>416</v>
      </c>
      <c r="D326" s="3" t="s">
        <v>610</v>
      </c>
      <c r="E326" s="42"/>
      <c r="F326" s="3" t="s">
        <v>711</v>
      </c>
      <c r="G326" s="3" t="s">
        <v>381</v>
      </c>
      <c r="H326" s="4">
        <v>3201209</v>
      </c>
      <c r="I326" s="4" t="s">
        <v>652</v>
      </c>
      <c r="J326" s="4" t="s">
        <v>347</v>
      </c>
      <c r="K326" s="4">
        <v>3818504</v>
      </c>
    </row>
    <row r="327" spans="2:14" s="3" customFormat="1" x14ac:dyDescent="0.3">
      <c r="B327" s="44">
        <v>45920</v>
      </c>
      <c r="C327" s="3" t="s">
        <v>416</v>
      </c>
      <c r="D327" s="3" t="s">
        <v>610</v>
      </c>
      <c r="E327" s="42"/>
      <c r="F327" s="3" t="s">
        <v>685</v>
      </c>
      <c r="G327" s="3" t="s">
        <v>382</v>
      </c>
      <c r="H327" s="4">
        <v>3200804</v>
      </c>
      <c r="I327" s="4" t="s">
        <v>675</v>
      </c>
      <c r="J327" s="4" t="s">
        <v>450</v>
      </c>
      <c r="K327" s="4">
        <v>3198405</v>
      </c>
    </row>
    <row r="328" spans="2:14" s="3" customFormat="1" x14ac:dyDescent="0.3">
      <c r="B328" s="44">
        <v>45920</v>
      </c>
      <c r="C328" s="3" t="s">
        <v>416</v>
      </c>
      <c r="D328" s="3" t="s">
        <v>495</v>
      </c>
      <c r="E328" s="42"/>
      <c r="F328" s="3" t="s">
        <v>685</v>
      </c>
      <c r="G328" s="3" t="s">
        <v>197</v>
      </c>
      <c r="H328" s="4">
        <v>3353300</v>
      </c>
      <c r="I328" s="3" t="s">
        <v>712</v>
      </c>
      <c r="J328" s="3" t="s">
        <v>164</v>
      </c>
      <c r="K328" s="4">
        <v>3349402</v>
      </c>
    </row>
    <row r="329" spans="2:14" s="3" customFormat="1" x14ac:dyDescent="0.3">
      <c r="B329" s="44">
        <v>45920</v>
      </c>
      <c r="C329" s="3" t="s">
        <v>416</v>
      </c>
      <c r="D329" s="3" t="s">
        <v>486</v>
      </c>
      <c r="E329" s="42"/>
      <c r="F329" s="3" t="s">
        <v>474</v>
      </c>
      <c r="G329" s="3" t="s">
        <v>103</v>
      </c>
      <c r="H329" s="4">
        <v>3353206</v>
      </c>
      <c r="I329" s="4" t="s">
        <v>680</v>
      </c>
      <c r="J329" s="4" t="s">
        <v>98</v>
      </c>
      <c r="K329" s="4">
        <v>3358909</v>
      </c>
    </row>
    <row r="330" spans="2:14" s="3" customFormat="1" x14ac:dyDescent="0.3">
      <c r="B330" s="44">
        <v>45920</v>
      </c>
      <c r="C330" s="3" t="s">
        <v>416</v>
      </c>
      <c r="D330" s="3" t="s">
        <v>489</v>
      </c>
      <c r="E330" s="4"/>
      <c r="F330" s="4" t="s">
        <v>474</v>
      </c>
      <c r="G330" s="4" t="s">
        <v>130</v>
      </c>
      <c r="H330" s="4">
        <v>3352405</v>
      </c>
      <c r="I330" s="3" t="s">
        <v>650</v>
      </c>
      <c r="J330" s="3" t="s">
        <v>163</v>
      </c>
      <c r="K330" s="4">
        <v>3351802</v>
      </c>
    </row>
    <row r="331" spans="2:14" s="3" customFormat="1" x14ac:dyDescent="0.3">
      <c r="B331" s="44">
        <v>45920</v>
      </c>
      <c r="C331" s="3" t="s">
        <v>416</v>
      </c>
      <c r="D331" s="3" t="s">
        <v>610</v>
      </c>
      <c r="E331" s="42"/>
      <c r="F331" s="3" t="s">
        <v>474</v>
      </c>
      <c r="G331" s="3" t="s">
        <v>458</v>
      </c>
      <c r="H331" s="4">
        <v>3200304</v>
      </c>
      <c r="I331" s="4" t="s">
        <v>685</v>
      </c>
      <c r="J331" s="4" t="s">
        <v>351</v>
      </c>
      <c r="K331" s="4">
        <v>3201001</v>
      </c>
    </row>
    <row r="332" spans="2:14" s="3" customFormat="1" x14ac:dyDescent="0.3">
      <c r="B332" s="44">
        <v>45920</v>
      </c>
      <c r="C332" s="3" t="s">
        <v>416</v>
      </c>
      <c r="D332" s="3" t="s">
        <v>492</v>
      </c>
      <c r="E332" s="42"/>
      <c r="F332" s="3" t="s">
        <v>474</v>
      </c>
      <c r="G332" s="3" t="s">
        <v>161</v>
      </c>
      <c r="H332" s="4">
        <v>3352509</v>
      </c>
      <c r="I332" s="4" t="s">
        <v>652</v>
      </c>
      <c r="J332" s="4" t="s">
        <v>157</v>
      </c>
      <c r="K332" s="4">
        <v>3358503</v>
      </c>
    </row>
    <row r="333" spans="2:14" s="3" customFormat="1" x14ac:dyDescent="0.3">
      <c r="B333" s="44">
        <v>45920</v>
      </c>
      <c r="C333" s="3" t="s">
        <v>416</v>
      </c>
      <c r="D333" s="3" t="s">
        <v>68</v>
      </c>
      <c r="E333" s="42"/>
      <c r="F333" s="3" t="s">
        <v>474</v>
      </c>
      <c r="G333" s="3" t="s">
        <v>383</v>
      </c>
      <c r="H333" s="4">
        <v>3200502</v>
      </c>
      <c r="I333" s="4" t="s">
        <v>686</v>
      </c>
      <c r="J333" s="4" t="s">
        <v>626</v>
      </c>
      <c r="K333" s="4" t="s">
        <v>637</v>
      </c>
    </row>
    <row r="334" spans="2:14" s="3" customFormat="1" x14ac:dyDescent="0.3">
      <c r="B334" s="44">
        <v>45920</v>
      </c>
      <c r="C334" s="3" t="s">
        <v>416</v>
      </c>
      <c r="D334" s="3" t="s">
        <v>492</v>
      </c>
      <c r="E334" s="42"/>
      <c r="F334" s="3" t="s">
        <v>714</v>
      </c>
      <c r="G334" s="3" t="s">
        <v>162</v>
      </c>
      <c r="H334" s="4">
        <v>3348903</v>
      </c>
      <c r="I334" s="4" t="s">
        <v>673</v>
      </c>
      <c r="J334" s="4" t="s">
        <v>134</v>
      </c>
      <c r="K334" s="4">
        <v>3347102</v>
      </c>
    </row>
    <row r="335" spans="2:14" s="3" customFormat="1" x14ac:dyDescent="0.3">
      <c r="B335" s="44">
        <v>45920</v>
      </c>
      <c r="C335" s="3" t="s">
        <v>416</v>
      </c>
      <c r="D335" s="3" t="s">
        <v>610</v>
      </c>
      <c r="E335" s="42"/>
      <c r="F335" s="3" t="s">
        <v>650</v>
      </c>
      <c r="G335" s="3" t="s">
        <v>353</v>
      </c>
      <c r="H335" s="4">
        <v>3200200</v>
      </c>
      <c r="I335" s="4" t="s">
        <v>646</v>
      </c>
      <c r="J335" s="4" t="s">
        <v>350</v>
      </c>
      <c r="K335" s="4">
        <v>3202802</v>
      </c>
    </row>
    <row r="336" spans="2:14" s="3" customFormat="1" x14ac:dyDescent="0.3">
      <c r="B336" s="44">
        <v>45920</v>
      </c>
      <c r="C336" s="3" t="s">
        <v>416</v>
      </c>
      <c r="D336" s="3" t="s">
        <v>499</v>
      </c>
      <c r="E336" s="42"/>
      <c r="F336" s="3" t="s">
        <v>650</v>
      </c>
      <c r="G336" s="3" t="s">
        <v>571</v>
      </c>
      <c r="H336" s="4">
        <v>3900505</v>
      </c>
      <c r="I336" s="3" t="s">
        <v>723</v>
      </c>
      <c r="J336" s="3" t="s">
        <v>599</v>
      </c>
      <c r="K336" s="4" t="s">
        <v>556</v>
      </c>
      <c r="M336" s="3" t="s">
        <v>571</v>
      </c>
      <c r="N336" s="3" t="s">
        <v>598</v>
      </c>
    </row>
    <row r="337" spans="1:43" s="3" customFormat="1" x14ac:dyDescent="0.3">
      <c r="B337" s="44">
        <v>45920</v>
      </c>
      <c r="C337" s="3" t="s">
        <v>416</v>
      </c>
      <c r="D337" s="3" t="s">
        <v>68</v>
      </c>
      <c r="E337" s="42"/>
      <c r="F337" s="3" t="s">
        <v>650</v>
      </c>
      <c r="G337" s="3" t="s">
        <v>390</v>
      </c>
      <c r="H337" s="4">
        <v>3544509</v>
      </c>
      <c r="I337" s="15" t="s">
        <v>664</v>
      </c>
      <c r="J337" s="15" t="s">
        <v>388</v>
      </c>
      <c r="K337" s="74">
        <v>3165306</v>
      </c>
    </row>
    <row r="338" spans="1:43" s="3" customFormat="1" x14ac:dyDescent="0.3">
      <c r="B338" s="44">
        <v>45920</v>
      </c>
      <c r="C338" s="3" t="s">
        <v>416</v>
      </c>
      <c r="D338" s="3" t="s">
        <v>65</v>
      </c>
      <c r="E338" s="42"/>
      <c r="F338" s="3" t="s">
        <v>656</v>
      </c>
      <c r="G338" s="3" t="s">
        <v>326</v>
      </c>
      <c r="H338" s="4">
        <v>3199904</v>
      </c>
      <c r="I338" s="15" t="s">
        <v>691</v>
      </c>
      <c r="J338" s="15" t="s">
        <v>327</v>
      </c>
      <c r="K338" s="74">
        <v>3198603</v>
      </c>
    </row>
    <row r="339" spans="1:43" s="3" customFormat="1" x14ac:dyDescent="0.3">
      <c r="B339" s="44">
        <v>45920</v>
      </c>
      <c r="C339" s="3" t="s">
        <v>416</v>
      </c>
      <c r="D339" s="3" t="s">
        <v>59</v>
      </c>
      <c r="E339" s="42"/>
      <c r="F339" s="3" t="s">
        <v>710</v>
      </c>
      <c r="G339" s="3" t="s">
        <v>279</v>
      </c>
      <c r="H339" s="4">
        <v>3199706</v>
      </c>
      <c r="I339" s="4" t="s">
        <v>687</v>
      </c>
      <c r="J339" s="4" t="s">
        <v>283</v>
      </c>
      <c r="K339" s="4">
        <v>3194107</v>
      </c>
    </row>
    <row r="340" spans="1:43" s="3" customFormat="1" x14ac:dyDescent="0.3">
      <c r="B340" s="44">
        <v>45920</v>
      </c>
      <c r="C340" s="3" t="s">
        <v>416</v>
      </c>
      <c r="D340" s="3" t="s">
        <v>64</v>
      </c>
      <c r="E340" s="42">
        <v>4370907</v>
      </c>
      <c r="F340" s="3" t="s">
        <v>710</v>
      </c>
      <c r="G340" s="3" t="s">
        <v>354</v>
      </c>
      <c r="H340" s="4">
        <v>3199404</v>
      </c>
      <c r="I340" s="4" t="s">
        <v>662</v>
      </c>
      <c r="J340" s="4" t="s">
        <v>372</v>
      </c>
      <c r="K340" s="4">
        <v>3207703</v>
      </c>
    </row>
    <row r="341" spans="1:43" s="3" customFormat="1" x14ac:dyDescent="0.3">
      <c r="B341" s="44">
        <v>45920</v>
      </c>
      <c r="C341" s="3" t="s">
        <v>416</v>
      </c>
      <c r="D341" s="3" t="s">
        <v>496</v>
      </c>
      <c r="E341" s="42"/>
      <c r="F341" s="3" t="s">
        <v>710</v>
      </c>
      <c r="G341" s="3" t="s">
        <v>462</v>
      </c>
      <c r="H341" s="4">
        <v>3352207</v>
      </c>
      <c r="I341" s="4" t="s">
        <v>474</v>
      </c>
      <c r="J341" s="4" t="s">
        <v>426</v>
      </c>
      <c r="K341" s="4">
        <v>3352603</v>
      </c>
    </row>
    <row r="342" spans="1:43" s="3" customFormat="1" x14ac:dyDescent="0.3">
      <c r="A342" s="4"/>
      <c r="B342" s="100">
        <v>45920</v>
      </c>
      <c r="C342" s="98" t="s">
        <v>553</v>
      </c>
      <c r="D342" s="4" t="s">
        <v>512</v>
      </c>
      <c r="E342" s="4"/>
      <c r="F342" s="73" t="s">
        <v>477</v>
      </c>
      <c r="G342" s="73" t="s">
        <v>477</v>
      </c>
      <c r="H342" s="73"/>
      <c r="I342" s="73" t="s">
        <v>513</v>
      </c>
      <c r="J342" s="73" t="s">
        <v>513</v>
      </c>
      <c r="K342" s="4" t="s">
        <v>418</v>
      </c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spans="1:43" s="3" customFormat="1" x14ac:dyDescent="0.3">
      <c r="B343" s="44">
        <v>45920</v>
      </c>
      <c r="C343" s="3" t="s">
        <v>416</v>
      </c>
      <c r="D343" s="3" t="s">
        <v>58</v>
      </c>
      <c r="E343" s="42"/>
      <c r="F343" s="3" t="s">
        <v>706</v>
      </c>
      <c r="G343" s="3" t="s">
        <v>269</v>
      </c>
      <c r="H343" s="4">
        <v>3069407</v>
      </c>
      <c r="I343" s="3" t="s">
        <v>704</v>
      </c>
      <c r="J343" s="3" t="s">
        <v>297</v>
      </c>
      <c r="K343" s="32">
        <v>3204008</v>
      </c>
    </row>
    <row r="344" spans="1:43" s="3" customFormat="1" x14ac:dyDescent="0.3">
      <c r="B344" s="44">
        <v>45920</v>
      </c>
      <c r="C344" s="3" t="s">
        <v>416</v>
      </c>
      <c r="D344" s="3" t="s">
        <v>60</v>
      </c>
      <c r="E344" s="42"/>
      <c r="F344" s="3" t="s">
        <v>706</v>
      </c>
      <c r="G344" s="3" t="s">
        <v>299</v>
      </c>
      <c r="H344" s="4">
        <v>3199102</v>
      </c>
      <c r="I344" s="3" t="s">
        <v>721</v>
      </c>
      <c r="J344" s="3" t="s">
        <v>300</v>
      </c>
      <c r="K344" s="32">
        <v>3194805</v>
      </c>
    </row>
    <row r="345" spans="1:43" s="3" customFormat="1" x14ac:dyDescent="0.3">
      <c r="B345" s="44">
        <v>45920</v>
      </c>
      <c r="C345" s="3" t="s">
        <v>416</v>
      </c>
      <c r="D345" s="3" t="s">
        <v>504</v>
      </c>
      <c r="E345" s="42"/>
      <c r="F345" s="3" t="s">
        <v>645</v>
      </c>
      <c r="G345" s="3" t="s">
        <v>37</v>
      </c>
      <c r="H345" s="4">
        <v>3029903</v>
      </c>
      <c r="I345" s="4" t="s">
        <v>476</v>
      </c>
      <c r="J345" s="4" t="s">
        <v>100</v>
      </c>
      <c r="K345" s="4">
        <v>3125302</v>
      </c>
    </row>
    <row r="346" spans="1:43" s="3" customFormat="1" x14ac:dyDescent="0.3">
      <c r="B346" s="44">
        <v>45920</v>
      </c>
      <c r="C346" s="3" t="s">
        <v>416</v>
      </c>
      <c r="D346" s="3" t="s">
        <v>57</v>
      </c>
      <c r="E346" s="42"/>
      <c r="F346" s="3" t="s">
        <v>645</v>
      </c>
      <c r="G346" s="3" t="s">
        <v>263</v>
      </c>
      <c r="H346" s="4">
        <v>3198707</v>
      </c>
      <c r="I346" s="74" t="s">
        <v>694</v>
      </c>
      <c r="J346" s="74" t="s">
        <v>276</v>
      </c>
      <c r="K346" s="74">
        <v>3201709</v>
      </c>
    </row>
    <row r="347" spans="1:43" s="3" customFormat="1" x14ac:dyDescent="0.3">
      <c r="B347" s="44">
        <v>45920</v>
      </c>
      <c r="C347" s="3" t="s">
        <v>416</v>
      </c>
      <c r="D347" s="3" t="s">
        <v>487</v>
      </c>
      <c r="E347" s="4"/>
      <c r="F347" s="4" t="s">
        <v>645</v>
      </c>
      <c r="G347" s="4" t="s">
        <v>114</v>
      </c>
      <c r="H347" s="4">
        <v>3351000</v>
      </c>
      <c r="I347" s="4" t="s">
        <v>657</v>
      </c>
      <c r="J347" s="4" t="s">
        <v>107</v>
      </c>
      <c r="K347" s="4">
        <v>3068408</v>
      </c>
    </row>
    <row r="348" spans="1:43" s="3" customFormat="1" x14ac:dyDescent="0.3">
      <c r="B348" s="44">
        <v>45920</v>
      </c>
      <c r="C348" s="3" t="s">
        <v>416</v>
      </c>
      <c r="D348" s="3" t="s">
        <v>63</v>
      </c>
      <c r="E348" s="42"/>
      <c r="F348" s="104" t="s">
        <v>645</v>
      </c>
      <c r="G348" s="104" t="s">
        <v>333</v>
      </c>
      <c r="H348" s="74">
        <v>3198801</v>
      </c>
      <c r="I348" s="3" t="s">
        <v>658</v>
      </c>
      <c r="J348" s="3" t="s">
        <v>366</v>
      </c>
      <c r="K348" s="74">
        <v>3210404</v>
      </c>
    </row>
    <row r="349" spans="1:43" s="3" customFormat="1" x14ac:dyDescent="0.3">
      <c r="B349" s="44">
        <v>45920</v>
      </c>
      <c r="C349" s="3" t="s">
        <v>416</v>
      </c>
      <c r="D349" s="3" t="s">
        <v>488</v>
      </c>
      <c r="E349" s="42"/>
      <c r="F349" s="3" t="s">
        <v>645</v>
      </c>
      <c r="G349" s="3" t="s">
        <v>123</v>
      </c>
      <c r="H349" s="4">
        <v>3351104</v>
      </c>
      <c r="I349" s="4" t="s">
        <v>645</v>
      </c>
      <c r="J349" s="4" t="s">
        <v>151</v>
      </c>
      <c r="K349" s="4">
        <v>3351208</v>
      </c>
    </row>
    <row r="350" spans="1:43" s="3" customFormat="1" x14ac:dyDescent="0.3">
      <c r="B350" s="44">
        <v>45920</v>
      </c>
      <c r="C350" s="3" t="s">
        <v>416</v>
      </c>
      <c r="D350" s="3" t="s">
        <v>491</v>
      </c>
      <c r="E350" s="42"/>
      <c r="F350" s="3" t="s">
        <v>645</v>
      </c>
      <c r="G350" s="3" t="s">
        <v>152</v>
      </c>
      <c r="H350" s="4">
        <v>3351302</v>
      </c>
      <c r="I350" s="4" t="s">
        <v>645</v>
      </c>
      <c r="J350" s="4" t="s">
        <v>464</v>
      </c>
      <c r="K350" s="4">
        <v>3351406</v>
      </c>
    </row>
    <row r="351" spans="1:43" s="3" customFormat="1" x14ac:dyDescent="0.3">
      <c r="B351" s="44">
        <v>45920</v>
      </c>
      <c r="C351" s="3" t="s">
        <v>416</v>
      </c>
      <c r="D351" s="3" t="s">
        <v>65</v>
      </c>
      <c r="E351" s="42"/>
      <c r="F351" s="3" t="s">
        <v>678</v>
      </c>
      <c r="G351" s="3" t="s">
        <v>452</v>
      </c>
      <c r="H351" s="4">
        <v>3198207</v>
      </c>
      <c r="I351" s="4" t="s">
        <v>479</v>
      </c>
      <c r="J351" s="4" t="s">
        <v>320</v>
      </c>
      <c r="K351" s="4">
        <v>3210602</v>
      </c>
    </row>
    <row r="352" spans="1:43" s="3" customFormat="1" x14ac:dyDescent="0.3">
      <c r="B352" s="44">
        <v>45920</v>
      </c>
      <c r="C352" s="3" t="s">
        <v>416</v>
      </c>
      <c r="D352" s="3" t="s">
        <v>497</v>
      </c>
      <c r="E352" s="42"/>
      <c r="F352" s="3" t="s">
        <v>678</v>
      </c>
      <c r="G352" s="3" t="s">
        <v>172</v>
      </c>
      <c r="H352" s="74">
        <v>3350709</v>
      </c>
      <c r="I352" s="17" t="s">
        <v>691</v>
      </c>
      <c r="J352" s="17" t="s">
        <v>215</v>
      </c>
      <c r="K352" s="74">
        <v>3350407</v>
      </c>
    </row>
    <row r="353" spans="1:43" s="3" customFormat="1" x14ac:dyDescent="0.3">
      <c r="B353" s="44">
        <v>45920</v>
      </c>
      <c r="C353" s="3" t="s">
        <v>416</v>
      </c>
      <c r="D353" s="3" t="s">
        <v>496</v>
      </c>
      <c r="E353" s="42"/>
      <c r="F353" s="3" t="s">
        <v>675</v>
      </c>
      <c r="G353" s="3" t="s">
        <v>198</v>
      </c>
      <c r="H353" s="4">
        <v>3350803</v>
      </c>
      <c r="I353" s="4" t="s">
        <v>687</v>
      </c>
      <c r="J353" s="4" t="s">
        <v>207</v>
      </c>
      <c r="K353" s="4">
        <v>3346801</v>
      </c>
    </row>
    <row r="354" spans="1:43" s="3" customFormat="1" x14ac:dyDescent="0.3">
      <c r="B354" s="44">
        <v>45920</v>
      </c>
      <c r="C354" s="3" t="s">
        <v>416</v>
      </c>
      <c r="D354" s="3" t="s">
        <v>499</v>
      </c>
      <c r="E354" s="42"/>
      <c r="F354" s="3" t="s">
        <v>675</v>
      </c>
      <c r="G354" s="3" t="s">
        <v>572</v>
      </c>
      <c r="H354" s="74">
        <v>3350303</v>
      </c>
      <c r="I354" s="3" t="s">
        <v>652</v>
      </c>
      <c r="J354" s="3" t="s">
        <v>573</v>
      </c>
      <c r="K354" s="4">
        <v>3818400</v>
      </c>
      <c r="M354" s="51"/>
    </row>
    <row r="355" spans="1:43" s="3" customFormat="1" x14ac:dyDescent="0.3">
      <c r="B355" s="44">
        <v>45920</v>
      </c>
      <c r="C355" s="3" t="s">
        <v>416</v>
      </c>
      <c r="D355" s="4" t="s">
        <v>614</v>
      </c>
      <c r="E355" s="42"/>
      <c r="F355" s="3" t="s">
        <v>675</v>
      </c>
      <c r="G355" s="3" t="s">
        <v>403</v>
      </c>
      <c r="H355" s="4">
        <v>3198509</v>
      </c>
      <c r="I355" s="4" t="s">
        <v>666</v>
      </c>
      <c r="J355" s="4" t="s">
        <v>453</v>
      </c>
      <c r="K355" s="4">
        <v>3206006</v>
      </c>
    </row>
    <row r="356" spans="1:43" s="3" customFormat="1" x14ac:dyDescent="0.3">
      <c r="B356" s="44">
        <v>45920</v>
      </c>
      <c r="C356" s="3" t="s">
        <v>416</v>
      </c>
      <c r="D356" s="3" t="s">
        <v>590</v>
      </c>
      <c r="E356" s="42"/>
      <c r="F356" s="3" t="s">
        <v>691</v>
      </c>
      <c r="G356" s="3" t="s">
        <v>289</v>
      </c>
      <c r="H356" s="4">
        <v>3068804</v>
      </c>
      <c r="I356" s="3" t="s">
        <v>657</v>
      </c>
      <c r="J356" s="3" t="s">
        <v>321</v>
      </c>
      <c r="K356" s="4">
        <v>3209607</v>
      </c>
    </row>
    <row r="357" spans="1:43" s="3" customFormat="1" x14ac:dyDescent="0.3">
      <c r="B357" s="44">
        <v>45920</v>
      </c>
      <c r="C357" s="3" t="s">
        <v>416</v>
      </c>
      <c r="D357" s="3" t="s">
        <v>500</v>
      </c>
      <c r="E357" s="42"/>
      <c r="F357" s="3" t="s">
        <v>691</v>
      </c>
      <c r="G357" s="3" t="s">
        <v>238</v>
      </c>
      <c r="H357" s="4">
        <v>3350105</v>
      </c>
      <c r="I357" s="4" t="s">
        <v>679</v>
      </c>
      <c r="J357" s="4" t="s">
        <v>466</v>
      </c>
      <c r="K357" s="4">
        <v>3346707</v>
      </c>
    </row>
    <row r="358" spans="1:43" s="3" customFormat="1" x14ac:dyDescent="0.3">
      <c r="B358" s="44">
        <v>45920</v>
      </c>
      <c r="C358" s="3" t="s">
        <v>416</v>
      </c>
      <c r="D358" s="3" t="s">
        <v>69</v>
      </c>
      <c r="E358" s="42"/>
      <c r="F358" s="3" t="s">
        <v>691</v>
      </c>
      <c r="G358" s="3" t="s">
        <v>395</v>
      </c>
      <c r="H358" s="4">
        <v>3197604</v>
      </c>
      <c r="I358" s="3" t="s">
        <v>656</v>
      </c>
      <c r="J358" s="3" t="s">
        <v>361</v>
      </c>
      <c r="K358" s="4">
        <v>3200002</v>
      </c>
    </row>
    <row r="359" spans="1:43" s="3" customFormat="1" x14ac:dyDescent="0.3">
      <c r="B359" s="44">
        <v>45920</v>
      </c>
      <c r="C359" s="3" t="s">
        <v>416</v>
      </c>
      <c r="D359" s="3" t="s">
        <v>494</v>
      </c>
      <c r="E359" s="42"/>
      <c r="F359" s="3" t="s">
        <v>689</v>
      </c>
      <c r="G359" s="3" t="s">
        <v>189</v>
      </c>
      <c r="H359" s="4">
        <v>3350209</v>
      </c>
      <c r="I359" s="4" t="s">
        <v>472</v>
      </c>
      <c r="J359" s="4" t="s">
        <v>185</v>
      </c>
      <c r="K359" s="4">
        <v>3357806</v>
      </c>
    </row>
    <row r="360" spans="1:43" s="3" customFormat="1" x14ac:dyDescent="0.3">
      <c r="B360" s="44">
        <v>45920</v>
      </c>
      <c r="C360" s="3" t="s">
        <v>416</v>
      </c>
      <c r="D360" s="3" t="s">
        <v>67</v>
      </c>
      <c r="E360" s="42"/>
      <c r="F360" s="3" t="s">
        <v>689</v>
      </c>
      <c r="G360" s="3" t="s">
        <v>341</v>
      </c>
      <c r="H360" s="4">
        <v>3197708</v>
      </c>
      <c r="I360" s="3" t="s">
        <v>475</v>
      </c>
      <c r="J360" s="3" t="s">
        <v>336</v>
      </c>
      <c r="K360" s="4">
        <v>3211809</v>
      </c>
    </row>
    <row r="361" spans="1:43" s="3" customFormat="1" x14ac:dyDescent="0.3">
      <c r="B361" s="44">
        <v>45920</v>
      </c>
      <c r="C361" s="3" t="s">
        <v>416</v>
      </c>
      <c r="D361" s="3" t="s">
        <v>70</v>
      </c>
      <c r="E361" s="42"/>
      <c r="F361" s="3" t="s">
        <v>689</v>
      </c>
      <c r="G361" s="3" t="s">
        <v>404</v>
      </c>
      <c r="H361" s="74">
        <v>3196605</v>
      </c>
      <c r="I361" s="3" t="s">
        <v>692</v>
      </c>
      <c r="J361" s="3" t="s">
        <v>378</v>
      </c>
      <c r="K361" s="4">
        <v>3197802</v>
      </c>
    </row>
    <row r="362" spans="1:43" s="3" customFormat="1" x14ac:dyDescent="0.3">
      <c r="B362" s="44">
        <v>45920</v>
      </c>
      <c r="C362" s="3" t="s">
        <v>416</v>
      </c>
      <c r="D362" s="3" t="s">
        <v>60</v>
      </c>
      <c r="E362" s="42"/>
      <c r="F362" s="3" t="s">
        <v>668</v>
      </c>
      <c r="G362" s="3" t="s">
        <v>431</v>
      </c>
      <c r="H362" s="4">
        <v>3900703</v>
      </c>
      <c r="I362" s="3" t="s">
        <v>473</v>
      </c>
      <c r="J362" s="3" t="s">
        <v>298</v>
      </c>
      <c r="K362" s="32">
        <v>3817807</v>
      </c>
    </row>
    <row r="363" spans="1:43" s="3" customFormat="1" x14ac:dyDescent="0.3">
      <c r="A363" s="4"/>
      <c r="B363" s="100">
        <v>45920</v>
      </c>
      <c r="C363" s="98" t="s">
        <v>553</v>
      </c>
      <c r="D363" s="4" t="s">
        <v>508</v>
      </c>
      <c r="E363" s="4"/>
      <c r="F363" s="73" t="s">
        <v>510</v>
      </c>
      <c r="G363" s="73" t="s">
        <v>510</v>
      </c>
      <c r="H363" s="73"/>
      <c r="I363" s="73" t="s">
        <v>476</v>
      </c>
      <c r="J363" s="73" t="s">
        <v>476</v>
      </c>
      <c r="K363" s="4" t="s">
        <v>418</v>
      </c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spans="1:43" s="3" customFormat="1" x14ac:dyDescent="0.3">
      <c r="B364" s="44">
        <v>45920</v>
      </c>
      <c r="C364" s="3" t="s">
        <v>416</v>
      </c>
      <c r="D364" s="3" t="s">
        <v>500</v>
      </c>
      <c r="E364" s="42"/>
      <c r="F364" s="3" t="s">
        <v>654</v>
      </c>
      <c r="G364" s="3" t="s">
        <v>576</v>
      </c>
      <c r="H364" s="4">
        <v>4009003</v>
      </c>
      <c r="I364" s="4" t="s">
        <v>672</v>
      </c>
      <c r="J364" s="4" t="s">
        <v>187</v>
      </c>
      <c r="K364" s="4">
        <v>3354101</v>
      </c>
    </row>
    <row r="365" spans="1:43" s="3" customFormat="1" x14ac:dyDescent="0.3">
      <c r="B365" s="44">
        <v>45920</v>
      </c>
      <c r="C365" s="3" t="s">
        <v>416</v>
      </c>
      <c r="D365" s="3" t="s">
        <v>489</v>
      </c>
      <c r="E365" s="4"/>
      <c r="F365" s="4" t="s">
        <v>712</v>
      </c>
      <c r="G365" s="4" t="s">
        <v>132</v>
      </c>
      <c r="H365" s="4">
        <v>3068304</v>
      </c>
      <c r="I365" s="3" t="s">
        <v>688</v>
      </c>
      <c r="J365" s="3" t="s">
        <v>10</v>
      </c>
      <c r="K365" s="4">
        <v>3036204</v>
      </c>
    </row>
    <row r="366" spans="1:43" s="3" customFormat="1" x14ac:dyDescent="0.3">
      <c r="B366" s="44">
        <v>45920</v>
      </c>
      <c r="C366" s="3" t="s">
        <v>416</v>
      </c>
      <c r="D366" s="3" t="s">
        <v>63</v>
      </c>
      <c r="E366" s="42"/>
      <c r="F366" s="104" t="s">
        <v>712</v>
      </c>
      <c r="G366" s="104" t="s">
        <v>334</v>
      </c>
      <c r="H366" s="74">
        <v>3198009</v>
      </c>
      <c r="I366" s="3" t="s">
        <v>684</v>
      </c>
      <c r="J366" s="3" t="s">
        <v>369</v>
      </c>
      <c r="K366" s="74">
        <v>3202708</v>
      </c>
    </row>
    <row r="367" spans="1:43" s="3" customFormat="1" x14ac:dyDescent="0.3">
      <c r="B367" s="44">
        <v>45920</v>
      </c>
      <c r="C367" s="3" t="s">
        <v>416</v>
      </c>
      <c r="D367" s="4" t="s">
        <v>614</v>
      </c>
      <c r="E367" s="42"/>
      <c r="F367" s="3" t="s">
        <v>713</v>
      </c>
      <c r="G367" s="3" t="s">
        <v>386</v>
      </c>
      <c r="H367" s="4">
        <v>3900807</v>
      </c>
      <c r="I367" s="4" t="s">
        <v>710</v>
      </c>
      <c r="J367" s="4" t="s">
        <v>385</v>
      </c>
      <c r="K367" s="4">
        <v>3199602</v>
      </c>
    </row>
    <row r="368" spans="1:43" s="3" customFormat="1" x14ac:dyDescent="0.3">
      <c r="B368" s="44">
        <v>45920</v>
      </c>
      <c r="C368" s="3" t="s">
        <v>416</v>
      </c>
      <c r="D368" s="3" t="s">
        <v>495</v>
      </c>
      <c r="E368" s="42"/>
      <c r="F368" s="3" t="s">
        <v>713</v>
      </c>
      <c r="G368" s="3" t="s">
        <v>199</v>
      </c>
      <c r="H368" s="4">
        <v>3349100</v>
      </c>
      <c r="I368" s="3" t="s">
        <v>699</v>
      </c>
      <c r="J368" s="3" t="s">
        <v>569</v>
      </c>
      <c r="K368" s="4">
        <v>3125708</v>
      </c>
    </row>
    <row r="369" spans="2:13" s="3" customFormat="1" x14ac:dyDescent="0.3">
      <c r="B369" s="44">
        <v>45920</v>
      </c>
      <c r="C369" s="3" t="s">
        <v>416</v>
      </c>
      <c r="D369" s="4" t="s">
        <v>614</v>
      </c>
      <c r="E369" s="42"/>
      <c r="F369" s="3" t="s">
        <v>713</v>
      </c>
      <c r="G369" s="3" t="s">
        <v>623</v>
      </c>
      <c r="H369" s="4">
        <v>3819305</v>
      </c>
      <c r="I369" s="4" t="s">
        <v>674</v>
      </c>
      <c r="J369" s="4" t="s">
        <v>346</v>
      </c>
      <c r="K369" s="4">
        <v>3208900</v>
      </c>
    </row>
    <row r="370" spans="2:13" s="3" customFormat="1" x14ac:dyDescent="0.3">
      <c r="B370" s="44">
        <v>45920</v>
      </c>
      <c r="C370" s="3" t="s">
        <v>416</v>
      </c>
      <c r="D370" s="3" t="s">
        <v>487</v>
      </c>
      <c r="E370" s="4"/>
      <c r="F370" s="3" t="s">
        <v>663</v>
      </c>
      <c r="G370" s="3" t="s">
        <v>419</v>
      </c>
      <c r="H370" s="4">
        <v>3349204</v>
      </c>
      <c r="I370" s="3" t="s">
        <v>475</v>
      </c>
      <c r="J370" s="3" t="s">
        <v>96</v>
      </c>
      <c r="K370" s="4">
        <v>3067107</v>
      </c>
    </row>
    <row r="371" spans="2:13" s="3" customFormat="1" x14ac:dyDescent="0.3">
      <c r="B371" s="44">
        <v>45920</v>
      </c>
      <c r="C371" s="3" t="s">
        <v>416</v>
      </c>
      <c r="D371" s="3" t="s">
        <v>65</v>
      </c>
      <c r="E371" s="42"/>
      <c r="F371" s="3" t="s">
        <v>663</v>
      </c>
      <c r="G371" s="3" t="s">
        <v>290</v>
      </c>
      <c r="H371" s="4">
        <v>3197500</v>
      </c>
      <c r="I371" s="4" t="s">
        <v>676</v>
      </c>
      <c r="J371" s="4" t="s">
        <v>356</v>
      </c>
      <c r="K371" s="4">
        <v>3208608</v>
      </c>
    </row>
    <row r="372" spans="2:13" s="3" customFormat="1" x14ac:dyDescent="0.3">
      <c r="B372" s="44">
        <v>45920</v>
      </c>
      <c r="C372" s="3" t="s">
        <v>416</v>
      </c>
      <c r="D372" s="3" t="s">
        <v>593</v>
      </c>
      <c r="E372" s="42"/>
      <c r="F372" s="3" t="s">
        <v>663</v>
      </c>
      <c r="G372" s="3" t="s">
        <v>396</v>
      </c>
      <c r="H372" s="4">
        <v>3197104</v>
      </c>
      <c r="I372" s="4" t="s">
        <v>476</v>
      </c>
      <c r="J372" s="4" t="s">
        <v>630</v>
      </c>
      <c r="K372" s="4">
        <v>3206308</v>
      </c>
    </row>
    <row r="373" spans="2:13" s="3" customFormat="1" x14ac:dyDescent="0.3">
      <c r="B373" s="44">
        <v>45920</v>
      </c>
      <c r="C373" s="3" t="s">
        <v>416</v>
      </c>
      <c r="D373" s="3" t="s">
        <v>504</v>
      </c>
      <c r="E373" s="42"/>
      <c r="F373" s="3" t="s">
        <v>471</v>
      </c>
      <c r="G373" s="3" t="s">
        <v>14</v>
      </c>
      <c r="H373" s="4">
        <v>3348601</v>
      </c>
      <c r="I373" s="4" t="s">
        <v>694</v>
      </c>
      <c r="J373" s="4" t="s">
        <v>112</v>
      </c>
      <c r="K373" s="4">
        <v>3353602</v>
      </c>
    </row>
    <row r="374" spans="2:13" s="3" customFormat="1" x14ac:dyDescent="0.3">
      <c r="B374" s="44">
        <v>45920</v>
      </c>
      <c r="C374" s="3" t="s">
        <v>416</v>
      </c>
      <c r="D374" s="3" t="s">
        <v>56</v>
      </c>
      <c r="E374" s="42"/>
      <c r="F374" s="3" t="s">
        <v>471</v>
      </c>
      <c r="G374" s="3" t="s">
        <v>254</v>
      </c>
      <c r="H374" s="4">
        <v>3068908</v>
      </c>
      <c r="I374" s="73" t="s">
        <v>474</v>
      </c>
      <c r="J374" s="73" t="s">
        <v>253</v>
      </c>
      <c r="K374" s="4">
        <v>3037109</v>
      </c>
    </row>
    <row r="375" spans="2:13" s="3" customFormat="1" x14ac:dyDescent="0.3">
      <c r="B375" s="44">
        <v>45920</v>
      </c>
      <c r="C375" s="3" t="s">
        <v>416</v>
      </c>
      <c r="D375" s="3" t="s">
        <v>493</v>
      </c>
      <c r="E375" s="42"/>
      <c r="F375" s="3" t="s">
        <v>471</v>
      </c>
      <c r="G375" s="3" t="s">
        <v>174</v>
      </c>
      <c r="H375" s="4">
        <v>3348101</v>
      </c>
      <c r="I375" s="4" t="s">
        <v>476</v>
      </c>
      <c r="J375" s="4" t="s">
        <v>169</v>
      </c>
      <c r="K375" s="4">
        <v>3356609</v>
      </c>
    </row>
    <row r="376" spans="2:13" s="3" customFormat="1" x14ac:dyDescent="0.3">
      <c r="B376" s="44">
        <v>45920</v>
      </c>
      <c r="C376" s="3" t="s">
        <v>416</v>
      </c>
      <c r="D376" s="3" t="s">
        <v>62</v>
      </c>
      <c r="E376" s="42"/>
      <c r="F376" s="3" t="s">
        <v>471</v>
      </c>
      <c r="G376" s="3" t="s">
        <v>328</v>
      </c>
      <c r="H376" s="4">
        <v>3196803</v>
      </c>
      <c r="I376" s="4" t="s">
        <v>663</v>
      </c>
      <c r="J376" s="4" t="s">
        <v>280</v>
      </c>
      <c r="K376" s="4">
        <v>3198103</v>
      </c>
    </row>
    <row r="377" spans="2:13" s="3" customFormat="1" x14ac:dyDescent="0.3">
      <c r="B377" s="44">
        <v>45920</v>
      </c>
      <c r="C377" s="3" t="s">
        <v>416</v>
      </c>
      <c r="D377" s="3" t="s">
        <v>493</v>
      </c>
      <c r="E377" s="42"/>
      <c r="F377" s="3" t="s">
        <v>471</v>
      </c>
      <c r="G377" s="3" t="s">
        <v>190</v>
      </c>
      <c r="H377" s="4">
        <v>3348205</v>
      </c>
      <c r="I377" s="4" t="s">
        <v>663</v>
      </c>
      <c r="J377" s="4" t="s">
        <v>173</v>
      </c>
      <c r="K377" s="4">
        <v>3349308</v>
      </c>
    </row>
    <row r="378" spans="2:13" s="3" customFormat="1" x14ac:dyDescent="0.3">
      <c r="B378" s="44">
        <v>45920</v>
      </c>
      <c r="C378" s="3" t="s">
        <v>416</v>
      </c>
      <c r="D378" s="3" t="s">
        <v>65</v>
      </c>
      <c r="E378" s="42"/>
      <c r="F378" s="3" t="s">
        <v>471</v>
      </c>
      <c r="G378" s="3" t="s">
        <v>363</v>
      </c>
      <c r="H378" s="4">
        <v>3196907</v>
      </c>
      <c r="I378" s="4" t="s">
        <v>693</v>
      </c>
      <c r="J378" s="4" t="s">
        <v>357</v>
      </c>
      <c r="K378" s="4">
        <v>3206704</v>
      </c>
    </row>
    <row r="379" spans="2:13" s="3" customFormat="1" x14ac:dyDescent="0.3">
      <c r="B379" s="44">
        <v>45920</v>
      </c>
      <c r="C379" s="3" t="s">
        <v>416</v>
      </c>
      <c r="D379" s="3" t="s">
        <v>500</v>
      </c>
      <c r="E379" s="42"/>
      <c r="F379" s="3" t="s">
        <v>471</v>
      </c>
      <c r="G379" s="3" t="s">
        <v>467</v>
      </c>
      <c r="H379" s="4">
        <v>3819409</v>
      </c>
      <c r="I379" s="4" t="s">
        <v>663</v>
      </c>
      <c r="J379" s="4" t="s">
        <v>239</v>
      </c>
      <c r="K379" s="4">
        <v>3348809</v>
      </c>
    </row>
    <row r="380" spans="2:13" s="3" customFormat="1" x14ac:dyDescent="0.3">
      <c r="B380" s="44">
        <v>45920</v>
      </c>
      <c r="C380" s="3" t="s">
        <v>416</v>
      </c>
      <c r="D380" s="3" t="s">
        <v>64</v>
      </c>
      <c r="E380" s="42">
        <v>4370907</v>
      </c>
      <c r="F380" s="3" t="s">
        <v>692</v>
      </c>
      <c r="G380" s="3" t="s">
        <v>342</v>
      </c>
      <c r="H380" s="4">
        <v>3196501</v>
      </c>
      <c r="I380" s="4" t="s">
        <v>475</v>
      </c>
      <c r="J380" s="4" t="s">
        <v>310</v>
      </c>
      <c r="K380" s="4">
        <v>3212402</v>
      </c>
    </row>
    <row r="381" spans="2:13" s="3" customFormat="1" x14ac:dyDescent="0.3">
      <c r="B381" s="44">
        <v>45920</v>
      </c>
      <c r="C381" s="3" t="s">
        <v>416</v>
      </c>
      <c r="D381" s="3" t="s">
        <v>494</v>
      </c>
      <c r="E381" s="42"/>
      <c r="F381" s="3" t="s">
        <v>692</v>
      </c>
      <c r="G381" s="3" t="s">
        <v>144</v>
      </c>
      <c r="H381" s="4">
        <v>3347904</v>
      </c>
      <c r="I381" s="4" t="s">
        <v>647</v>
      </c>
      <c r="J381" s="4" t="s">
        <v>191</v>
      </c>
      <c r="K381" s="4">
        <v>3345708</v>
      </c>
    </row>
    <row r="382" spans="2:13" s="3" customFormat="1" x14ac:dyDescent="0.3">
      <c r="B382" s="44">
        <v>45920</v>
      </c>
      <c r="C382" s="3" t="s">
        <v>416</v>
      </c>
      <c r="D382" s="3" t="s">
        <v>501</v>
      </c>
      <c r="E382" s="42"/>
      <c r="F382" s="3" t="s">
        <v>692</v>
      </c>
      <c r="G382" s="3" t="s">
        <v>582</v>
      </c>
      <c r="H382" s="74">
        <v>3900901</v>
      </c>
      <c r="I382" s="3" t="s">
        <v>689</v>
      </c>
      <c r="J382" s="3" t="s">
        <v>580</v>
      </c>
      <c r="K382" s="4">
        <v>3350001</v>
      </c>
      <c r="M382" s="51"/>
    </row>
    <row r="383" spans="2:13" s="3" customFormat="1" x14ac:dyDescent="0.3">
      <c r="B383" s="44">
        <v>45920</v>
      </c>
      <c r="C383" s="3" t="s">
        <v>416</v>
      </c>
      <c r="D383" s="3" t="s">
        <v>491</v>
      </c>
      <c r="E383" s="42"/>
      <c r="F383" s="3" t="s">
        <v>698</v>
      </c>
      <c r="G383" s="3" t="s">
        <v>567</v>
      </c>
      <c r="H383" s="4" t="s">
        <v>556</v>
      </c>
      <c r="I383" s="3" t="s">
        <v>478</v>
      </c>
      <c r="J383" s="3" t="s">
        <v>463</v>
      </c>
      <c r="K383" s="74">
        <v>3125500</v>
      </c>
    </row>
    <row r="384" spans="2:13" s="3" customFormat="1" x14ac:dyDescent="0.3">
      <c r="B384" s="44">
        <v>45920</v>
      </c>
      <c r="C384" s="3" t="s">
        <v>416</v>
      </c>
      <c r="D384" s="3" t="s">
        <v>60</v>
      </c>
      <c r="E384" s="42"/>
      <c r="F384" s="3" t="s">
        <v>698</v>
      </c>
      <c r="G384" s="3" t="s">
        <v>595</v>
      </c>
      <c r="H384" s="4" t="s">
        <v>563</v>
      </c>
      <c r="I384" s="3" t="s">
        <v>473</v>
      </c>
      <c r="J384" s="3" t="s">
        <v>446</v>
      </c>
      <c r="K384" s="32">
        <v>3204206</v>
      </c>
    </row>
    <row r="385" spans="1:43" s="3" customFormat="1" x14ac:dyDescent="0.3">
      <c r="B385" s="44">
        <v>45920</v>
      </c>
      <c r="C385" s="3" t="s">
        <v>416</v>
      </c>
      <c r="D385" s="3" t="s">
        <v>590</v>
      </c>
      <c r="E385" s="42"/>
      <c r="F385" s="3" t="s">
        <v>699</v>
      </c>
      <c r="G385" s="3" t="s">
        <v>594</v>
      </c>
      <c r="H385" s="4">
        <v>3196407</v>
      </c>
      <c r="I385" s="4" t="s">
        <v>471</v>
      </c>
      <c r="J385" s="4" t="s">
        <v>291</v>
      </c>
      <c r="K385" s="4">
        <v>3196709</v>
      </c>
    </row>
    <row r="386" spans="1:43" s="3" customFormat="1" x14ac:dyDescent="0.3">
      <c r="B386" s="44">
        <v>45920</v>
      </c>
      <c r="C386" s="3" t="s">
        <v>416</v>
      </c>
      <c r="D386" s="4" t="s">
        <v>614</v>
      </c>
      <c r="E386" s="42"/>
      <c r="F386" s="3" t="s">
        <v>699</v>
      </c>
      <c r="G386" s="3" t="s">
        <v>624</v>
      </c>
      <c r="H386" s="4">
        <v>3196105</v>
      </c>
      <c r="I386" s="4" t="s">
        <v>710</v>
      </c>
      <c r="J386" s="4" t="s">
        <v>384</v>
      </c>
      <c r="K386" s="4">
        <v>3199508</v>
      </c>
    </row>
    <row r="387" spans="1:43" s="3" customFormat="1" x14ac:dyDescent="0.3">
      <c r="B387" s="44">
        <v>45920</v>
      </c>
      <c r="C387" s="3" t="s">
        <v>416</v>
      </c>
      <c r="D387" s="3" t="s">
        <v>486</v>
      </c>
      <c r="E387" s="42"/>
      <c r="F387" s="3" t="s">
        <v>681</v>
      </c>
      <c r="G387" s="3" t="s">
        <v>105</v>
      </c>
      <c r="H387" s="4">
        <v>3035809</v>
      </c>
      <c r="I387" s="4" t="s">
        <v>645</v>
      </c>
      <c r="J387" s="4" t="s">
        <v>104</v>
      </c>
      <c r="K387" s="4">
        <v>3036308</v>
      </c>
    </row>
    <row r="388" spans="1:43" s="3" customFormat="1" x14ac:dyDescent="0.3">
      <c r="B388" s="44">
        <v>45920</v>
      </c>
      <c r="C388" s="3" t="s">
        <v>416</v>
      </c>
      <c r="D388" s="3" t="s">
        <v>59</v>
      </c>
      <c r="E388" s="42"/>
      <c r="F388" s="3" t="s">
        <v>681</v>
      </c>
      <c r="G388" s="3" t="s">
        <v>281</v>
      </c>
      <c r="H388" s="4">
        <v>3195700</v>
      </c>
      <c r="I388" s="4" t="s">
        <v>479</v>
      </c>
      <c r="J388" s="4" t="s">
        <v>273</v>
      </c>
      <c r="K388" s="4">
        <v>3211007</v>
      </c>
    </row>
    <row r="389" spans="1:43" s="3" customFormat="1" x14ac:dyDescent="0.3">
      <c r="B389" s="44">
        <v>45920</v>
      </c>
      <c r="C389" s="3" t="s">
        <v>416</v>
      </c>
      <c r="D389" s="3" t="s">
        <v>497</v>
      </c>
      <c r="E389" s="42"/>
      <c r="F389" s="3" t="s">
        <v>681</v>
      </c>
      <c r="G389" s="3" t="s">
        <v>175</v>
      </c>
      <c r="H389" s="74">
        <v>3347800</v>
      </c>
      <c r="I389" s="15" t="s">
        <v>471</v>
      </c>
      <c r="J389" s="15" t="s">
        <v>240</v>
      </c>
      <c r="K389" s="74">
        <v>3348403</v>
      </c>
    </row>
    <row r="390" spans="1:43" s="3" customFormat="1" x14ac:dyDescent="0.3">
      <c r="B390" s="44">
        <v>45920</v>
      </c>
      <c r="C390" s="3" t="s">
        <v>416</v>
      </c>
      <c r="D390" s="3" t="s">
        <v>593</v>
      </c>
      <c r="E390" s="42"/>
      <c r="F390" s="3" t="s">
        <v>681</v>
      </c>
      <c r="G390" s="3" t="s">
        <v>397</v>
      </c>
      <c r="H390" s="4">
        <v>3195908</v>
      </c>
      <c r="I390" s="4" t="s">
        <v>676</v>
      </c>
      <c r="J390" s="4" t="s">
        <v>639</v>
      </c>
      <c r="K390" s="4">
        <v>3776805</v>
      </c>
    </row>
    <row r="391" spans="1:43" s="3" customFormat="1" x14ac:dyDescent="0.3">
      <c r="B391" s="44">
        <v>45920</v>
      </c>
      <c r="C391" s="3" t="s">
        <v>416</v>
      </c>
      <c r="D391" s="3" t="s">
        <v>64</v>
      </c>
      <c r="E391" s="42">
        <v>4370907</v>
      </c>
      <c r="F391" s="3" t="s">
        <v>670</v>
      </c>
      <c r="G391" s="3" t="s">
        <v>343</v>
      </c>
      <c r="H391" s="4">
        <v>3195606</v>
      </c>
      <c r="I391" s="4" t="s">
        <v>672</v>
      </c>
      <c r="J391" s="4" t="s">
        <v>316</v>
      </c>
      <c r="K391" s="4">
        <v>3069105</v>
      </c>
    </row>
    <row r="392" spans="1:43" s="3" customFormat="1" x14ac:dyDescent="0.3">
      <c r="B392" s="44">
        <v>45920</v>
      </c>
      <c r="C392" s="3" t="s">
        <v>416</v>
      </c>
      <c r="D392" s="3" t="s">
        <v>495</v>
      </c>
      <c r="E392" s="42"/>
      <c r="F392" s="3" t="s">
        <v>670</v>
      </c>
      <c r="G392" s="3" t="s">
        <v>224</v>
      </c>
      <c r="H392" s="4">
        <v>3347008</v>
      </c>
      <c r="I392" s="3" t="s">
        <v>682</v>
      </c>
      <c r="J392" s="3" t="s">
        <v>568</v>
      </c>
      <c r="K392" s="4">
        <v>3969908</v>
      </c>
    </row>
    <row r="393" spans="1:43" s="3" customFormat="1" x14ac:dyDescent="0.3">
      <c r="B393" s="44">
        <v>45920</v>
      </c>
      <c r="C393" s="3" t="s">
        <v>416</v>
      </c>
      <c r="D393" s="3" t="s">
        <v>486</v>
      </c>
      <c r="E393" s="42"/>
      <c r="F393" s="3" t="s">
        <v>673</v>
      </c>
      <c r="G393" s="3" t="s">
        <v>106</v>
      </c>
      <c r="H393" s="4">
        <v>3067607</v>
      </c>
      <c r="I393" s="4" t="s">
        <v>651</v>
      </c>
      <c r="J393" s="4" t="s">
        <v>97</v>
      </c>
      <c r="K393" s="4">
        <v>3362005</v>
      </c>
    </row>
    <row r="394" spans="1:43" s="3" customFormat="1" x14ac:dyDescent="0.3">
      <c r="B394" s="44">
        <v>45920</v>
      </c>
      <c r="C394" s="3" t="s">
        <v>416</v>
      </c>
      <c r="D394" s="3" t="s">
        <v>64</v>
      </c>
      <c r="E394" s="42">
        <v>4370907</v>
      </c>
      <c r="F394" s="3" t="s">
        <v>673</v>
      </c>
      <c r="G394" s="3" t="s">
        <v>355</v>
      </c>
      <c r="H394" s="4">
        <v>3195002</v>
      </c>
      <c r="I394" s="4" t="s">
        <v>669</v>
      </c>
      <c r="J394" s="4" t="s">
        <v>337</v>
      </c>
      <c r="K394" s="4">
        <v>3209305</v>
      </c>
    </row>
    <row r="395" spans="1:43" s="3" customFormat="1" x14ac:dyDescent="0.3">
      <c r="B395" s="44">
        <v>45920</v>
      </c>
      <c r="C395" s="3" t="s">
        <v>416</v>
      </c>
      <c r="D395" s="4" t="s">
        <v>614</v>
      </c>
      <c r="E395" s="42"/>
      <c r="F395" s="3" t="s">
        <v>673</v>
      </c>
      <c r="G395" s="3" t="s">
        <v>455</v>
      </c>
      <c r="H395" s="4">
        <v>3961604</v>
      </c>
      <c r="I395" s="4" t="s">
        <v>682</v>
      </c>
      <c r="J395" s="4" t="s">
        <v>622</v>
      </c>
      <c r="K395" s="4">
        <v>3969502</v>
      </c>
    </row>
    <row r="396" spans="1:43" s="3" customFormat="1" x14ac:dyDescent="0.3">
      <c r="B396" s="44">
        <v>45920</v>
      </c>
      <c r="C396" s="3" t="s">
        <v>416</v>
      </c>
      <c r="D396" s="3" t="s">
        <v>490</v>
      </c>
      <c r="E396" s="4"/>
      <c r="F396" s="3" t="s">
        <v>717</v>
      </c>
      <c r="G396" s="3" t="s">
        <v>425</v>
      </c>
      <c r="H396" s="4">
        <v>3347206</v>
      </c>
      <c r="I396" s="4" t="s">
        <v>479</v>
      </c>
      <c r="J396" s="4" t="s">
        <v>136</v>
      </c>
      <c r="K396" s="4">
        <v>3360903</v>
      </c>
    </row>
    <row r="397" spans="1:43" s="3" customFormat="1" x14ac:dyDescent="0.3">
      <c r="B397" s="44">
        <v>45920</v>
      </c>
      <c r="C397" s="3" t="s">
        <v>416</v>
      </c>
      <c r="D397" s="3" t="s">
        <v>498</v>
      </c>
      <c r="E397" s="42"/>
      <c r="F397" s="3" t="s">
        <v>717</v>
      </c>
      <c r="G397" s="3" t="s">
        <v>429</v>
      </c>
      <c r="H397" s="4">
        <v>3346905</v>
      </c>
      <c r="I397" s="3" t="s">
        <v>689</v>
      </c>
      <c r="J397" s="3" t="s">
        <v>468</v>
      </c>
      <c r="K397" s="4">
        <v>3349902</v>
      </c>
    </row>
    <row r="398" spans="1:43" s="3" customFormat="1" x14ac:dyDescent="0.3">
      <c r="B398" s="44">
        <v>45920</v>
      </c>
      <c r="C398" s="3" t="s">
        <v>416</v>
      </c>
      <c r="D398" s="3" t="s">
        <v>70</v>
      </c>
      <c r="E398" s="42"/>
      <c r="F398" s="3" t="s">
        <v>717</v>
      </c>
      <c r="G398" s="3" t="s">
        <v>434</v>
      </c>
      <c r="H398" s="4">
        <v>3195408</v>
      </c>
      <c r="I398" s="3" t="s">
        <v>475</v>
      </c>
      <c r="J398" s="3" t="s">
        <v>370</v>
      </c>
      <c r="K398" s="4">
        <v>3211903</v>
      </c>
    </row>
    <row r="399" spans="1:43" s="3" customFormat="1" x14ac:dyDescent="0.3">
      <c r="A399" s="4"/>
      <c r="B399" s="100">
        <v>45920</v>
      </c>
      <c r="C399" s="98" t="s">
        <v>553</v>
      </c>
      <c r="D399" s="4" t="s">
        <v>508</v>
      </c>
      <c r="E399" s="4"/>
      <c r="F399" s="73" t="s">
        <v>511</v>
      </c>
      <c r="G399" s="73" t="s">
        <v>511</v>
      </c>
      <c r="H399" s="73"/>
      <c r="I399" s="73" t="s">
        <v>475</v>
      </c>
      <c r="J399" s="73" t="s">
        <v>475</v>
      </c>
      <c r="K399" s="4" t="s">
        <v>418</v>
      </c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spans="1:43" s="3" customFormat="1" x14ac:dyDescent="0.3">
      <c r="B400" s="44">
        <v>45920</v>
      </c>
      <c r="C400" s="3" t="s">
        <v>416</v>
      </c>
      <c r="D400" s="3" t="s">
        <v>489</v>
      </c>
      <c r="E400" s="4"/>
      <c r="F400" s="4" t="s">
        <v>679</v>
      </c>
      <c r="G400" s="4" t="s">
        <v>135</v>
      </c>
      <c r="H400" s="4">
        <v>3346603</v>
      </c>
      <c r="I400" s="3" t="s">
        <v>678</v>
      </c>
      <c r="J400" s="3" t="s">
        <v>131</v>
      </c>
      <c r="K400" s="4">
        <v>3350605</v>
      </c>
    </row>
    <row r="401" spans="1:43" s="3" customFormat="1" x14ac:dyDescent="0.3">
      <c r="B401" s="44">
        <v>45920</v>
      </c>
      <c r="C401" s="3" t="s">
        <v>416</v>
      </c>
      <c r="D401" s="3" t="s">
        <v>593</v>
      </c>
      <c r="E401" s="42"/>
      <c r="F401" s="3" t="s">
        <v>679</v>
      </c>
      <c r="G401" s="3" t="s">
        <v>633</v>
      </c>
      <c r="H401" s="4">
        <v>3194607</v>
      </c>
      <c r="I401" s="4" t="s">
        <v>693</v>
      </c>
      <c r="J401" s="4" t="s">
        <v>629</v>
      </c>
      <c r="K401" s="4">
        <v>3961708</v>
      </c>
    </row>
    <row r="402" spans="1:43" s="3" customFormat="1" x14ac:dyDescent="0.3">
      <c r="B402" s="44">
        <v>45920</v>
      </c>
      <c r="C402" s="3" t="s">
        <v>416</v>
      </c>
      <c r="D402" s="3" t="s">
        <v>498</v>
      </c>
      <c r="E402" s="42"/>
      <c r="F402" s="3" t="s">
        <v>688</v>
      </c>
      <c r="G402" s="3" t="s">
        <v>146</v>
      </c>
      <c r="H402" s="74">
        <v>3346405</v>
      </c>
      <c r="I402" s="3" t="s">
        <v>714</v>
      </c>
      <c r="J402" s="3" t="s">
        <v>222</v>
      </c>
      <c r="K402" s="4">
        <v>3348507</v>
      </c>
    </row>
    <row r="403" spans="1:43" s="3" customFormat="1" x14ac:dyDescent="0.3">
      <c r="B403" s="44">
        <v>45920</v>
      </c>
      <c r="C403" s="3" t="s">
        <v>416</v>
      </c>
      <c r="D403" s="3" t="s">
        <v>64</v>
      </c>
      <c r="E403" s="42">
        <v>4370907</v>
      </c>
      <c r="F403" s="3" t="s">
        <v>688</v>
      </c>
      <c r="G403" s="3" t="s">
        <v>318</v>
      </c>
      <c r="H403" s="4">
        <v>3037401</v>
      </c>
      <c r="I403" s="4" t="s">
        <v>671</v>
      </c>
      <c r="J403" s="4" t="s">
        <v>312</v>
      </c>
      <c r="K403" s="4">
        <v>3209107</v>
      </c>
    </row>
    <row r="404" spans="1:43" s="3" customFormat="1" x14ac:dyDescent="0.3">
      <c r="B404" s="44">
        <v>45920</v>
      </c>
      <c r="C404" s="3" t="s">
        <v>416</v>
      </c>
      <c r="D404" s="3" t="s">
        <v>67</v>
      </c>
      <c r="E404" s="42"/>
      <c r="F404" s="3" t="s">
        <v>688</v>
      </c>
      <c r="G404" s="3" t="s">
        <v>344</v>
      </c>
      <c r="H404" s="4">
        <v>3194909</v>
      </c>
      <c r="I404" s="4" t="s">
        <v>570</v>
      </c>
      <c r="J404" s="4" t="s">
        <v>570</v>
      </c>
      <c r="K404" s="4" t="s">
        <v>556</v>
      </c>
    </row>
    <row r="405" spans="1:43" s="3" customFormat="1" x14ac:dyDescent="0.3">
      <c r="B405" s="44">
        <v>45920</v>
      </c>
      <c r="C405" s="3" t="s">
        <v>416</v>
      </c>
      <c r="D405" s="3" t="s">
        <v>70</v>
      </c>
      <c r="E405" s="42"/>
      <c r="F405" s="3" t="s">
        <v>688</v>
      </c>
      <c r="G405" s="3" t="s">
        <v>379</v>
      </c>
      <c r="H405" s="4">
        <v>3194409</v>
      </c>
      <c r="I405" s="3" t="s">
        <v>688</v>
      </c>
      <c r="J405" s="3" t="s">
        <v>460</v>
      </c>
      <c r="K405" s="4">
        <v>3194503</v>
      </c>
    </row>
    <row r="406" spans="1:43" s="3" customFormat="1" x14ac:dyDescent="0.3">
      <c r="B406" s="44">
        <v>45920</v>
      </c>
      <c r="C406" s="3" t="s">
        <v>416</v>
      </c>
      <c r="D406" s="3" t="s">
        <v>488</v>
      </c>
      <c r="E406" s="42"/>
      <c r="F406" s="3" t="s">
        <v>720</v>
      </c>
      <c r="G406" s="3" t="s">
        <v>153</v>
      </c>
      <c r="H406" s="4">
        <v>3033405</v>
      </c>
      <c r="I406" s="3" t="s">
        <v>690</v>
      </c>
      <c r="J406" s="3" t="s">
        <v>118</v>
      </c>
      <c r="K406" s="4">
        <v>3356005</v>
      </c>
    </row>
    <row r="407" spans="1:43" s="3" customFormat="1" x14ac:dyDescent="0.3">
      <c r="B407" s="44">
        <v>45920</v>
      </c>
      <c r="C407" s="3" t="s">
        <v>416</v>
      </c>
      <c r="D407" s="3" t="s">
        <v>487</v>
      </c>
      <c r="E407" s="4"/>
      <c r="F407" s="3" t="s">
        <v>647</v>
      </c>
      <c r="G407" s="3" t="s">
        <v>116</v>
      </c>
      <c r="H407" s="4">
        <v>3346009</v>
      </c>
      <c r="I407" s="4" t="s">
        <v>721</v>
      </c>
      <c r="J407" s="4" t="s">
        <v>124</v>
      </c>
      <c r="K407" s="4">
        <v>3267501</v>
      </c>
    </row>
    <row r="408" spans="1:43" s="3" customFormat="1" x14ac:dyDescent="0.3">
      <c r="B408" s="44">
        <v>45920</v>
      </c>
      <c r="C408" s="3" t="s">
        <v>416</v>
      </c>
      <c r="D408" s="3" t="s">
        <v>67</v>
      </c>
      <c r="E408" s="42"/>
      <c r="F408" s="3" t="s">
        <v>647</v>
      </c>
      <c r="G408" s="3" t="s">
        <v>345</v>
      </c>
      <c r="H408" s="4">
        <v>3194003</v>
      </c>
      <c r="I408" s="4" t="s">
        <v>717</v>
      </c>
      <c r="J408" s="4" t="s">
        <v>435</v>
      </c>
      <c r="K408" s="4">
        <v>3195200</v>
      </c>
    </row>
    <row r="409" spans="1:43" s="3" customFormat="1" x14ac:dyDescent="0.3">
      <c r="B409" s="44">
        <v>45920</v>
      </c>
      <c r="C409" s="3" t="s">
        <v>416</v>
      </c>
      <c r="D409" s="3" t="s">
        <v>68</v>
      </c>
      <c r="E409" s="42"/>
      <c r="F409" s="3" t="s">
        <v>687</v>
      </c>
      <c r="G409" s="3" t="s">
        <v>391</v>
      </c>
      <c r="H409" s="4">
        <v>3193806</v>
      </c>
      <c r="I409" s="4" t="s">
        <v>651</v>
      </c>
      <c r="J409" s="4" t="s">
        <v>387</v>
      </c>
      <c r="K409" s="4">
        <v>3211403</v>
      </c>
    </row>
    <row r="410" spans="1:43" s="3" customFormat="1" x14ac:dyDescent="0.3">
      <c r="B410" s="44">
        <v>45920</v>
      </c>
      <c r="C410" s="3" t="s">
        <v>416</v>
      </c>
      <c r="D410" s="3" t="s">
        <v>499</v>
      </c>
      <c r="E410" s="42"/>
      <c r="F410" s="3" t="s">
        <v>687</v>
      </c>
      <c r="G410" s="3" t="s">
        <v>231</v>
      </c>
      <c r="H410" s="4">
        <v>3819503</v>
      </c>
      <c r="I410" s="3" t="s">
        <v>651</v>
      </c>
      <c r="J410" s="3" t="s">
        <v>226</v>
      </c>
      <c r="K410" s="4">
        <v>3361902</v>
      </c>
      <c r="M410" s="51"/>
    </row>
    <row r="411" spans="1:43" s="3" customFormat="1" x14ac:dyDescent="0.3">
      <c r="A411" s="4"/>
      <c r="B411" s="100">
        <v>45921</v>
      </c>
      <c r="C411" s="98" t="s">
        <v>553</v>
      </c>
      <c r="D411" s="4" t="s">
        <v>521</v>
      </c>
      <c r="E411" s="4"/>
      <c r="F411" s="73" t="s">
        <v>522</v>
      </c>
      <c r="G411" s="73" t="s">
        <v>522</v>
      </c>
      <c r="H411" s="73"/>
      <c r="I411" s="73" t="s">
        <v>479</v>
      </c>
      <c r="J411" s="73" t="s">
        <v>479</v>
      </c>
      <c r="K411" s="4" t="s">
        <v>418</v>
      </c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spans="1:43" s="3" customFormat="1" x14ac:dyDescent="0.3">
      <c r="A412" s="4"/>
      <c r="B412" s="100">
        <v>45921</v>
      </c>
      <c r="C412" s="98" t="s">
        <v>553</v>
      </c>
      <c r="D412" s="4" t="s">
        <v>521</v>
      </c>
      <c r="E412" s="4"/>
      <c r="F412" s="73" t="s">
        <v>472</v>
      </c>
      <c r="G412" s="73" t="s">
        <v>472</v>
      </c>
      <c r="H412" s="73"/>
      <c r="I412" s="73" t="s">
        <v>471</v>
      </c>
      <c r="J412" s="73" t="s">
        <v>471</v>
      </c>
      <c r="K412" s="4" t="s">
        <v>418</v>
      </c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spans="1:43" s="3" customFormat="1" x14ac:dyDescent="0.3">
      <c r="A413" s="4"/>
      <c r="B413" s="100">
        <v>45921</v>
      </c>
      <c r="C413" s="98" t="s">
        <v>553</v>
      </c>
      <c r="D413" s="4" t="s">
        <v>516</v>
      </c>
      <c r="E413" s="4"/>
      <c r="F413" s="73" t="s">
        <v>474</v>
      </c>
      <c r="G413" s="73" t="s">
        <v>474</v>
      </c>
      <c r="H413" s="73"/>
      <c r="I413" s="73" t="s">
        <v>517</v>
      </c>
      <c r="J413" s="73" t="s">
        <v>517</v>
      </c>
      <c r="K413" s="4" t="s">
        <v>418</v>
      </c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spans="1:43" s="3" customFormat="1" x14ac:dyDescent="0.3">
      <c r="A414" s="4"/>
      <c r="B414" s="100">
        <v>45921</v>
      </c>
      <c r="C414" s="98" t="s">
        <v>553</v>
      </c>
      <c r="D414" s="4" t="s">
        <v>516</v>
      </c>
      <c r="E414" s="4"/>
      <c r="F414" s="73" t="s">
        <v>518</v>
      </c>
      <c r="G414" s="73" t="s">
        <v>518</v>
      </c>
      <c r="H414" s="73"/>
      <c r="I414" s="73" t="s">
        <v>519</v>
      </c>
      <c r="J414" s="73" t="s">
        <v>519</v>
      </c>
      <c r="K414" s="4" t="s">
        <v>418</v>
      </c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spans="1:43" s="3" customFormat="1" x14ac:dyDescent="0.3">
      <c r="A415" s="4"/>
      <c r="B415" s="100">
        <v>45921</v>
      </c>
      <c r="C415" s="98" t="s">
        <v>553</v>
      </c>
      <c r="D415" s="4" t="s">
        <v>516</v>
      </c>
      <c r="E415" s="4"/>
      <c r="F415" s="73" t="s">
        <v>520</v>
      </c>
      <c r="G415" s="73" t="s">
        <v>520</v>
      </c>
      <c r="H415" s="73"/>
      <c r="I415" s="73" t="s">
        <v>476</v>
      </c>
      <c r="J415" s="73" t="s">
        <v>476</v>
      </c>
      <c r="K415" s="4" t="s">
        <v>418</v>
      </c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spans="1:43" s="3" customFormat="1" x14ac:dyDescent="0.3">
      <c r="A416" s="4"/>
      <c r="B416" s="100">
        <v>45927</v>
      </c>
      <c r="C416" s="98" t="s">
        <v>553</v>
      </c>
      <c r="D416" s="4" t="s">
        <v>508</v>
      </c>
      <c r="E416" s="4"/>
      <c r="F416" s="73" t="s">
        <v>475</v>
      </c>
      <c r="G416" s="73" t="s">
        <v>475</v>
      </c>
      <c r="H416" s="73"/>
      <c r="I416" s="73" t="s">
        <v>478</v>
      </c>
      <c r="J416" s="73" t="s">
        <v>478</v>
      </c>
      <c r="K416" s="4" t="s">
        <v>418</v>
      </c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spans="1:43" s="3" customFormat="1" x14ac:dyDescent="0.3">
      <c r="B417" s="44">
        <v>45927</v>
      </c>
      <c r="C417" s="3" t="s">
        <v>416</v>
      </c>
      <c r="D417" s="3" t="s">
        <v>490</v>
      </c>
      <c r="E417" s="4"/>
      <c r="F417" s="3" t="s">
        <v>475</v>
      </c>
      <c r="G417" s="3" t="s">
        <v>125</v>
      </c>
      <c r="H417" s="4">
        <v>3362807</v>
      </c>
      <c r="I417" s="4" t="s">
        <v>653</v>
      </c>
      <c r="J417" s="4" t="s">
        <v>126</v>
      </c>
      <c r="K417" s="4">
        <v>3361402</v>
      </c>
    </row>
    <row r="418" spans="1:43" s="3" customFormat="1" x14ac:dyDescent="0.3">
      <c r="B418" s="44">
        <v>45927</v>
      </c>
      <c r="C418" s="3" t="s">
        <v>416</v>
      </c>
      <c r="D418" s="3" t="s">
        <v>64</v>
      </c>
      <c r="E418" s="42">
        <v>4370907</v>
      </c>
      <c r="F418" s="3" t="s">
        <v>475</v>
      </c>
      <c r="G418" s="3" t="s">
        <v>310</v>
      </c>
      <c r="H418" s="4">
        <v>3212402</v>
      </c>
      <c r="I418" s="4" t="s">
        <v>670</v>
      </c>
      <c r="J418" s="4" t="s">
        <v>343</v>
      </c>
      <c r="K418" s="4">
        <v>3195606</v>
      </c>
    </row>
    <row r="419" spans="1:43" s="3" customFormat="1" x14ac:dyDescent="0.3">
      <c r="B419" s="44">
        <v>45927</v>
      </c>
      <c r="C419" s="3" t="s">
        <v>416</v>
      </c>
      <c r="D419" s="3" t="s">
        <v>494</v>
      </c>
      <c r="E419" s="42"/>
      <c r="F419" s="3" t="s">
        <v>475</v>
      </c>
      <c r="G419" s="3" t="s">
        <v>183</v>
      </c>
      <c r="H419" s="4">
        <v>3362901</v>
      </c>
      <c r="I419" s="3" t="s">
        <v>692</v>
      </c>
      <c r="J419" s="3" t="s">
        <v>144</v>
      </c>
      <c r="K419" s="4">
        <v>3347904</v>
      </c>
    </row>
    <row r="420" spans="1:43" s="3" customFormat="1" x14ac:dyDescent="0.3">
      <c r="B420" s="44">
        <v>45927</v>
      </c>
      <c r="C420" s="3" t="s">
        <v>416</v>
      </c>
      <c r="D420" s="3" t="s">
        <v>70</v>
      </c>
      <c r="E420" s="42"/>
      <c r="F420" s="3" t="s">
        <v>475</v>
      </c>
      <c r="G420" s="3" t="s">
        <v>370</v>
      </c>
      <c r="H420" s="4">
        <v>3211903</v>
      </c>
      <c r="I420" s="3" t="s">
        <v>475</v>
      </c>
      <c r="J420" s="3" t="s">
        <v>371</v>
      </c>
      <c r="K420" s="53">
        <v>3212006</v>
      </c>
    </row>
    <row r="421" spans="1:43" s="3" customFormat="1" x14ac:dyDescent="0.3">
      <c r="B421" s="44">
        <v>45927</v>
      </c>
      <c r="C421" s="3" t="s">
        <v>416</v>
      </c>
      <c r="D421" s="3" t="s">
        <v>501</v>
      </c>
      <c r="E421" s="42"/>
      <c r="F421" s="3" t="s">
        <v>475</v>
      </c>
      <c r="G421" s="3" t="s">
        <v>241</v>
      </c>
      <c r="H421" s="4">
        <v>3362401</v>
      </c>
      <c r="I421" s="3" t="s">
        <v>722</v>
      </c>
      <c r="J421" s="3" t="s">
        <v>600</v>
      </c>
      <c r="K421" s="4" t="s">
        <v>556</v>
      </c>
      <c r="M421" s="3" t="s">
        <v>241</v>
      </c>
      <c r="N421" s="3" t="s">
        <v>226</v>
      </c>
    </row>
    <row r="422" spans="1:43" s="3" customFormat="1" x14ac:dyDescent="0.3">
      <c r="B422" s="44">
        <v>45927</v>
      </c>
      <c r="C422" s="3" t="s">
        <v>416</v>
      </c>
      <c r="D422" s="3" t="s">
        <v>492</v>
      </c>
      <c r="E422" s="42"/>
      <c r="F422" s="4" t="s">
        <v>648</v>
      </c>
      <c r="G422" s="4" t="s">
        <v>201</v>
      </c>
      <c r="H422" s="4">
        <v>3362203</v>
      </c>
      <c r="I422" s="4" t="s">
        <v>652</v>
      </c>
      <c r="J422" s="4" t="s">
        <v>157</v>
      </c>
      <c r="K422" s="4">
        <v>3358503</v>
      </c>
    </row>
    <row r="423" spans="1:43" s="3" customFormat="1" x14ac:dyDescent="0.3">
      <c r="B423" s="44">
        <v>45927</v>
      </c>
      <c r="C423" s="3" t="s">
        <v>416</v>
      </c>
      <c r="D423" s="3" t="s">
        <v>68</v>
      </c>
      <c r="E423" s="42"/>
      <c r="F423" s="3" t="s">
        <v>649</v>
      </c>
      <c r="G423" s="3" t="s">
        <v>456</v>
      </c>
      <c r="H423" s="4">
        <v>3545602</v>
      </c>
      <c r="I423" s="4" t="s">
        <v>687</v>
      </c>
      <c r="J423" s="4" t="s">
        <v>391</v>
      </c>
      <c r="K423" s="4">
        <v>3193806</v>
      </c>
    </row>
    <row r="424" spans="1:43" s="3" customFormat="1" x14ac:dyDescent="0.3">
      <c r="B424" s="44">
        <v>45927</v>
      </c>
      <c r="C424" s="3" t="s">
        <v>416</v>
      </c>
      <c r="D424" s="3" t="s">
        <v>486</v>
      </c>
      <c r="E424" s="42"/>
      <c r="F424" s="4" t="s">
        <v>651</v>
      </c>
      <c r="G424" s="4" t="s">
        <v>97</v>
      </c>
      <c r="H424" s="4">
        <v>3362005</v>
      </c>
      <c r="I424" s="3" t="s">
        <v>671</v>
      </c>
      <c r="J424" s="3" t="s">
        <v>108</v>
      </c>
      <c r="K424" s="4">
        <v>3359700</v>
      </c>
    </row>
    <row r="425" spans="1:43" s="3" customFormat="1" x14ac:dyDescent="0.3">
      <c r="B425" s="44">
        <v>45927</v>
      </c>
      <c r="C425" s="3" t="s">
        <v>416</v>
      </c>
      <c r="D425" s="3" t="s">
        <v>68</v>
      </c>
      <c r="E425" s="42"/>
      <c r="F425" s="3" t="s">
        <v>651</v>
      </c>
      <c r="G425" s="3" t="s">
        <v>387</v>
      </c>
      <c r="H425" s="4">
        <v>3211403</v>
      </c>
      <c r="I425" s="4" t="s">
        <v>474</v>
      </c>
      <c r="J425" s="4" t="s">
        <v>383</v>
      </c>
      <c r="K425" s="4">
        <v>3200502</v>
      </c>
    </row>
    <row r="426" spans="1:43" s="3" customFormat="1" x14ac:dyDescent="0.3">
      <c r="B426" s="44">
        <v>45927</v>
      </c>
      <c r="C426" s="3" t="s">
        <v>416</v>
      </c>
      <c r="D426" s="3" t="s">
        <v>499</v>
      </c>
      <c r="E426" s="42"/>
      <c r="F426" s="3" t="s">
        <v>651</v>
      </c>
      <c r="G426" s="3" t="s">
        <v>226</v>
      </c>
      <c r="H426" s="4">
        <v>3361902</v>
      </c>
      <c r="I426" s="3" t="s">
        <v>723</v>
      </c>
      <c r="J426" s="3" t="s">
        <v>599</v>
      </c>
      <c r="K426" s="4" t="s">
        <v>556</v>
      </c>
      <c r="M426" s="3" t="s">
        <v>241</v>
      </c>
      <c r="N426" s="3" t="s">
        <v>226</v>
      </c>
    </row>
    <row r="427" spans="1:43" s="3" customFormat="1" x14ac:dyDescent="0.3">
      <c r="B427" s="44">
        <v>45927</v>
      </c>
      <c r="C427" s="3" t="s">
        <v>416</v>
      </c>
      <c r="D427" s="3" t="s">
        <v>59</v>
      </c>
      <c r="E427" s="42"/>
      <c r="F427" s="4" t="s">
        <v>653</v>
      </c>
      <c r="G427" s="4" t="s">
        <v>272</v>
      </c>
      <c r="H427" s="4">
        <v>3211205</v>
      </c>
      <c r="I427" s="3" t="s">
        <v>710</v>
      </c>
      <c r="J427" s="3" t="s">
        <v>279</v>
      </c>
      <c r="K427" s="4">
        <v>3199706</v>
      </c>
    </row>
    <row r="428" spans="1:43" s="3" customFormat="1" x14ac:dyDescent="0.3">
      <c r="B428" s="44">
        <v>45927</v>
      </c>
      <c r="C428" s="3" t="s">
        <v>416</v>
      </c>
      <c r="D428" s="3" t="s">
        <v>497</v>
      </c>
      <c r="E428" s="42"/>
      <c r="F428" s="17" t="s">
        <v>653</v>
      </c>
      <c r="G428" s="17" t="s">
        <v>208</v>
      </c>
      <c r="H428" s="74">
        <v>3361308</v>
      </c>
      <c r="I428" s="17" t="s">
        <v>653</v>
      </c>
      <c r="J428" s="17" t="s">
        <v>209</v>
      </c>
      <c r="K428" s="74">
        <v>3360705</v>
      </c>
    </row>
    <row r="429" spans="1:43" s="3" customFormat="1" x14ac:dyDescent="0.3">
      <c r="B429" s="44">
        <v>45927</v>
      </c>
      <c r="C429" s="3" t="s">
        <v>416</v>
      </c>
      <c r="D429" s="3" t="s">
        <v>65</v>
      </c>
      <c r="E429" s="42"/>
      <c r="F429" s="3" t="s">
        <v>653</v>
      </c>
      <c r="G429" s="3" t="s">
        <v>451</v>
      </c>
      <c r="H429" s="4">
        <v>3211309</v>
      </c>
      <c r="I429" s="15" t="s">
        <v>691</v>
      </c>
      <c r="J429" s="15" t="s">
        <v>327</v>
      </c>
      <c r="K429" s="74">
        <v>3198603</v>
      </c>
    </row>
    <row r="430" spans="1:43" s="3" customFormat="1" x14ac:dyDescent="0.3">
      <c r="B430" s="44">
        <v>45927</v>
      </c>
      <c r="C430" s="3" t="s">
        <v>416</v>
      </c>
      <c r="D430" s="3" t="s">
        <v>593</v>
      </c>
      <c r="E430" s="42"/>
      <c r="F430" s="3" t="s">
        <v>653</v>
      </c>
      <c r="G430" s="3" t="s">
        <v>459</v>
      </c>
      <c r="H430" s="4">
        <v>3211101</v>
      </c>
      <c r="I430" s="4" t="s">
        <v>694</v>
      </c>
      <c r="J430" s="4" t="s">
        <v>632</v>
      </c>
      <c r="K430" s="4">
        <v>4023303</v>
      </c>
    </row>
    <row r="431" spans="1:43" s="3" customFormat="1" x14ac:dyDescent="0.3">
      <c r="A431" s="4"/>
      <c r="B431" s="99">
        <v>45927</v>
      </c>
      <c r="C431" s="98" t="s">
        <v>553</v>
      </c>
      <c r="D431" s="4" t="s">
        <v>514</v>
      </c>
      <c r="E431" s="4"/>
      <c r="F431" s="73" t="s">
        <v>479</v>
      </c>
      <c r="G431" s="73" t="s">
        <v>479</v>
      </c>
      <c r="H431" s="73"/>
      <c r="I431" s="73" t="s">
        <v>526</v>
      </c>
      <c r="J431" s="73" t="s">
        <v>526</v>
      </c>
      <c r="K431" s="4" t="s">
        <v>418</v>
      </c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spans="1:43" s="3" customFormat="1" x14ac:dyDescent="0.3">
      <c r="B432" s="44">
        <v>45927</v>
      </c>
      <c r="C432" s="3" t="s">
        <v>416</v>
      </c>
      <c r="D432" s="3" t="s">
        <v>504</v>
      </c>
      <c r="E432" s="42"/>
      <c r="F432" s="3" t="s">
        <v>479</v>
      </c>
      <c r="G432" s="3" t="s">
        <v>9</v>
      </c>
      <c r="H432" s="4">
        <v>3033405</v>
      </c>
      <c r="I432" s="3" t="s">
        <v>662</v>
      </c>
      <c r="J432" s="3" t="s">
        <v>99</v>
      </c>
      <c r="K432" s="4">
        <v>3125604</v>
      </c>
    </row>
    <row r="433" spans="1:43" s="3" customFormat="1" x14ac:dyDescent="0.3">
      <c r="B433" s="44">
        <v>45927</v>
      </c>
      <c r="C433" s="3" t="s">
        <v>416</v>
      </c>
      <c r="D433" s="3" t="s">
        <v>490</v>
      </c>
      <c r="E433" s="4"/>
      <c r="F433" s="3" t="s">
        <v>479</v>
      </c>
      <c r="G433" s="3" t="s">
        <v>136</v>
      </c>
      <c r="H433" s="4">
        <v>3360903</v>
      </c>
      <c r="I433" s="4" t="s">
        <v>476</v>
      </c>
      <c r="J433" s="4" t="s">
        <v>168</v>
      </c>
      <c r="K433" s="4">
        <v>3356505</v>
      </c>
    </row>
    <row r="434" spans="1:43" s="3" customFormat="1" x14ac:dyDescent="0.3">
      <c r="B434" s="44">
        <v>45927</v>
      </c>
      <c r="C434" s="3" t="s">
        <v>416</v>
      </c>
      <c r="D434" s="3" t="s">
        <v>590</v>
      </c>
      <c r="E434" s="42"/>
      <c r="F434" s="4" t="s">
        <v>479</v>
      </c>
      <c r="G434" s="4" t="s">
        <v>284</v>
      </c>
      <c r="H434" s="4">
        <v>3210904</v>
      </c>
      <c r="I434" s="3" t="s">
        <v>648</v>
      </c>
      <c r="J434" s="3" t="s">
        <v>449</v>
      </c>
      <c r="K434" s="4">
        <v>3961500</v>
      </c>
    </row>
    <row r="435" spans="1:43" s="3" customFormat="1" x14ac:dyDescent="0.3">
      <c r="B435" s="44">
        <v>45927</v>
      </c>
      <c r="C435" s="3" t="s">
        <v>416</v>
      </c>
      <c r="D435" s="3" t="s">
        <v>490</v>
      </c>
      <c r="E435" s="4"/>
      <c r="F435" s="3" t="s">
        <v>479</v>
      </c>
      <c r="G435" s="3" t="s">
        <v>166</v>
      </c>
      <c r="H435" s="4">
        <v>3361006</v>
      </c>
      <c r="I435" s="4" t="s">
        <v>717</v>
      </c>
      <c r="J435" s="4" t="s">
        <v>425</v>
      </c>
      <c r="K435" s="4">
        <v>3347206</v>
      </c>
    </row>
    <row r="436" spans="1:43" s="3" customFormat="1" x14ac:dyDescent="0.3">
      <c r="B436" s="44">
        <v>45927</v>
      </c>
      <c r="C436" s="3" t="s">
        <v>416</v>
      </c>
      <c r="D436" s="3" t="s">
        <v>493</v>
      </c>
      <c r="E436" s="42"/>
      <c r="F436" s="3" t="s">
        <v>479</v>
      </c>
      <c r="G436" s="3" t="s">
        <v>210</v>
      </c>
      <c r="H436" s="4">
        <v>3361100</v>
      </c>
      <c r="I436" s="4" t="s">
        <v>657</v>
      </c>
      <c r="J436" s="4" t="s">
        <v>167</v>
      </c>
      <c r="K436" s="4">
        <v>3359804</v>
      </c>
    </row>
    <row r="437" spans="1:43" s="3" customFormat="1" x14ac:dyDescent="0.3">
      <c r="B437" s="44">
        <v>45927</v>
      </c>
      <c r="C437" s="3" t="s">
        <v>416</v>
      </c>
      <c r="D437" s="3" t="s">
        <v>65</v>
      </c>
      <c r="E437" s="42"/>
      <c r="F437" s="3" t="s">
        <v>479</v>
      </c>
      <c r="G437" s="3" t="s">
        <v>320</v>
      </c>
      <c r="H437" s="4">
        <v>3210602</v>
      </c>
      <c r="I437" s="4" t="s">
        <v>663</v>
      </c>
      <c r="J437" s="4" t="s">
        <v>290</v>
      </c>
      <c r="K437" s="4">
        <v>3197500</v>
      </c>
    </row>
    <row r="438" spans="1:43" s="3" customFormat="1" x14ac:dyDescent="0.3">
      <c r="B438" s="44">
        <v>45927</v>
      </c>
      <c r="C438" s="3" t="s">
        <v>416</v>
      </c>
      <c r="D438" s="3" t="s">
        <v>500</v>
      </c>
      <c r="E438" s="42"/>
      <c r="F438" s="3" t="s">
        <v>479</v>
      </c>
      <c r="G438" s="3" t="s">
        <v>465</v>
      </c>
      <c r="H438" s="4">
        <v>3962207</v>
      </c>
      <c r="I438" s="4" t="s">
        <v>479</v>
      </c>
      <c r="J438" s="4" t="s">
        <v>232</v>
      </c>
      <c r="K438" s="4">
        <v>3360507</v>
      </c>
    </row>
    <row r="439" spans="1:43" s="3" customFormat="1" x14ac:dyDescent="0.3">
      <c r="B439" s="44">
        <v>45927</v>
      </c>
      <c r="C439" s="3" t="s">
        <v>416</v>
      </c>
      <c r="D439" s="3" t="s">
        <v>61</v>
      </c>
      <c r="E439" s="42"/>
      <c r="F439" s="4" t="s">
        <v>658</v>
      </c>
      <c r="G439" s="4" t="s">
        <v>301</v>
      </c>
      <c r="H439" s="4">
        <v>3210300</v>
      </c>
      <c r="I439" s="3" t="s">
        <v>645</v>
      </c>
      <c r="J439" s="3" t="s">
        <v>309</v>
      </c>
      <c r="K439" s="4">
        <v>3082104</v>
      </c>
    </row>
    <row r="440" spans="1:43" s="3" customFormat="1" x14ac:dyDescent="0.3">
      <c r="B440" s="44">
        <v>45927</v>
      </c>
      <c r="C440" s="3" t="s">
        <v>416</v>
      </c>
      <c r="D440" s="3" t="s">
        <v>63</v>
      </c>
      <c r="E440" s="42"/>
      <c r="F440" s="3" t="s">
        <v>658</v>
      </c>
      <c r="G440" s="3" t="s">
        <v>366</v>
      </c>
      <c r="H440" s="74">
        <v>3210404</v>
      </c>
      <c r="I440" s="104" t="s">
        <v>712</v>
      </c>
      <c r="J440" s="104" t="s">
        <v>334</v>
      </c>
      <c r="K440" s="74">
        <v>3198009</v>
      </c>
    </row>
    <row r="441" spans="1:43" s="3" customFormat="1" x14ac:dyDescent="0.3">
      <c r="A441" s="4"/>
      <c r="B441" s="99">
        <v>45927</v>
      </c>
      <c r="C441" s="98" t="s">
        <v>553</v>
      </c>
      <c r="D441" s="4" t="s">
        <v>506</v>
      </c>
      <c r="E441" s="4"/>
      <c r="F441" s="73" t="s">
        <v>480</v>
      </c>
      <c r="G441" s="73" t="s">
        <v>480</v>
      </c>
      <c r="H441" s="73"/>
      <c r="I441" s="73" t="s">
        <v>523</v>
      </c>
      <c r="J441" s="73" t="s">
        <v>523</v>
      </c>
      <c r="K441" s="4" t="s">
        <v>418</v>
      </c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spans="1:43" s="3" customFormat="1" x14ac:dyDescent="0.3">
      <c r="B442" s="44">
        <v>45927</v>
      </c>
      <c r="C442" s="3" t="s">
        <v>416</v>
      </c>
      <c r="D442" s="3" t="s">
        <v>504</v>
      </c>
      <c r="E442" s="42"/>
      <c r="F442" s="4" t="s">
        <v>480</v>
      </c>
      <c r="G442" s="4" t="s">
        <v>505</v>
      </c>
      <c r="H442" s="4">
        <v>3033207</v>
      </c>
      <c r="I442" s="3" t="s">
        <v>666</v>
      </c>
      <c r="J442" s="3" t="s">
        <v>12</v>
      </c>
      <c r="K442" s="4">
        <v>3034206</v>
      </c>
    </row>
    <row r="443" spans="1:43" s="3" customFormat="1" x14ac:dyDescent="0.3">
      <c r="B443" s="44">
        <v>45927</v>
      </c>
      <c r="C443" s="3" t="s">
        <v>416</v>
      </c>
      <c r="D443" s="3" t="s">
        <v>486</v>
      </c>
      <c r="E443" s="42"/>
      <c r="F443" s="3" t="s">
        <v>480</v>
      </c>
      <c r="G443" s="3" t="s">
        <v>406</v>
      </c>
      <c r="H443" s="4">
        <v>3124501</v>
      </c>
      <c r="I443" s="3" t="s">
        <v>673</v>
      </c>
      <c r="J443" s="3" t="s">
        <v>106</v>
      </c>
      <c r="K443" s="4">
        <v>3067607</v>
      </c>
    </row>
    <row r="444" spans="1:43" s="3" customFormat="1" x14ac:dyDescent="0.3">
      <c r="B444" s="44">
        <v>45927</v>
      </c>
      <c r="C444" s="3" t="s">
        <v>416</v>
      </c>
      <c r="D444" s="3" t="s">
        <v>56</v>
      </c>
      <c r="E444" s="42"/>
      <c r="F444" s="4" t="s">
        <v>661</v>
      </c>
      <c r="G444" s="4" t="s">
        <v>439</v>
      </c>
      <c r="H444" s="4">
        <v>3023701</v>
      </c>
      <c r="I444" s="3" t="s">
        <v>690</v>
      </c>
      <c r="J444" s="3" t="s">
        <v>250</v>
      </c>
      <c r="K444" s="4">
        <v>3070100</v>
      </c>
    </row>
    <row r="445" spans="1:43" s="3" customFormat="1" x14ac:dyDescent="0.3">
      <c r="B445" s="44">
        <v>45927</v>
      </c>
      <c r="C445" s="3" t="s">
        <v>416</v>
      </c>
      <c r="D445" s="3" t="s">
        <v>59</v>
      </c>
      <c r="E445" s="42"/>
      <c r="F445" s="4" t="s">
        <v>661</v>
      </c>
      <c r="G445" s="4" t="s">
        <v>641</v>
      </c>
      <c r="H445" s="4">
        <v>3055707</v>
      </c>
      <c r="I445" s="3" t="s">
        <v>479</v>
      </c>
      <c r="J445" s="3" t="s">
        <v>273</v>
      </c>
      <c r="K445" s="4">
        <v>3211007</v>
      </c>
    </row>
    <row r="446" spans="1:43" s="3" customFormat="1" x14ac:dyDescent="0.3">
      <c r="B446" s="44">
        <v>45927</v>
      </c>
      <c r="C446" s="3" t="s">
        <v>416</v>
      </c>
      <c r="D446" s="3" t="s">
        <v>593</v>
      </c>
      <c r="E446" s="42"/>
      <c r="F446" s="3" t="s">
        <v>661</v>
      </c>
      <c r="G446" s="3" t="s">
        <v>640</v>
      </c>
      <c r="H446" s="4">
        <v>3210102</v>
      </c>
      <c r="I446" s="15" t="s">
        <v>570</v>
      </c>
      <c r="J446" s="15" t="s">
        <v>570</v>
      </c>
      <c r="K446" s="74" t="s">
        <v>556</v>
      </c>
    </row>
    <row r="447" spans="1:43" s="3" customFormat="1" x14ac:dyDescent="0.3">
      <c r="B447" s="44">
        <v>45927</v>
      </c>
      <c r="C447" s="3" t="s">
        <v>416</v>
      </c>
      <c r="D447" s="3" t="s">
        <v>487</v>
      </c>
      <c r="E447" s="4"/>
      <c r="F447" s="4" t="s">
        <v>657</v>
      </c>
      <c r="G447" s="4" t="s">
        <v>107</v>
      </c>
      <c r="H447" s="4">
        <v>3068408</v>
      </c>
      <c r="I447" s="3" t="s">
        <v>475</v>
      </c>
      <c r="J447" s="3" t="s">
        <v>96</v>
      </c>
      <c r="K447" s="4">
        <v>3067107</v>
      </c>
    </row>
    <row r="448" spans="1:43" s="3" customFormat="1" x14ac:dyDescent="0.3">
      <c r="B448" s="44">
        <v>45927</v>
      </c>
      <c r="C448" s="3" t="s">
        <v>416</v>
      </c>
      <c r="D448" s="3" t="s">
        <v>590</v>
      </c>
      <c r="E448" s="42"/>
      <c r="F448" s="4" t="s">
        <v>657</v>
      </c>
      <c r="G448" s="4" t="s">
        <v>321</v>
      </c>
      <c r="H448" s="4">
        <v>3209607</v>
      </c>
      <c r="I448" s="3" t="s">
        <v>676</v>
      </c>
      <c r="J448" s="3" t="s">
        <v>285</v>
      </c>
      <c r="K448" s="4">
        <v>3208504</v>
      </c>
    </row>
    <row r="449" spans="2:11" s="3" customFormat="1" x14ac:dyDescent="0.3">
      <c r="B449" s="44">
        <v>45927</v>
      </c>
      <c r="C449" s="3" t="s">
        <v>416</v>
      </c>
      <c r="D449" s="3" t="s">
        <v>497</v>
      </c>
      <c r="E449" s="42"/>
      <c r="F449" s="17" t="s">
        <v>657</v>
      </c>
      <c r="G449" s="17" t="s">
        <v>213</v>
      </c>
      <c r="H449" s="74">
        <v>3359502</v>
      </c>
      <c r="I449" s="17" t="s">
        <v>480</v>
      </c>
      <c r="J449" s="17" t="s">
        <v>428</v>
      </c>
      <c r="K449" s="74">
        <v>3360309</v>
      </c>
    </row>
    <row r="450" spans="2:11" s="3" customFormat="1" x14ac:dyDescent="0.3">
      <c r="B450" s="44">
        <v>45927</v>
      </c>
      <c r="C450" s="3" t="s">
        <v>416</v>
      </c>
      <c r="D450" s="3" t="s">
        <v>495</v>
      </c>
      <c r="E450" s="42"/>
      <c r="F450" s="3" t="s">
        <v>570</v>
      </c>
      <c r="G450" s="3" t="s">
        <v>570</v>
      </c>
      <c r="H450" s="4" t="s">
        <v>556</v>
      </c>
      <c r="I450" s="3" t="s">
        <v>685</v>
      </c>
      <c r="J450" s="3" t="s">
        <v>197</v>
      </c>
      <c r="K450" s="4">
        <v>3353300</v>
      </c>
    </row>
    <row r="451" spans="2:11" s="3" customFormat="1" x14ac:dyDescent="0.3">
      <c r="B451" s="44">
        <v>45927</v>
      </c>
      <c r="C451" s="3" t="s">
        <v>416</v>
      </c>
      <c r="D451" s="3" t="s">
        <v>67</v>
      </c>
      <c r="E451" s="42"/>
      <c r="F451" s="4" t="s">
        <v>570</v>
      </c>
      <c r="G451" s="4" t="s">
        <v>570</v>
      </c>
      <c r="H451" s="4" t="s">
        <v>556</v>
      </c>
      <c r="I451" s="3" t="s">
        <v>662</v>
      </c>
      <c r="J451" s="3" t="s">
        <v>373</v>
      </c>
      <c r="K451" s="4">
        <v>3207807</v>
      </c>
    </row>
    <row r="452" spans="2:11" s="3" customFormat="1" x14ac:dyDescent="0.3">
      <c r="B452" s="44">
        <v>45927</v>
      </c>
      <c r="C452" s="3" t="s">
        <v>416</v>
      </c>
      <c r="D452" s="3" t="s">
        <v>68</v>
      </c>
      <c r="E452" s="42"/>
      <c r="F452" s="3" t="s">
        <v>570</v>
      </c>
      <c r="G452" s="3" t="s">
        <v>570</v>
      </c>
      <c r="H452" s="4" t="s">
        <v>556</v>
      </c>
      <c r="I452" s="4" t="s">
        <v>665</v>
      </c>
      <c r="J452" s="4" t="s">
        <v>457</v>
      </c>
      <c r="K452" s="4">
        <v>3818806</v>
      </c>
    </row>
    <row r="453" spans="2:11" s="3" customFormat="1" x14ac:dyDescent="0.3">
      <c r="B453" s="44">
        <v>45927</v>
      </c>
      <c r="C453" s="3" t="s">
        <v>416</v>
      </c>
      <c r="D453" s="3" t="s">
        <v>60</v>
      </c>
      <c r="E453" s="42"/>
      <c r="F453" s="3" t="s">
        <v>667</v>
      </c>
      <c r="G453" s="3" t="s">
        <v>444</v>
      </c>
      <c r="H453" s="4">
        <v>3209909</v>
      </c>
      <c r="I453" s="32" t="s">
        <v>705</v>
      </c>
      <c r="J453" s="32" t="s">
        <v>293</v>
      </c>
      <c r="K453" s="15">
        <v>3211705</v>
      </c>
    </row>
    <row r="454" spans="2:11" s="3" customFormat="1" x14ac:dyDescent="0.3">
      <c r="B454" s="44">
        <v>45927</v>
      </c>
      <c r="C454" s="3" t="s">
        <v>416</v>
      </c>
      <c r="D454" s="3" t="s">
        <v>64</v>
      </c>
      <c r="E454" s="42">
        <v>4370907</v>
      </c>
      <c r="F454" s="3" t="s">
        <v>669</v>
      </c>
      <c r="G454" s="3" t="s">
        <v>337</v>
      </c>
      <c r="H454" s="4">
        <v>3209305</v>
      </c>
      <c r="I454" s="4" t="s">
        <v>671</v>
      </c>
      <c r="J454" s="4" t="s">
        <v>312</v>
      </c>
      <c r="K454" s="4">
        <v>3209107</v>
      </c>
    </row>
    <row r="455" spans="2:11" s="3" customFormat="1" x14ac:dyDescent="0.3">
      <c r="B455" s="44">
        <v>45927</v>
      </c>
      <c r="C455" s="3" t="s">
        <v>416</v>
      </c>
      <c r="D455" s="3" t="s">
        <v>504</v>
      </c>
      <c r="E455" s="42"/>
      <c r="F455" s="4" t="s">
        <v>671</v>
      </c>
      <c r="G455" s="4" t="s">
        <v>8</v>
      </c>
      <c r="H455" s="4">
        <v>3034008</v>
      </c>
      <c r="I455" s="3" t="s">
        <v>475</v>
      </c>
      <c r="J455" s="3" t="s">
        <v>15</v>
      </c>
      <c r="K455" s="4">
        <v>3029601</v>
      </c>
    </row>
    <row r="456" spans="2:11" s="3" customFormat="1" x14ac:dyDescent="0.3">
      <c r="B456" s="44">
        <v>45927</v>
      </c>
      <c r="C456" s="3" t="s">
        <v>416</v>
      </c>
      <c r="D456" s="3" t="s">
        <v>590</v>
      </c>
      <c r="E456" s="42"/>
      <c r="F456" s="4" t="s">
        <v>671</v>
      </c>
      <c r="G456" s="4" t="s">
        <v>311</v>
      </c>
      <c r="H456" s="4">
        <v>3209003</v>
      </c>
      <c r="I456" s="3" t="s">
        <v>691</v>
      </c>
      <c r="J456" s="3" t="s">
        <v>289</v>
      </c>
      <c r="K456" s="4">
        <v>3068804</v>
      </c>
    </row>
    <row r="457" spans="2:11" s="3" customFormat="1" x14ac:dyDescent="0.3">
      <c r="B457" s="44">
        <v>45927</v>
      </c>
      <c r="C457" s="3" t="s">
        <v>416</v>
      </c>
      <c r="D457" s="3" t="s">
        <v>68</v>
      </c>
      <c r="E457" s="42"/>
      <c r="F457" s="3" t="s">
        <v>671</v>
      </c>
      <c r="G457" s="3" t="s">
        <v>389</v>
      </c>
      <c r="H457" s="4">
        <v>3209201</v>
      </c>
      <c r="I457" s="15" t="s">
        <v>664</v>
      </c>
      <c r="J457" s="15" t="s">
        <v>388</v>
      </c>
      <c r="K457" s="74">
        <v>3165306</v>
      </c>
    </row>
    <row r="458" spans="2:11" s="3" customFormat="1" x14ac:dyDescent="0.3">
      <c r="B458" s="44">
        <v>45927</v>
      </c>
      <c r="C458" s="3" t="s">
        <v>416</v>
      </c>
      <c r="D458" s="3" t="s">
        <v>496</v>
      </c>
      <c r="E458" s="42"/>
      <c r="F458" s="3" t="s">
        <v>671</v>
      </c>
      <c r="G458" s="3" t="s">
        <v>227</v>
      </c>
      <c r="H458" s="4">
        <v>3359408</v>
      </c>
      <c r="I458" s="3" t="s">
        <v>671</v>
      </c>
      <c r="J458" s="3" t="s">
        <v>203</v>
      </c>
      <c r="K458" s="4">
        <v>3359304</v>
      </c>
    </row>
    <row r="459" spans="2:11" s="3" customFormat="1" x14ac:dyDescent="0.3">
      <c r="B459" s="44">
        <v>45927</v>
      </c>
      <c r="C459" s="3" t="s">
        <v>416</v>
      </c>
      <c r="D459" s="4" t="s">
        <v>614</v>
      </c>
      <c r="E459" s="42"/>
      <c r="F459" s="3" t="s">
        <v>674</v>
      </c>
      <c r="G459" s="3" t="s">
        <v>346</v>
      </c>
      <c r="H459" s="4">
        <v>3208900</v>
      </c>
      <c r="I459" s="4" t="s">
        <v>713</v>
      </c>
      <c r="J459" s="4" t="s">
        <v>386</v>
      </c>
      <c r="K459" s="4">
        <v>3900807</v>
      </c>
    </row>
    <row r="460" spans="2:11" s="3" customFormat="1" x14ac:dyDescent="0.3">
      <c r="B460" s="44">
        <v>45927</v>
      </c>
      <c r="C460" s="3" t="s">
        <v>416</v>
      </c>
      <c r="D460" s="3" t="s">
        <v>490</v>
      </c>
      <c r="E460" s="4"/>
      <c r="F460" s="3" t="s">
        <v>676</v>
      </c>
      <c r="G460" s="3" t="s">
        <v>138</v>
      </c>
      <c r="H460" s="4">
        <v>3067805</v>
      </c>
      <c r="I460" s="4" t="s">
        <v>660</v>
      </c>
      <c r="J460" s="4" t="s">
        <v>137</v>
      </c>
      <c r="K460" s="4">
        <v>3359908</v>
      </c>
    </row>
    <row r="461" spans="2:11" s="3" customFormat="1" x14ac:dyDescent="0.3">
      <c r="B461" s="44">
        <v>45927</v>
      </c>
      <c r="C461" s="3" t="s">
        <v>416</v>
      </c>
      <c r="D461" s="3" t="s">
        <v>65</v>
      </c>
      <c r="E461" s="42"/>
      <c r="F461" s="3" t="s">
        <v>676</v>
      </c>
      <c r="G461" s="3" t="s">
        <v>356</v>
      </c>
      <c r="H461" s="4">
        <v>3208608</v>
      </c>
      <c r="I461" s="4" t="s">
        <v>476</v>
      </c>
      <c r="J461" s="4" t="s">
        <v>358</v>
      </c>
      <c r="K461" s="4">
        <v>3206402</v>
      </c>
    </row>
    <row r="462" spans="2:11" s="3" customFormat="1" x14ac:dyDescent="0.3">
      <c r="B462" s="44">
        <v>45927</v>
      </c>
      <c r="C462" s="3" t="s">
        <v>416</v>
      </c>
      <c r="D462" s="3" t="s">
        <v>500</v>
      </c>
      <c r="E462" s="42"/>
      <c r="F462" s="3" t="s">
        <v>676</v>
      </c>
      <c r="G462" s="3" t="s">
        <v>577</v>
      </c>
      <c r="H462" s="4" t="s">
        <v>556</v>
      </c>
      <c r="I462" s="4" t="s">
        <v>654</v>
      </c>
      <c r="J462" s="4" t="s">
        <v>576</v>
      </c>
      <c r="K462" s="4">
        <v>4009003</v>
      </c>
    </row>
    <row r="463" spans="2:11" s="3" customFormat="1" x14ac:dyDescent="0.3">
      <c r="B463" s="44">
        <v>45927</v>
      </c>
      <c r="C463" s="3" t="s">
        <v>416</v>
      </c>
      <c r="D463" s="3" t="s">
        <v>593</v>
      </c>
      <c r="E463" s="42"/>
      <c r="F463" s="3" t="s">
        <v>676</v>
      </c>
      <c r="G463" s="3" t="s">
        <v>639</v>
      </c>
      <c r="H463" s="4">
        <v>3776805</v>
      </c>
      <c r="I463" s="4" t="s">
        <v>663</v>
      </c>
      <c r="J463" s="4" t="s">
        <v>396</v>
      </c>
      <c r="K463" s="4">
        <v>3197104</v>
      </c>
    </row>
    <row r="464" spans="2:11" s="3" customFormat="1" x14ac:dyDescent="0.3">
      <c r="B464" s="44">
        <v>45927</v>
      </c>
      <c r="C464" s="3" t="s">
        <v>416</v>
      </c>
      <c r="D464" s="3" t="s">
        <v>486</v>
      </c>
      <c r="E464" s="42"/>
      <c r="F464" s="4" t="s">
        <v>680</v>
      </c>
      <c r="G464" s="4" t="s">
        <v>98</v>
      </c>
      <c r="H464" s="4">
        <v>3358909</v>
      </c>
      <c r="I464" s="3" t="s">
        <v>676</v>
      </c>
      <c r="J464" s="3" t="s">
        <v>109</v>
      </c>
      <c r="K464" s="4">
        <v>3067701</v>
      </c>
    </row>
    <row r="465" spans="2:13" s="3" customFormat="1" x14ac:dyDescent="0.3">
      <c r="B465" s="44">
        <v>45927</v>
      </c>
      <c r="C465" s="3" t="s">
        <v>416</v>
      </c>
      <c r="D465" s="3" t="s">
        <v>57</v>
      </c>
      <c r="E465" s="42"/>
      <c r="F465" s="4" t="s">
        <v>680</v>
      </c>
      <c r="G465" s="4" t="s">
        <v>266</v>
      </c>
      <c r="H465" s="4">
        <v>3208306</v>
      </c>
      <c r="I465" s="3" t="s">
        <v>667</v>
      </c>
      <c r="J465" s="3" t="s">
        <v>257</v>
      </c>
      <c r="K465" s="4">
        <v>3209805</v>
      </c>
    </row>
    <row r="466" spans="2:13" s="3" customFormat="1" x14ac:dyDescent="0.3">
      <c r="B466" s="44">
        <v>45927</v>
      </c>
      <c r="C466" s="3" t="s">
        <v>416</v>
      </c>
      <c r="D466" s="3" t="s">
        <v>63</v>
      </c>
      <c r="E466" s="42"/>
      <c r="F466" s="3" t="s">
        <v>680</v>
      </c>
      <c r="G466" s="3" t="s">
        <v>329</v>
      </c>
      <c r="H466" s="74">
        <v>3208108</v>
      </c>
      <c r="I466" s="104" t="s">
        <v>645</v>
      </c>
      <c r="J466" s="104" t="s">
        <v>333</v>
      </c>
      <c r="K466" s="74">
        <v>3198801</v>
      </c>
    </row>
    <row r="467" spans="2:13" s="3" customFormat="1" x14ac:dyDescent="0.3">
      <c r="B467" s="44">
        <v>45927</v>
      </c>
      <c r="C467" s="3" t="s">
        <v>416</v>
      </c>
      <c r="D467" s="3" t="s">
        <v>491</v>
      </c>
      <c r="E467" s="42"/>
      <c r="F467" s="4" t="s">
        <v>680</v>
      </c>
      <c r="G467" s="4" t="s">
        <v>177</v>
      </c>
      <c r="H467" s="4">
        <v>3899709</v>
      </c>
      <c r="I467" s="3" t="s">
        <v>645</v>
      </c>
      <c r="J467" s="3" t="s">
        <v>152</v>
      </c>
      <c r="K467" s="4">
        <v>3351302</v>
      </c>
    </row>
    <row r="468" spans="2:13" s="3" customFormat="1" x14ac:dyDescent="0.3">
      <c r="B468" s="44">
        <v>45927</v>
      </c>
      <c r="C468" s="3" t="s">
        <v>416</v>
      </c>
      <c r="D468" s="3" t="s">
        <v>486</v>
      </c>
      <c r="E468" s="42"/>
      <c r="F468" s="4" t="s">
        <v>652</v>
      </c>
      <c r="G468" s="4" t="s">
        <v>110</v>
      </c>
      <c r="H468" s="4">
        <v>3359106</v>
      </c>
      <c r="I468" s="3" t="s">
        <v>681</v>
      </c>
      <c r="J468" s="3" t="s">
        <v>105</v>
      </c>
      <c r="K468" s="4">
        <v>3035809</v>
      </c>
    </row>
    <row r="469" spans="2:13" s="3" customFormat="1" x14ac:dyDescent="0.3">
      <c r="B469" s="44">
        <v>45927</v>
      </c>
      <c r="C469" s="3" t="s">
        <v>416</v>
      </c>
      <c r="D469" s="3" t="s">
        <v>610</v>
      </c>
      <c r="E469" s="42"/>
      <c r="F469" s="3" t="s">
        <v>652</v>
      </c>
      <c r="G469" s="3" t="s">
        <v>347</v>
      </c>
      <c r="H469" s="4">
        <v>3818504</v>
      </c>
      <c r="I469" s="4" t="s">
        <v>650</v>
      </c>
      <c r="J469" s="4" t="s">
        <v>353</v>
      </c>
      <c r="K469" s="4">
        <v>3200200</v>
      </c>
    </row>
    <row r="470" spans="2:13" s="3" customFormat="1" x14ac:dyDescent="0.3">
      <c r="B470" s="44">
        <v>45927</v>
      </c>
      <c r="C470" s="3" t="s">
        <v>416</v>
      </c>
      <c r="D470" s="3" t="s">
        <v>499</v>
      </c>
      <c r="E470" s="42"/>
      <c r="F470" s="3" t="s">
        <v>652</v>
      </c>
      <c r="G470" s="3" t="s">
        <v>573</v>
      </c>
      <c r="H470" s="4">
        <v>3818400</v>
      </c>
      <c r="I470" s="3" t="s">
        <v>671</v>
      </c>
      <c r="J470" s="3" t="s">
        <v>228</v>
      </c>
      <c r="K470" s="53">
        <v>3358607</v>
      </c>
      <c r="M470" s="51"/>
    </row>
    <row r="471" spans="2:13" s="3" customFormat="1" x14ac:dyDescent="0.3">
      <c r="B471" s="44">
        <v>45927</v>
      </c>
      <c r="C471" s="3" t="s">
        <v>416</v>
      </c>
      <c r="D471" s="3" t="s">
        <v>68</v>
      </c>
      <c r="E471" s="42"/>
      <c r="F471" s="3" t="s">
        <v>686</v>
      </c>
      <c r="G471" s="3" t="s">
        <v>626</v>
      </c>
      <c r="H471" s="4" t="s">
        <v>637</v>
      </c>
      <c r="I471" s="4" t="s">
        <v>665</v>
      </c>
      <c r="J471" s="4" t="s">
        <v>627</v>
      </c>
      <c r="K471" s="4" t="s">
        <v>638</v>
      </c>
    </row>
    <row r="472" spans="2:13" s="3" customFormat="1" x14ac:dyDescent="0.3">
      <c r="B472" s="44">
        <v>45927</v>
      </c>
      <c r="C472" s="3" t="s">
        <v>416</v>
      </c>
      <c r="D472" s="3" t="s">
        <v>489</v>
      </c>
      <c r="E472" s="4"/>
      <c r="F472" s="3" t="s">
        <v>662</v>
      </c>
      <c r="G472" s="3" t="s">
        <v>139</v>
      </c>
      <c r="H472" s="4">
        <v>3358305</v>
      </c>
      <c r="I472" s="3" t="s">
        <v>671</v>
      </c>
      <c r="J472" s="3" t="s">
        <v>156</v>
      </c>
      <c r="K472" s="4">
        <v>3359200</v>
      </c>
    </row>
    <row r="473" spans="2:13" s="3" customFormat="1" x14ac:dyDescent="0.3">
      <c r="B473" s="44">
        <v>45927</v>
      </c>
      <c r="C473" s="3" t="s">
        <v>416</v>
      </c>
      <c r="D473" s="3" t="s">
        <v>64</v>
      </c>
      <c r="E473" s="42">
        <v>4370907</v>
      </c>
      <c r="F473" s="3" t="s">
        <v>662</v>
      </c>
      <c r="G473" s="3" t="s">
        <v>372</v>
      </c>
      <c r="H473" s="4">
        <v>3207703</v>
      </c>
      <c r="I473" s="4" t="s">
        <v>646</v>
      </c>
      <c r="J473" s="4" t="s">
        <v>349</v>
      </c>
      <c r="K473" s="4">
        <v>3202500</v>
      </c>
    </row>
    <row r="474" spans="2:13" s="3" customFormat="1" x14ac:dyDescent="0.3">
      <c r="B474" s="44">
        <v>45927</v>
      </c>
      <c r="C474" s="3" t="s">
        <v>416</v>
      </c>
      <c r="D474" s="3" t="s">
        <v>494</v>
      </c>
      <c r="E474" s="42"/>
      <c r="F474" s="4" t="s">
        <v>662</v>
      </c>
      <c r="G474" s="4" t="s">
        <v>242</v>
      </c>
      <c r="H474" s="4">
        <v>3358107</v>
      </c>
      <c r="I474" s="3" t="s">
        <v>708</v>
      </c>
      <c r="J474" s="3" t="s">
        <v>220</v>
      </c>
      <c r="K474" s="4">
        <v>3354809</v>
      </c>
    </row>
    <row r="475" spans="2:13" s="3" customFormat="1" x14ac:dyDescent="0.3">
      <c r="B475" s="44">
        <v>45927</v>
      </c>
      <c r="C475" s="3" t="s">
        <v>416</v>
      </c>
      <c r="D475" s="3" t="s">
        <v>70</v>
      </c>
      <c r="E475" s="42"/>
      <c r="F475" s="3" t="s">
        <v>662</v>
      </c>
      <c r="G475" s="3" t="s">
        <v>399</v>
      </c>
      <c r="H475" s="4">
        <v>3207401</v>
      </c>
      <c r="I475" s="3" t="s">
        <v>688</v>
      </c>
      <c r="J475" s="3" t="s">
        <v>460</v>
      </c>
      <c r="K475" s="4">
        <v>3194503</v>
      </c>
    </row>
    <row r="476" spans="2:13" s="3" customFormat="1" x14ac:dyDescent="0.3">
      <c r="B476" s="44">
        <v>45927</v>
      </c>
      <c r="C476" s="3" t="s">
        <v>416</v>
      </c>
      <c r="D476" s="3" t="s">
        <v>501</v>
      </c>
      <c r="E476" s="42"/>
      <c r="F476" s="3" t="s">
        <v>662</v>
      </c>
      <c r="G476" s="3" t="s">
        <v>243</v>
      </c>
      <c r="H476" s="4">
        <v>3899907</v>
      </c>
      <c r="I476" s="3" t="s">
        <v>689</v>
      </c>
      <c r="J476" s="3" t="s">
        <v>581</v>
      </c>
      <c r="K476" s="4">
        <v>4022804</v>
      </c>
      <c r="M476" s="51"/>
    </row>
    <row r="477" spans="2:13" s="3" customFormat="1" x14ac:dyDescent="0.3">
      <c r="B477" s="44">
        <v>45927</v>
      </c>
      <c r="C477" s="3" t="s">
        <v>416</v>
      </c>
      <c r="D477" s="3" t="s">
        <v>592</v>
      </c>
      <c r="E477" s="42"/>
      <c r="F477" s="3" t="s">
        <v>662</v>
      </c>
      <c r="G477" s="3" t="s">
        <v>634</v>
      </c>
      <c r="H477" s="74">
        <v>4023105</v>
      </c>
      <c r="I477" s="3" t="s">
        <v>475</v>
      </c>
      <c r="J477" s="3" t="s">
        <v>398</v>
      </c>
      <c r="K477" s="74">
        <v>3211601</v>
      </c>
    </row>
    <row r="478" spans="2:13" s="3" customFormat="1" x14ac:dyDescent="0.3">
      <c r="B478" s="44">
        <v>45927</v>
      </c>
      <c r="C478" s="3" t="s">
        <v>416</v>
      </c>
      <c r="D478" s="3" t="s">
        <v>56</v>
      </c>
      <c r="E478" s="42"/>
      <c r="F478" s="4" t="s">
        <v>472</v>
      </c>
      <c r="G478" s="4" t="s">
        <v>248</v>
      </c>
      <c r="H478" s="4">
        <v>3207609</v>
      </c>
      <c r="I478" s="3" t="s">
        <v>475</v>
      </c>
      <c r="J478" s="3" t="s">
        <v>256</v>
      </c>
      <c r="K478" s="4">
        <v>3068700</v>
      </c>
    </row>
    <row r="479" spans="2:13" s="3" customFormat="1" x14ac:dyDescent="0.3">
      <c r="B479" s="44">
        <v>45927</v>
      </c>
      <c r="C479" s="3" t="s">
        <v>416</v>
      </c>
      <c r="D479" s="3" t="s">
        <v>590</v>
      </c>
      <c r="E479" s="42"/>
      <c r="F479" s="4" t="s">
        <v>472</v>
      </c>
      <c r="G479" s="4" t="s">
        <v>315</v>
      </c>
      <c r="H479" s="4">
        <v>3455307</v>
      </c>
      <c r="I479" s="3" t="s">
        <v>699</v>
      </c>
      <c r="J479" s="3" t="s">
        <v>594</v>
      </c>
      <c r="K479" s="4">
        <v>3196407</v>
      </c>
    </row>
    <row r="480" spans="2:13" s="3" customFormat="1" x14ac:dyDescent="0.3">
      <c r="B480" s="44">
        <v>45927</v>
      </c>
      <c r="C480" s="3" t="s">
        <v>416</v>
      </c>
      <c r="D480" s="3" t="s">
        <v>494</v>
      </c>
      <c r="E480" s="42"/>
      <c r="F480" s="4" t="s">
        <v>472</v>
      </c>
      <c r="G480" s="4" t="s">
        <v>185</v>
      </c>
      <c r="H480" s="4">
        <v>3357806</v>
      </c>
      <c r="I480" s="3" t="s">
        <v>662</v>
      </c>
      <c r="J480" s="3" t="s">
        <v>218</v>
      </c>
      <c r="K480" s="4">
        <v>3358201</v>
      </c>
    </row>
    <row r="481" spans="1:43" s="3" customFormat="1" x14ac:dyDescent="0.3">
      <c r="B481" s="44">
        <v>45927</v>
      </c>
      <c r="C481" s="3" t="s">
        <v>416</v>
      </c>
      <c r="D481" s="3" t="s">
        <v>494</v>
      </c>
      <c r="E481" s="42"/>
      <c r="F481" s="4" t="s">
        <v>472</v>
      </c>
      <c r="G481" s="4" t="s">
        <v>186</v>
      </c>
      <c r="H481" s="4">
        <v>3357702</v>
      </c>
      <c r="I481" s="3" t="s">
        <v>694</v>
      </c>
      <c r="J481" s="3" t="s">
        <v>221</v>
      </c>
      <c r="K481" s="4">
        <v>3353404</v>
      </c>
    </row>
    <row r="482" spans="1:43" s="3" customFormat="1" x14ac:dyDescent="0.3">
      <c r="B482" s="44">
        <v>45927</v>
      </c>
      <c r="C482" s="3" t="s">
        <v>416</v>
      </c>
      <c r="D482" s="3" t="s">
        <v>70</v>
      </c>
      <c r="E482" s="42"/>
      <c r="F482" s="3" t="s">
        <v>472</v>
      </c>
      <c r="G482" s="3" t="s">
        <v>400</v>
      </c>
      <c r="H482" s="4">
        <v>3818608</v>
      </c>
      <c r="I482" s="3" t="s">
        <v>689</v>
      </c>
      <c r="J482" s="3" t="s">
        <v>404</v>
      </c>
      <c r="K482" s="53">
        <v>3196605</v>
      </c>
    </row>
    <row r="483" spans="1:43" s="3" customFormat="1" x14ac:dyDescent="0.3">
      <c r="B483" s="44">
        <v>45927</v>
      </c>
      <c r="C483" s="3" t="s">
        <v>416</v>
      </c>
      <c r="D483" s="3" t="s">
        <v>498</v>
      </c>
      <c r="E483" s="42"/>
      <c r="F483" s="3" t="s">
        <v>472</v>
      </c>
      <c r="G483" s="3" t="s">
        <v>244</v>
      </c>
      <c r="H483" s="4">
        <v>3357504</v>
      </c>
      <c r="I483" s="3" t="s">
        <v>475</v>
      </c>
      <c r="J483" s="3" t="s">
        <v>184</v>
      </c>
      <c r="K483" s="53">
        <v>3363004</v>
      </c>
    </row>
    <row r="484" spans="1:43" s="3" customFormat="1" x14ac:dyDescent="0.3">
      <c r="B484" s="44">
        <v>45927</v>
      </c>
      <c r="C484" s="3" t="s">
        <v>416</v>
      </c>
      <c r="D484" s="3" t="s">
        <v>496</v>
      </c>
      <c r="E484" s="42"/>
      <c r="F484" s="4" t="s">
        <v>665</v>
      </c>
      <c r="G484" s="4" t="s">
        <v>204</v>
      </c>
      <c r="H484" s="4">
        <v>3357400</v>
      </c>
      <c r="I484" s="3" t="s">
        <v>716</v>
      </c>
      <c r="J484" s="3" t="s">
        <v>427</v>
      </c>
      <c r="K484" s="4">
        <v>3351500</v>
      </c>
    </row>
    <row r="485" spans="1:43" s="3" customFormat="1" x14ac:dyDescent="0.3">
      <c r="B485" s="44">
        <v>45927</v>
      </c>
      <c r="C485" s="3" t="s">
        <v>416</v>
      </c>
      <c r="D485" s="3" t="s">
        <v>65</v>
      </c>
      <c r="E485" s="42"/>
      <c r="F485" s="3" t="s">
        <v>693</v>
      </c>
      <c r="G485" s="3" t="s">
        <v>357</v>
      </c>
      <c r="H485" s="4">
        <v>3206704</v>
      </c>
      <c r="I485" s="4" t="s">
        <v>718</v>
      </c>
      <c r="J485" s="4" t="s">
        <v>359</v>
      </c>
      <c r="K485" s="4">
        <v>3204602</v>
      </c>
    </row>
    <row r="486" spans="1:43" s="3" customFormat="1" x14ac:dyDescent="0.3">
      <c r="B486" s="44">
        <v>45927</v>
      </c>
      <c r="C486" s="3" t="s">
        <v>416</v>
      </c>
      <c r="D486" s="3" t="s">
        <v>593</v>
      </c>
      <c r="E486" s="42"/>
      <c r="F486" s="3" t="s">
        <v>693</v>
      </c>
      <c r="G486" s="3" t="s">
        <v>629</v>
      </c>
      <c r="H486" s="4">
        <v>3961708</v>
      </c>
      <c r="I486" s="4" t="s">
        <v>681</v>
      </c>
      <c r="J486" s="4" t="s">
        <v>397</v>
      </c>
      <c r="K486" s="4">
        <v>3195908</v>
      </c>
    </row>
    <row r="487" spans="1:43" s="3" customFormat="1" x14ac:dyDescent="0.3">
      <c r="A487" s="4"/>
      <c r="B487" s="100">
        <v>45927</v>
      </c>
      <c r="C487" s="98" t="s">
        <v>553</v>
      </c>
      <c r="D487" s="4" t="s">
        <v>508</v>
      </c>
      <c r="E487" s="4"/>
      <c r="F487" s="73" t="s">
        <v>476</v>
      </c>
      <c r="G487" s="73" t="s">
        <v>476</v>
      </c>
      <c r="H487" s="73"/>
      <c r="I487" s="73" t="s">
        <v>534</v>
      </c>
      <c r="J487" s="73" t="s">
        <v>524</v>
      </c>
      <c r="K487" s="4" t="s">
        <v>418</v>
      </c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spans="1:43" s="3" customFormat="1" x14ac:dyDescent="0.3">
      <c r="B488" s="44">
        <v>45927</v>
      </c>
      <c r="C488" s="3" t="s">
        <v>416</v>
      </c>
      <c r="D488" s="3" t="s">
        <v>504</v>
      </c>
      <c r="E488" s="42"/>
      <c r="F488" s="4" t="s">
        <v>476</v>
      </c>
      <c r="G488" s="4" t="s">
        <v>100</v>
      </c>
      <c r="H488" s="4">
        <v>3125302</v>
      </c>
      <c r="I488" s="3" t="s">
        <v>472</v>
      </c>
      <c r="J488" s="3" t="s">
        <v>11</v>
      </c>
      <c r="K488" s="4">
        <v>3034800</v>
      </c>
    </row>
    <row r="489" spans="1:43" s="3" customFormat="1" x14ac:dyDescent="0.3">
      <c r="B489" s="44">
        <v>45927</v>
      </c>
      <c r="C489" s="3" t="s">
        <v>416</v>
      </c>
      <c r="D489" s="3" t="s">
        <v>57</v>
      </c>
      <c r="E489" s="42"/>
      <c r="F489" s="32" t="s">
        <v>476</v>
      </c>
      <c r="G489" s="32" t="s">
        <v>249</v>
      </c>
      <c r="H489" s="15">
        <v>3038202</v>
      </c>
      <c r="I489" s="3" t="s">
        <v>682</v>
      </c>
      <c r="J489" s="3" t="s">
        <v>584</v>
      </c>
      <c r="K489" s="4">
        <v>3069303</v>
      </c>
    </row>
    <row r="490" spans="1:43" s="3" customFormat="1" x14ac:dyDescent="0.3">
      <c r="B490" s="44">
        <v>45927</v>
      </c>
      <c r="C490" s="3" t="s">
        <v>416</v>
      </c>
      <c r="D490" s="3" t="s">
        <v>62</v>
      </c>
      <c r="E490" s="42"/>
      <c r="F490" s="4" t="s">
        <v>476</v>
      </c>
      <c r="G490" s="4" t="s">
        <v>287</v>
      </c>
      <c r="H490" s="4">
        <v>3206600</v>
      </c>
      <c r="I490" s="3" t="s">
        <v>476</v>
      </c>
      <c r="J490" s="3" t="s">
        <v>323</v>
      </c>
      <c r="K490" s="4">
        <v>3206506</v>
      </c>
    </row>
    <row r="491" spans="1:43" s="3" customFormat="1" x14ac:dyDescent="0.3">
      <c r="B491" s="44">
        <v>45927</v>
      </c>
      <c r="C491" s="3" t="s">
        <v>416</v>
      </c>
      <c r="D491" s="3" t="s">
        <v>493</v>
      </c>
      <c r="E491" s="42"/>
      <c r="F491" s="3" t="s">
        <v>476</v>
      </c>
      <c r="G491" s="3" t="s">
        <v>169</v>
      </c>
      <c r="H491" s="4">
        <v>3356609</v>
      </c>
      <c r="I491" s="4" t="s">
        <v>479</v>
      </c>
      <c r="J491" s="4" t="s">
        <v>211</v>
      </c>
      <c r="K491" s="4">
        <v>3361204</v>
      </c>
    </row>
    <row r="492" spans="1:43" s="3" customFormat="1" x14ac:dyDescent="0.3">
      <c r="B492" s="44">
        <v>45927</v>
      </c>
      <c r="C492" s="3" t="s">
        <v>416</v>
      </c>
      <c r="D492" s="3" t="s">
        <v>493</v>
      </c>
      <c r="E492" s="42"/>
      <c r="F492" s="3" t="s">
        <v>476</v>
      </c>
      <c r="G492" s="3" t="s">
        <v>170</v>
      </c>
      <c r="H492" s="4">
        <v>3356703</v>
      </c>
      <c r="I492" s="4" t="s">
        <v>471</v>
      </c>
      <c r="J492" s="4" t="s">
        <v>174</v>
      </c>
      <c r="K492" s="4">
        <v>3348101</v>
      </c>
    </row>
    <row r="493" spans="1:43" s="3" customFormat="1" x14ac:dyDescent="0.3">
      <c r="B493" s="44">
        <v>45927</v>
      </c>
      <c r="C493" s="3" t="s">
        <v>416</v>
      </c>
      <c r="D493" s="3" t="s">
        <v>593</v>
      </c>
      <c r="E493" s="42"/>
      <c r="F493" s="3" t="s">
        <v>476</v>
      </c>
      <c r="G493" s="3" t="s">
        <v>630</v>
      </c>
      <c r="H493" s="4">
        <v>3206308</v>
      </c>
      <c r="I493" s="4" t="s">
        <v>479</v>
      </c>
      <c r="J493" s="4" t="s">
        <v>628</v>
      </c>
      <c r="K493" s="4" t="s">
        <v>642</v>
      </c>
    </row>
    <row r="494" spans="1:43" s="3" customFormat="1" x14ac:dyDescent="0.3">
      <c r="B494" s="44">
        <v>45927</v>
      </c>
      <c r="C494" s="3" t="s">
        <v>416</v>
      </c>
      <c r="D494" s="3" t="s">
        <v>57</v>
      </c>
      <c r="E494" s="42"/>
      <c r="F494" s="4" t="s">
        <v>666</v>
      </c>
      <c r="G494" s="4" t="s">
        <v>259</v>
      </c>
      <c r="H494" s="4">
        <v>3205809</v>
      </c>
      <c r="I494" s="3" t="s">
        <v>693</v>
      </c>
      <c r="J494" s="3" t="s">
        <v>258</v>
      </c>
      <c r="K494" s="4">
        <v>3207109</v>
      </c>
    </row>
    <row r="495" spans="1:43" s="3" customFormat="1" x14ac:dyDescent="0.3">
      <c r="B495" s="44">
        <v>45927</v>
      </c>
      <c r="C495" s="3" t="s">
        <v>416</v>
      </c>
      <c r="D495" s="3" t="s">
        <v>610</v>
      </c>
      <c r="E495" s="42"/>
      <c r="F495" s="3" t="s">
        <v>666</v>
      </c>
      <c r="G495" s="3" t="s">
        <v>348</v>
      </c>
      <c r="H495" s="4">
        <v>3205903</v>
      </c>
      <c r="I495" s="4" t="s">
        <v>474</v>
      </c>
      <c r="J495" s="4" t="s">
        <v>458</v>
      </c>
      <c r="K495" s="4">
        <v>3200304</v>
      </c>
    </row>
    <row r="496" spans="1:43" s="3" customFormat="1" x14ac:dyDescent="0.3">
      <c r="B496" s="44">
        <v>45927</v>
      </c>
      <c r="C496" s="3" t="s">
        <v>416</v>
      </c>
      <c r="D496" s="3" t="s">
        <v>491</v>
      </c>
      <c r="E496" s="42"/>
      <c r="F496" s="3" t="s">
        <v>478</v>
      </c>
      <c r="G496" s="3" t="s">
        <v>463</v>
      </c>
      <c r="H496" s="74">
        <v>3125500</v>
      </c>
      <c r="I496" s="3" t="s">
        <v>690</v>
      </c>
      <c r="J496" s="3" t="s">
        <v>179</v>
      </c>
      <c r="K496" s="4">
        <v>3818900</v>
      </c>
    </row>
    <row r="497" spans="1:43" s="3" customFormat="1" x14ac:dyDescent="0.3">
      <c r="B497" s="44">
        <v>45927</v>
      </c>
      <c r="C497" s="3" t="s">
        <v>416</v>
      </c>
      <c r="D497" s="3" t="s">
        <v>61</v>
      </c>
      <c r="E497" s="42"/>
      <c r="F497" s="4" t="s">
        <v>478</v>
      </c>
      <c r="G497" s="4" t="s">
        <v>330</v>
      </c>
      <c r="H497" s="4">
        <v>3205309</v>
      </c>
      <c r="I497" s="73" t="s">
        <v>680</v>
      </c>
      <c r="J497" s="73" t="s">
        <v>302</v>
      </c>
      <c r="K497" s="4">
        <v>3208400</v>
      </c>
    </row>
    <row r="498" spans="1:43" s="3" customFormat="1" x14ac:dyDescent="0.3">
      <c r="B498" s="44">
        <v>45927</v>
      </c>
      <c r="C498" s="3" t="s">
        <v>416</v>
      </c>
      <c r="D498" s="3" t="s">
        <v>66</v>
      </c>
      <c r="E498" s="42"/>
      <c r="F498" s="3" t="s">
        <v>478</v>
      </c>
      <c r="G498" s="3" t="s">
        <v>604</v>
      </c>
      <c r="H498" s="74">
        <v>3205507</v>
      </c>
      <c r="I498" s="3" t="s">
        <v>684</v>
      </c>
      <c r="J498" s="3" t="s">
        <v>608</v>
      </c>
      <c r="K498" s="74">
        <v>3819107</v>
      </c>
    </row>
    <row r="499" spans="1:43" s="3" customFormat="1" x14ac:dyDescent="0.3">
      <c r="B499" s="44">
        <v>45927</v>
      </c>
      <c r="C499" s="3" t="s">
        <v>416</v>
      </c>
      <c r="D499" s="3" t="s">
        <v>58</v>
      </c>
      <c r="E499" s="42"/>
      <c r="F499" s="3" t="s">
        <v>690</v>
      </c>
      <c r="G499" s="3" t="s">
        <v>303</v>
      </c>
      <c r="H499" s="4">
        <v>3205101</v>
      </c>
      <c r="I499" s="3" t="s">
        <v>702</v>
      </c>
      <c r="J499" s="3" t="s">
        <v>447</v>
      </c>
      <c r="K499" s="32">
        <v>3055207</v>
      </c>
    </row>
    <row r="500" spans="1:43" s="3" customFormat="1" x14ac:dyDescent="0.3">
      <c r="B500" s="44">
        <v>45927</v>
      </c>
      <c r="C500" s="3" t="s">
        <v>416</v>
      </c>
      <c r="D500" s="3" t="s">
        <v>66</v>
      </c>
      <c r="E500" s="42"/>
      <c r="F500" s="3" t="s">
        <v>690</v>
      </c>
      <c r="G500" s="3" t="s">
        <v>605</v>
      </c>
      <c r="H500" s="74">
        <v>3900109</v>
      </c>
      <c r="I500" s="104" t="s">
        <v>680</v>
      </c>
      <c r="J500" s="104" t="s">
        <v>603</v>
      </c>
      <c r="K500" s="74">
        <v>3945400</v>
      </c>
    </row>
    <row r="501" spans="1:43" s="3" customFormat="1" x14ac:dyDescent="0.3">
      <c r="A501" s="4"/>
      <c r="B501" s="100">
        <v>45927</v>
      </c>
      <c r="C501" s="98" t="s">
        <v>553</v>
      </c>
      <c r="D501" s="4" t="s">
        <v>512</v>
      </c>
      <c r="E501" s="4"/>
      <c r="F501" s="73" t="s">
        <v>525</v>
      </c>
      <c r="G501" s="73" t="s">
        <v>525</v>
      </c>
      <c r="H501" s="73"/>
      <c r="I501" s="73" t="s">
        <v>477</v>
      </c>
      <c r="J501" s="73" t="s">
        <v>477</v>
      </c>
      <c r="K501" s="4" t="s">
        <v>418</v>
      </c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s="3" customFormat="1" x14ac:dyDescent="0.3">
      <c r="B502" s="44">
        <v>45927</v>
      </c>
      <c r="C502" s="3" t="s">
        <v>416</v>
      </c>
      <c r="D502" s="3" t="s">
        <v>489</v>
      </c>
      <c r="E502" s="4"/>
      <c r="F502" s="4" t="s">
        <v>682</v>
      </c>
      <c r="G502" s="4" t="s">
        <v>564</v>
      </c>
      <c r="H502" s="4">
        <v>3969804</v>
      </c>
      <c r="I502" s="4" t="s">
        <v>476</v>
      </c>
      <c r="J502" s="4" t="s">
        <v>128</v>
      </c>
      <c r="K502" s="4">
        <v>3357202</v>
      </c>
    </row>
    <row r="503" spans="1:43" s="3" customFormat="1" x14ac:dyDescent="0.3">
      <c r="B503" s="44">
        <v>45927</v>
      </c>
      <c r="C503" s="3" t="s">
        <v>416</v>
      </c>
      <c r="D503" s="3" t="s">
        <v>495</v>
      </c>
      <c r="E503" s="42"/>
      <c r="F503" s="3" t="s">
        <v>682</v>
      </c>
      <c r="G503" s="3" t="s">
        <v>568</v>
      </c>
      <c r="H503" s="4">
        <v>3969908</v>
      </c>
      <c r="I503" s="3" t="s">
        <v>699</v>
      </c>
      <c r="J503" s="3" t="s">
        <v>569</v>
      </c>
      <c r="K503" s="4">
        <v>3125708</v>
      </c>
    </row>
    <row r="504" spans="1:43" s="3" customFormat="1" x14ac:dyDescent="0.3">
      <c r="B504" s="44">
        <v>45927</v>
      </c>
      <c r="C504" s="3" t="s">
        <v>416</v>
      </c>
      <c r="D504" s="4" t="s">
        <v>614</v>
      </c>
      <c r="E504" s="42"/>
      <c r="F504" s="3" t="s">
        <v>682</v>
      </c>
      <c r="G504" s="3" t="s">
        <v>622</v>
      </c>
      <c r="H504" s="4">
        <v>3969502</v>
      </c>
      <c r="I504" s="4" t="s">
        <v>646</v>
      </c>
      <c r="J504" s="4" t="s">
        <v>380</v>
      </c>
      <c r="K504" s="4">
        <v>3202208</v>
      </c>
    </row>
    <row r="505" spans="1:43" s="3" customFormat="1" x14ac:dyDescent="0.3">
      <c r="B505" s="44">
        <v>45927</v>
      </c>
      <c r="C505" s="3" t="s">
        <v>416</v>
      </c>
      <c r="D505" s="3" t="s">
        <v>62</v>
      </c>
      <c r="E505" s="42"/>
      <c r="F505" s="3" t="s">
        <v>700</v>
      </c>
      <c r="G505" s="3" t="s">
        <v>442</v>
      </c>
      <c r="H505" s="4">
        <v>3205007</v>
      </c>
      <c r="I505" s="3" t="s">
        <v>471</v>
      </c>
      <c r="J505" s="3" t="s">
        <v>328</v>
      </c>
      <c r="K505" s="4">
        <v>3196803</v>
      </c>
    </row>
    <row r="506" spans="1:43" s="3" customFormat="1" x14ac:dyDescent="0.3">
      <c r="B506" s="44">
        <v>45927</v>
      </c>
      <c r="C506" s="3" t="s">
        <v>416</v>
      </c>
      <c r="D506" s="3" t="s">
        <v>493</v>
      </c>
      <c r="E506" s="42"/>
      <c r="F506" s="3" t="s">
        <v>701</v>
      </c>
      <c r="G506" s="3" t="s">
        <v>171</v>
      </c>
      <c r="H506" s="4">
        <v>3355600</v>
      </c>
      <c r="I506" s="4" t="s">
        <v>471</v>
      </c>
      <c r="J506" s="4" t="s">
        <v>190</v>
      </c>
      <c r="K506" s="4">
        <v>3348205</v>
      </c>
    </row>
    <row r="507" spans="1:43" s="3" customFormat="1" x14ac:dyDescent="0.3">
      <c r="B507" s="44">
        <v>45927</v>
      </c>
      <c r="C507" s="3" t="s">
        <v>416</v>
      </c>
      <c r="D507" s="3" t="s">
        <v>62</v>
      </c>
      <c r="E507" s="42"/>
      <c r="F507" s="4" t="s">
        <v>701</v>
      </c>
      <c r="G507" s="4" t="s">
        <v>360</v>
      </c>
      <c r="H507" s="4">
        <v>3203801</v>
      </c>
      <c r="I507" s="3" t="s">
        <v>479</v>
      </c>
      <c r="J507" s="3" t="s">
        <v>319</v>
      </c>
      <c r="K507" s="4">
        <v>3210508</v>
      </c>
    </row>
    <row r="508" spans="1:43" s="3" customFormat="1" x14ac:dyDescent="0.3">
      <c r="B508" s="44">
        <v>45927</v>
      </c>
      <c r="C508" s="3" t="s">
        <v>416</v>
      </c>
      <c r="D508" s="3" t="s">
        <v>500</v>
      </c>
      <c r="E508" s="42"/>
      <c r="F508" s="3" t="s">
        <v>701</v>
      </c>
      <c r="G508" s="3" t="s">
        <v>236</v>
      </c>
      <c r="H508" s="4">
        <v>3355704</v>
      </c>
      <c r="I508" s="4" t="s">
        <v>691</v>
      </c>
      <c r="J508" s="4" t="s">
        <v>238</v>
      </c>
      <c r="K508" s="4">
        <v>3350105</v>
      </c>
    </row>
    <row r="509" spans="1:43" s="3" customFormat="1" x14ac:dyDescent="0.3">
      <c r="B509" s="44">
        <v>45927</v>
      </c>
      <c r="C509" s="3" t="s">
        <v>416</v>
      </c>
      <c r="D509" s="3" t="s">
        <v>593</v>
      </c>
      <c r="E509" s="42"/>
      <c r="F509" s="3" t="s">
        <v>701</v>
      </c>
      <c r="G509" s="3" t="s">
        <v>631</v>
      </c>
      <c r="H509" s="4">
        <v>4023209</v>
      </c>
      <c r="I509" s="4" t="s">
        <v>679</v>
      </c>
      <c r="J509" s="4" t="s">
        <v>633</v>
      </c>
      <c r="K509" s="4">
        <v>3194607</v>
      </c>
    </row>
    <row r="510" spans="1:43" s="3" customFormat="1" x14ac:dyDescent="0.3">
      <c r="B510" s="44">
        <v>45927</v>
      </c>
      <c r="C510" s="3" t="s">
        <v>416</v>
      </c>
      <c r="D510" s="3" t="s">
        <v>491</v>
      </c>
      <c r="E510" s="42"/>
      <c r="F510" s="4" t="s">
        <v>702</v>
      </c>
      <c r="G510" s="4" t="s">
        <v>180</v>
      </c>
      <c r="H510" s="4">
        <v>3355308</v>
      </c>
      <c r="I510" s="3" t="s">
        <v>698</v>
      </c>
      <c r="J510" s="3" t="s">
        <v>567</v>
      </c>
      <c r="K510" s="4" t="s">
        <v>556</v>
      </c>
    </row>
    <row r="511" spans="1:43" s="3" customFormat="1" x14ac:dyDescent="0.3">
      <c r="B511" s="44">
        <v>45927</v>
      </c>
      <c r="C511" s="3" t="s">
        <v>416</v>
      </c>
      <c r="D511" s="3" t="s">
        <v>60</v>
      </c>
      <c r="E511" s="42"/>
      <c r="F511" s="3" t="s">
        <v>695</v>
      </c>
      <c r="G511" s="3" t="s">
        <v>296</v>
      </c>
      <c r="H511" s="4">
        <v>3203905</v>
      </c>
      <c r="I511" s="3" t="s">
        <v>707</v>
      </c>
      <c r="J511" s="3" t="s">
        <v>295</v>
      </c>
      <c r="K511" s="32">
        <v>3207505</v>
      </c>
    </row>
    <row r="512" spans="1:43" s="3" customFormat="1" x14ac:dyDescent="0.3">
      <c r="B512" s="44">
        <v>45927</v>
      </c>
      <c r="C512" s="3" t="s">
        <v>416</v>
      </c>
      <c r="D512" s="3" t="s">
        <v>488</v>
      </c>
      <c r="E512" s="42"/>
      <c r="F512" s="4" t="s">
        <v>695</v>
      </c>
      <c r="G512" s="4" t="s">
        <v>147</v>
      </c>
      <c r="H512" s="4">
        <v>3067409</v>
      </c>
      <c r="I512" s="3" t="s">
        <v>645</v>
      </c>
      <c r="J512" s="3" t="s">
        <v>123</v>
      </c>
      <c r="K512" s="4">
        <v>3351104</v>
      </c>
    </row>
    <row r="513" spans="2:13" s="3" customFormat="1" x14ac:dyDescent="0.3">
      <c r="B513" s="44">
        <v>45927</v>
      </c>
      <c r="C513" s="3" t="s">
        <v>416</v>
      </c>
      <c r="D513" s="3" t="s">
        <v>60</v>
      </c>
      <c r="E513" s="42"/>
      <c r="F513" s="3" t="s">
        <v>473</v>
      </c>
      <c r="G513" s="3" t="s">
        <v>445</v>
      </c>
      <c r="H513" s="4">
        <v>3204102</v>
      </c>
      <c r="I513" s="3" t="s">
        <v>698</v>
      </c>
      <c r="J513" s="3" t="s">
        <v>595</v>
      </c>
      <c r="K513" s="32" t="s">
        <v>563</v>
      </c>
    </row>
    <row r="514" spans="2:13" s="3" customFormat="1" x14ac:dyDescent="0.3">
      <c r="B514" s="44">
        <v>45927</v>
      </c>
      <c r="C514" s="3" t="s">
        <v>416</v>
      </c>
      <c r="D514" s="3" t="s">
        <v>60</v>
      </c>
      <c r="E514" s="42"/>
      <c r="F514" s="3" t="s">
        <v>473</v>
      </c>
      <c r="G514" s="3" t="s">
        <v>446</v>
      </c>
      <c r="H514" s="4">
        <v>3204206</v>
      </c>
      <c r="I514" s="3" t="s">
        <v>706</v>
      </c>
      <c r="J514" s="3" t="s">
        <v>299</v>
      </c>
      <c r="K514" s="32">
        <v>3199102</v>
      </c>
    </row>
    <row r="515" spans="2:13" s="3" customFormat="1" x14ac:dyDescent="0.3">
      <c r="B515" s="44">
        <v>45927</v>
      </c>
      <c r="C515" s="3" t="s">
        <v>416</v>
      </c>
      <c r="D515" s="3" t="s">
        <v>494</v>
      </c>
      <c r="E515" s="42"/>
      <c r="F515" s="4" t="s">
        <v>708</v>
      </c>
      <c r="G515" s="4" t="s">
        <v>141</v>
      </c>
      <c r="H515" s="4">
        <v>3125802</v>
      </c>
      <c r="I515" s="3" t="s">
        <v>694</v>
      </c>
      <c r="J515" s="3" t="s">
        <v>188</v>
      </c>
      <c r="K515" s="4">
        <v>3353508</v>
      </c>
    </row>
    <row r="516" spans="2:13" s="3" customFormat="1" x14ac:dyDescent="0.3">
      <c r="B516" s="44">
        <v>45927</v>
      </c>
      <c r="C516" s="3" t="s">
        <v>416</v>
      </c>
      <c r="D516" s="3" t="s">
        <v>67</v>
      </c>
      <c r="E516" s="42"/>
      <c r="F516" s="4" t="s">
        <v>708</v>
      </c>
      <c r="G516" s="4" t="s">
        <v>339</v>
      </c>
      <c r="H516" s="4">
        <v>3204300</v>
      </c>
      <c r="I516" s="3" t="s">
        <v>472</v>
      </c>
      <c r="J516" s="3" t="s">
        <v>374</v>
      </c>
      <c r="K516" s="4">
        <v>3207203</v>
      </c>
    </row>
    <row r="517" spans="2:13" s="3" customFormat="1" x14ac:dyDescent="0.3">
      <c r="B517" s="44">
        <v>45927</v>
      </c>
      <c r="C517" s="3" t="s">
        <v>416</v>
      </c>
      <c r="D517" s="3" t="s">
        <v>501</v>
      </c>
      <c r="E517" s="42"/>
      <c r="F517" s="3" t="s">
        <v>708</v>
      </c>
      <c r="G517" s="3" t="s">
        <v>598</v>
      </c>
      <c r="H517" s="4">
        <v>3354903</v>
      </c>
      <c r="I517" s="3" t="s">
        <v>682</v>
      </c>
      <c r="J517" s="3" t="s">
        <v>579</v>
      </c>
      <c r="K517" s="53">
        <v>3970007</v>
      </c>
      <c r="M517" s="51"/>
    </row>
    <row r="518" spans="2:13" s="3" customFormat="1" x14ac:dyDescent="0.3">
      <c r="B518" s="44">
        <v>45927</v>
      </c>
      <c r="C518" s="3" t="s">
        <v>416</v>
      </c>
      <c r="D518" s="3" t="s">
        <v>66</v>
      </c>
      <c r="E518" s="42"/>
      <c r="F518" s="3" t="s">
        <v>703</v>
      </c>
      <c r="G518" s="3" t="s">
        <v>606</v>
      </c>
      <c r="H518" s="74" t="s">
        <v>588</v>
      </c>
      <c r="I518" s="104" t="s">
        <v>659</v>
      </c>
      <c r="J518" s="104" t="s">
        <v>602</v>
      </c>
      <c r="K518" s="74">
        <v>4023001</v>
      </c>
    </row>
    <row r="519" spans="2:13" s="3" customFormat="1" x14ac:dyDescent="0.3">
      <c r="B519" s="44">
        <v>45927</v>
      </c>
      <c r="C519" s="3" t="s">
        <v>416</v>
      </c>
      <c r="D519" s="3" t="s">
        <v>58</v>
      </c>
      <c r="E519" s="42"/>
      <c r="F519" s="3" t="s">
        <v>683</v>
      </c>
      <c r="G519" s="3" t="s">
        <v>305</v>
      </c>
      <c r="H519" s="4">
        <v>3202906</v>
      </c>
      <c r="I519" s="3" t="s">
        <v>703</v>
      </c>
      <c r="J519" s="3" t="s">
        <v>586</v>
      </c>
      <c r="K519" s="32" t="s">
        <v>588</v>
      </c>
    </row>
    <row r="520" spans="2:13" s="3" customFormat="1" x14ac:dyDescent="0.3">
      <c r="B520" s="44">
        <v>45927</v>
      </c>
      <c r="C520" s="3" t="s">
        <v>416</v>
      </c>
      <c r="D520" s="3" t="s">
        <v>63</v>
      </c>
      <c r="E520" s="42"/>
      <c r="F520" s="3" t="s">
        <v>683</v>
      </c>
      <c r="G520" s="3" t="s">
        <v>368</v>
      </c>
      <c r="H520" s="74">
        <v>3203009</v>
      </c>
      <c r="I520" s="3" t="s">
        <v>478</v>
      </c>
      <c r="J520" s="3" t="s">
        <v>331</v>
      </c>
      <c r="K520" s="74">
        <v>3205403</v>
      </c>
    </row>
    <row r="521" spans="2:13" s="3" customFormat="1" x14ac:dyDescent="0.3">
      <c r="B521" s="44">
        <v>45927</v>
      </c>
      <c r="C521" s="3" t="s">
        <v>416</v>
      </c>
      <c r="D521" s="3" t="s">
        <v>487</v>
      </c>
      <c r="E521" s="4"/>
      <c r="F521" s="3" t="s">
        <v>709</v>
      </c>
      <c r="G521" s="3" t="s">
        <v>111</v>
      </c>
      <c r="H521" s="4">
        <v>3354601</v>
      </c>
      <c r="I521" s="3" t="s">
        <v>663</v>
      </c>
      <c r="J521" s="3" t="s">
        <v>419</v>
      </c>
      <c r="K521" s="4">
        <v>3349204</v>
      </c>
    </row>
    <row r="522" spans="2:13" s="3" customFormat="1" x14ac:dyDescent="0.3">
      <c r="B522" s="44">
        <v>45927</v>
      </c>
      <c r="C522" s="3" t="s">
        <v>416</v>
      </c>
      <c r="D522" s="3" t="s">
        <v>57</v>
      </c>
      <c r="E522" s="42"/>
      <c r="F522" s="32" t="s">
        <v>709</v>
      </c>
      <c r="G522" s="32" t="s">
        <v>268</v>
      </c>
      <c r="H522" s="15">
        <v>3203103</v>
      </c>
      <c r="I522" s="74" t="s">
        <v>694</v>
      </c>
      <c r="J522" s="74" t="s">
        <v>276</v>
      </c>
      <c r="K522" s="74">
        <v>3201709</v>
      </c>
    </row>
    <row r="523" spans="2:13" s="3" customFormat="1" x14ac:dyDescent="0.3">
      <c r="B523" s="44">
        <v>45927</v>
      </c>
      <c r="C523" s="3" t="s">
        <v>416</v>
      </c>
      <c r="D523" s="3" t="s">
        <v>491</v>
      </c>
      <c r="E523" s="42"/>
      <c r="F523" s="4" t="s">
        <v>709</v>
      </c>
      <c r="G523" s="4" t="s">
        <v>566</v>
      </c>
      <c r="H523" s="4">
        <v>3560703</v>
      </c>
      <c r="I523" s="3" t="s">
        <v>697</v>
      </c>
      <c r="J523" s="3" t="s">
        <v>150</v>
      </c>
      <c r="K523" s="4">
        <v>3353706</v>
      </c>
    </row>
    <row r="524" spans="2:13" s="3" customFormat="1" x14ac:dyDescent="0.3">
      <c r="B524" s="44">
        <v>45927</v>
      </c>
      <c r="C524" s="3" t="s">
        <v>416</v>
      </c>
      <c r="D524" s="3" t="s">
        <v>66</v>
      </c>
      <c r="E524" s="42"/>
      <c r="F524" s="3" t="s">
        <v>709</v>
      </c>
      <c r="G524" s="3" t="s">
        <v>607</v>
      </c>
      <c r="H524" s="4">
        <v>3596309</v>
      </c>
      <c r="I524" s="3" t="s">
        <v>696</v>
      </c>
      <c r="J524" s="3" t="s">
        <v>609</v>
      </c>
      <c r="K524" s="74">
        <v>3900401</v>
      </c>
    </row>
    <row r="525" spans="2:13" s="3" customFormat="1" x14ac:dyDescent="0.3">
      <c r="B525" s="44">
        <v>45927</v>
      </c>
      <c r="C525" s="3" t="s">
        <v>416</v>
      </c>
      <c r="D525" s="3" t="s">
        <v>488</v>
      </c>
      <c r="E525" s="42"/>
      <c r="F525" s="4" t="s">
        <v>684</v>
      </c>
      <c r="G525" s="4" t="s">
        <v>121</v>
      </c>
      <c r="H525" s="4">
        <v>3354309</v>
      </c>
      <c r="I525" s="3" t="s">
        <v>690</v>
      </c>
      <c r="J525" s="3" t="s">
        <v>118</v>
      </c>
      <c r="K525" s="4">
        <v>3356005</v>
      </c>
    </row>
    <row r="526" spans="2:13" s="3" customFormat="1" x14ac:dyDescent="0.3">
      <c r="B526" s="44">
        <v>45927</v>
      </c>
      <c r="C526" s="3" t="s">
        <v>416</v>
      </c>
      <c r="D526" s="3" t="s">
        <v>491</v>
      </c>
      <c r="E526" s="42"/>
      <c r="F526" s="3" t="s">
        <v>684</v>
      </c>
      <c r="G526" s="3" t="s">
        <v>149</v>
      </c>
      <c r="H526" s="4">
        <v>3354507</v>
      </c>
      <c r="I526" s="104" t="s">
        <v>684</v>
      </c>
      <c r="J526" s="104" t="s">
        <v>182</v>
      </c>
      <c r="K526" s="53">
        <v>3900203</v>
      </c>
    </row>
    <row r="527" spans="2:13" s="3" customFormat="1" x14ac:dyDescent="0.3">
      <c r="B527" s="44">
        <v>45927</v>
      </c>
      <c r="C527" s="3" t="s">
        <v>416</v>
      </c>
      <c r="D527" s="3" t="s">
        <v>486</v>
      </c>
      <c r="E527" s="42"/>
      <c r="F527" s="4" t="s">
        <v>646</v>
      </c>
      <c r="G527" s="4" t="s">
        <v>102</v>
      </c>
      <c r="H527" s="4">
        <v>3125406</v>
      </c>
      <c r="I527" s="3" t="s">
        <v>682</v>
      </c>
      <c r="J527" s="3" t="s">
        <v>559</v>
      </c>
      <c r="K527" s="4">
        <v>3969200</v>
      </c>
    </row>
    <row r="528" spans="2:13" s="3" customFormat="1" x14ac:dyDescent="0.3">
      <c r="B528" s="44">
        <v>45927</v>
      </c>
      <c r="C528" s="3" t="s">
        <v>416</v>
      </c>
      <c r="D528" s="3" t="s">
        <v>59</v>
      </c>
      <c r="E528" s="42"/>
      <c r="F528" s="3" t="s">
        <v>646</v>
      </c>
      <c r="G528" s="3" t="s">
        <v>275</v>
      </c>
      <c r="H528" s="4">
        <v>3202406</v>
      </c>
      <c r="I528" s="3" t="s">
        <v>655</v>
      </c>
      <c r="J528" s="3" t="s">
        <v>288</v>
      </c>
      <c r="K528" s="4">
        <v>3200908</v>
      </c>
    </row>
    <row r="529" spans="2:11" s="3" customFormat="1" x14ac:dyDescent="0.3">
      <c r="B529" s="44">
        <v>45927</v>
      </c>
      <c r="C529" s="3" t="s">
        <v>416</v>
      </c>
      <c r="D529" s="3" t="s">
        <v>492</v>
      </c>
      <c r="E529" s="42"/>
      <c r="F529" s="4" t="s">
        <v>646</v>
      </c>
      <c r="G529" s="4" t="s">
        <v>194</v>
      </c>
      <c r="H529" s="4">
        <v>3354205</v>
      </c>
      <c r="I529" s="3" t="s">
        <v>666</v>
      </c>
      <c r="J529" s="3" t="s">
        <v>158</v>
      </c>
      <c r="K529" s="4">
        <v>3356901</v>
      </c>
    </row>
    <row r="530" spans="2:11" s="3" customFormat="1" x14ac:dyDescent="0.3">
      <c r="B530" s="44">
        <v>45927</v>
      </c>
      <c r="C530" s="3" t="s">
        <v>416</v>
      </c>
      <c r="D530" s="3" t="s">
        <v>610</v>
      </c>
      <c r="E530" s="42"/>
      <c r="F530" s="3" t="s">
        <v>646</v>
      </c>
      <c r="G530" s="3" t="s">
        <v>350</v>
      </c>
      <c r="H530" s="4">
        <v>3202802</v>
      </c>
      <c r="I530" s="4" t="s">
        <v>682</v>
      </c>
      <c r="J530" s="4" t="s">
        <v>611</v>
      </c>
      <c r="K530" s="4">
        <v>3204800</v>
      </c>
    </row>
    <row r="531" spans="2:11" s="3" customFormat="1" x14ac:dyDescent="0.3">
      <c r="B531" s="44">
        <v>45927</v>
      </c>
      <c r="C531" s="3" t="s">
        <v>416</v>
      </c>
      <c r="D531" s="3" t="s">
        <v>56</v>
      </c>
      <c r="E531" s="42"/>
      <c r="F531" s="4" t="s">
        <v>696</v>
      </c>
      <c r="G531" s="4" t="s">
        <v>261</v>
      </c>
      <c r="H531" s="4">
        <v>3202302</v>
      </c>
      <c r="I531" s="106" t="s">
        <v>672</v>
      </c>
      <c r="J531" s="106" t="s">
        <v>252</v>
      </c>
      <c r="K531" s="106">
        <v>3070204</v>
      </c>
    </row>
    <row r="532" spans="2:11" s="3" customFormat="1" x14ac:dyDescent="0.3">
      <c r="B532" s="44">
        <v>45927</v>
      </c>
      <c r="C532" s="3" t="s">
        <v>416</v>
      </c>
      <c r="D532" s="3" t="s">
        <v>61</v>
      </c>
      <c r="E532" s="42"/>
      <c r="F532" s="3" t="s">
        <v>696</v>
      </c>
      <c r="G532" s="3" t="s">
        <v>307</v>
      </c>
      <c r="H532" s="4">
        <v>3201907</v>
      </c>
      <c r="I532" s="3" t="s">
        <v>684</v>
      </c>
      <c r="J532" s="3" t="s">
        <v>306</v>
      </c>
      <c r="K532" s="4">
        <v>3202604</v>
      </c>
    </row>
    <row r="533" spans="2:11" s="3" customFormat="1" x14ac:dyDescent="0.3">
      <c r="B533" s="44">
        <v>45927</v>
      </c>
      <c r="C533" s="3" t="s">
        <v>416</v>
      </c>
      <c r="D533" s="3" t="s">
        <v>500</v>
      </c>
      <c r="E533" s="42"/>
      <c r="F533" s="3" t="s">
        <v>672</v>
      </c>
      <c r="G533" s="3" t="s">
        <v>187</v>
      </c>
      <c r="H533" s="4">
        <v>3354101</v>
      </c>
      <c r="I533" s="4" t="s">
        <v>476</v>
      </c>
      <c r="J533" s="4" t="s">
        <v>575</v>
      </c>
      <c r="K533" s="4">
        <v>3900005</v>
      </c>
    </row>
    <row r="534" spans="2:11" s="3" customFormat="1" x14ac:dyDescent="0.3">
      <c r="B534" s="44">
        <v>45927</v>
      </c>
      <c r="C534" s="3" t="s">
        <v>416</v>
      </c>
      <c r="D534" s="3" t="s">
        <v>64</v>
      </c>
      <c r="E534" s="42">
        <v>4370907</v>
      </c>
      <c r="F534" s="3" t="s">
        <v>672</v>
      </c>
      <c r="G534" s="3" t="s">
        <v>316</v>
      </c>
      <c r="H534" s="4">
        <v>3069105</v>
      </c>
      <c r="I534" s="4" t="s">
        <v>673</v>
      </c>
      <c r="J534" s="4" t="s">
        <v>355</v>
      </c>
      <c r="K534" s="4">
        <v>3195002</v>
      </c>
    </row>
    <row r="535" spans="2:11" s="3" customFormat="1" x14ac:dyDescent="0.3">
      <c r="B535" s="44">
        <v>45927</v>
      </c>
      <c r="C535" s="3" t="s">
        <v>416</v>
      </c>
      <c r="D535" s="3" t="s">
        <v>67</v>
      </c>
      <c r="E535" s="42"/>
      <c r="F535" s="4" t="s">
        <v>672</v>
      </c>
      <c r="G535" s="4" t="s">
        <v>375</v>
      </c>
      <c r="H535" s="4">
        <v>3069209</v>
      </c>
      <c r="I535" s="3" t="s">
        <v>688</v>
      </c>
      <c r="J535" s="3" t="s">
        <v>344</v>
      </c>
      <c r="K535" s="4">
        <v>3194909</v>
      </c>
    </row>
    <row r="536" spans="2:11" s="3" customFormat="1" x14ac:dyDescent="0.3">
      <c r="B536" s="44">
        <v>45927</v>
      </c>
      <c r="C536" s="3" t="s">
        <v>416</v>
      </c>
      <c r="D536" s="3" t="s">
        <v>488</v>
      </c>
      <c r="E536" s="42"/>
      <c r="F536" s="4" t="s">
        <v>697</v>
      </c>
      <c r="G536" s="4" t="s">
        <v>122</v>
      </c>
      <c r="H536" s="4">
        <v>3353800</v>
      </c>
      <c r="I536" s="3" t="s">
        <v>680</v>
      </c>
      <c r="J536" s="3" t="s">
        <v>117</v>
      </c>
      <c r="K536" s="4">
        <v>3359002</v>
      </c>
    </row>
    <row r="537" spans="2:11" s="3" customFormat="1" x14ac:dyDescent="0.3">
      <c r="B537" s="44">
        <v>45927</v>
      </c>
      <c r="C537" s="3" t="s">
        <v>416</v>
      </c>
      <c r="D537" s="3" t="s">
        <v>63</v>
      </c>
      <c r="E537" s="42"/>
      <c r="F537" s="3" t="s">
        <v>697</v>
      </c>
      <c r="G537" s="3" t="s">
        <v>448</v>
      </c>
      <c r="H537" s="4">
        <v>3036808</v>
      </c>
      <c r="I537" s="3" t="s">
        <v>684</v>
      </c>
      <c r="J537" s="3" t="s">
        <v>369</v>
      </c>
      <c r="K537" s="74">
        <v>3202708</v>
      </c>
    </row>
    <row r="538" spans="2:11" s="3" customFormat="1" x14ac:dyDescent="0.3">
      <c r="B538" s="44">
        <v>45927</v>
      </c>
      <c r="C538" s="3" t="s">
        <v>416</v>
      </c>
      <c r="D538" s="3" t="s">
        <v>504</v>
      </c>
      <c r="E538" s="42"/>
      <c r="F538" s="4" t="s">
        <v>694</v>
      </c>
      <c r="G538" s="4" t="s">
        <v>112</v>
      </c>
      <c r="H538" s="4">
        <v>3353602</v>
      </c>
      <c r="I538" s="3" t="s">
        <v>645</v>
      </c>
      <c r="J538" s="3" t="s">
        <v>37</v>
      </c>
      <c r="K538" s="4">
        <v>3029903</v>
      </c>
    </row>
    <row r="539" spans="2:11" s="3" customFormat="1" x14ac:dyDescent="0.3">
      <c r="B539" s="44">
        <v>45927</v>
      </c>
      <c r="C539" s="3" t="s">
        <v>416</v>
      </c>
      <c r="D539" s="3" t="s">
        <v>69</v>
      </c>
      <c r="E539" s="42"/>
      <c r="F539" s="3" t="s">
        <v>694</v>
      </c>
      <c r="G539" s="3" t="s">
        <v>402</v>
      </c>
      <c r="H539" s="4">
        <v>3201407</v>
      </c>
      <c r="I539" s="3" t="s">
        <v>479</v>
      </c>
      <c r="J539" s="3" t="s">
        <v>392</v>
      </c>
      <c r="K539" s="53">
        <v>3210706</v>
      </c>
    </row>
    <row r="540" spans="2:11" s="3" customFormat="1" x14ac:dyDescent="0.3">
      <c r="B540" s="44">
        <v>45927</v>
      </c>
      <c r="C540" s="3" t="s">
        <v>416</v>
      </c>
      <c r="D540" s="3" t="s">
        <v>62</v>
      </c>
      <c r="E540" s="42"/>
      <c r="F540" s="4" t="s">
        <v>677</v>
      </c>
      <c r="G540" s="4" t="s">
        <v>324</v>
      </c>
      <c r="H540" s="4">
        <v>3201605</v>
      </c>
      <c r="I540" s="3" t="s">
        <v>660</v>
      </c>
      <c r="J540" s="3" t="s">
        <v>443</v>
      </c>
      <c r="K540" s="4">
        <v>3210008</v>
      </c>
    </row>
    <row r="541" spans="2:11" s="3" customFormat="1" x14ac:dyDescent="0.3">
      <c r="B541" s="44">
        <v>45927</v>
      </c>
      <c r="C541" s="3" t="s">
        <v>416</v>
      </c>
      <c r="D541" s="3" t="s">
        <v>65</v>
      </c>
      <c r="E541" s="42"/>
      <c r="F541" s="3" t="s">
        <v>655</v>
      </c>
      <c r="G541" s="3" t="s">
        <v>325</v>
      </c>
      <c r="H541" s="4">
        <v>3201501</v>
      </c>
      <c r="I541" s="4" t="s">
        <v>471</v>
      </c>
      <c r="J541" s="4" t="s">
        <v>363</v>
      </c>
      <c r="K541" s="4">
        <v>3196907</v>
      </c>
    </row>
    <row r="542" spans="2:11" s="3" customFormat="1" x14ac:dyDescent="0.3">
      <c r="B542" s="44">
        <v>45927</v>
      </c>
      <c r="C542" s="3" t="s">
        <v>416</v>
      </c>
      <c r="D542" s="3" t="s">
        <v>489</v>
      </c>
      <c r="E542" s="4"/>
      <c r="F542" s="4" t="s">
        <v>685</v>
      </c>
      <c r="G542" s="4" t="s">
        <v>160</v>
      </c>
      <c r="H542" s="4">
        <v>3353008</v>
      </c>
      <c r="I542" s="4" t="s">
        <v>679</v>
      </c>
      <c r="J542" s="4" t="s">
        <v>135</v>
      </c>
      <c r="K542" s="4">
        <v>3346603</v>
      </c>
    </row>
    <row r="543" spans="2:11" s="3" customFormat="1" x14ac:dyDescent="0.3">
      <c r="B543" s="44">
        <v>45927</v>
      </c>
      <c r="C543" s="3" t="s">
        <v>416</v>
      </c>
      <c r="D543" s="3" t="s">
        <v>610</v>
      </c>
      <c r="E543" s="42"/>
      <c r="F543" s="3" t="s">
        <v>685</v>
      </c>
      <c r="G543" s="3" t="s">
        <v>351</v>
      </c>
      <c r="H543" s="4">
        <v>3201001</v>
      </c>
      <c r="I543" s="4" t="s">
        <v>685</v>
      </c>
      <c r="J543" s="4" t="s">
        <v>382</v>
      </c>
      <c r="K543" s="4">
        <v>3200804</v>
      </c>
    </row>
    <row r="544" spans="2:11" s="3" customFormat="1" x14ac:dyDescent="0.3">
      <c r="B544" s="44">
        <v>45927</v>
      </c>
      <c r="C544" s="3" t="s">
        <v>416</v>
      </c>
      <c r="D544" s="3" t="s">
        <v>495</v>
      </c>
      <c r="E544" s="42"/>
      <c r="F544" s="3" t="s">
        <v>685</v>
      </c>
      <c r="G544" s="3" t="s">
        <v>196</v>
      </c>
      <c r="H544" s="4">
        <v>3353102</v>
      </c>
      <c r="I544" s="3" t="s">
        <v>646</v>
      </c>
      <c r="J544" s="3" t="s">
        <v>195</v>
      </c>
      <c r="K544" s="74">
        <v>3361600</v>
      </c>
    </row>
    <row r="545" spans="2:13" s="3" customFormat="1" x14ac:dyDescent="0.3">
      <c r="B545" s="44">
        <v>45927</v>
      </c>
      <c r="C545" s="3" t="s">
        <v>416</v>
      </c>
      <c r="D545" s="3" t="s">
        <v>590</v>
      </c>
      <c r="E545" s="42"/>
      <c r="F545" s="4" t="s">
        <v>474</v>
      </c>
      <c r="G545" s="4" t="s">
        <v>317</v>
      </c>
      <c r="H545" s="4">
        <v>3200700</v>
      </c>
      <c r="I545" s="3" t="s">
        <v>650</v>
      </c>
      <c r="J545" s="3" t="s">
        <v>277</v>
      </c>
      <c r="K545" s="4">
        <v>3088400</v>
      </c>
    </row>
    <row r="546" spans="2:13" s="3" customFormat="1" x14ac:dyDescent="0.3">
      <c r="B546" s="44">
        <v>45927</v>
      </c>
      <c r="C546" s="3" t="s">
        <v>416</v>
      </c>
      <c r="D546" s="3" t="s">
        <v>492</v>
      </c>
      <c r="E546" s="42"/>
      <c r="F546" s="3" t="s">
        <v>474</v>
      </c>
      <c r="G546" s="3" t="s">
        <v>161</v>
      </c>
      <c r="H546" s="4">
        <v>3352509</v>
      </c>
      <c r="I546" s="3" t="s">
        <v>714</v>
      </c>
      <c r="J546" s="3" t="s">
        <v>162</v>
      </c>
      <c r="K546" s="4">
        <v>3348903</v>
      </c>
    </row>
    <row r="547" spans="2:13" s="3" customFormat="1" x14ac:dyDescent="0.3">
      <c r="B547" s="44">
        <v>45927</v>
      </c>
      <c r="C547" s="3" t="s">
        <v>416</v>
      </c>
      <c r="D547" s="3" t="s">
        <v>496</v>
      </c>
      <c r="E547" s="42"/>
      <c r="F547" s="4" t="s">
        <v>474</v>
      </c>
      <c r="G547" s="4" t="s">
        <v>426</v>
      </c>
      <c r="H547" s="4">
        <v>3352603</v>
      </c>
      <c r="I547" s="3" t="s">
        <v>651</v>
      </c>
      <c r="J547" s="3" t="s">
        <v>202</v>
      </c>
      <c r="K547" s="74">
        <v>3361808</v>
      </c>
    </row>
    <row r="548" spans="2:13" s="3" customFormat="1" x14ac:dyDescent="0.3">
      <c r="B548" s="44">
        <v>45927</v>
      </c>
      <c r="C548" s="3" t="s">
        <v>416</v>
      </c>
      <c r="D548" s="3" t="s">
        <v>499</v>
      </c>
      <c r="E548" s="42"/>
      <c r="F548" s="3" t="s">
        <v>474</v>
      </c>
      <c r="G548" s="3" t="s">
        <v>597</v>
      </c>
      <c r="H548" s="4">
        <v>3352707</v>
      </c>
      <c r="I548" s="3" t="s">
        <v>687</v>
      </c>
      <c r="J548" s="3" t="s">
        <v>231</v>
      </c>
      <c r="K548" s="4">
        <v>3819503</v>
      </c>
      <c r="M548" s="51"/>
    </row>
    <row r="549" spans="2:13" s="3" customFormat="1" x14ac:dyDescent="0.3">
      <c r="B549" s="44">
        <v>45927</v>
      </c>
      <c r="C549" s="3" t="s">
        <v>416</v>
      </c>
      <c r="D549" s="3" t="s">
        <v>610</v>
      </c>
      <c r="E549" s="42"/>
      <c r="F549" s="3" t="s">
        <v>714</v>
      </c>
      <c r="G549" s="3" t="s">
        <v>352</v>
      </c>
      <c r="H549" s="4">
        <v>3197208</v>
      </c>
      <c r="I549" s="4" t="s">
        <v>716</v>
      </c>
      <c r="J549" s="4" t="s">
        <v>433</v>
      </c>
      <c r="K549" s="4">
        <v>3198905</v>
      </c>
    </row>
    <row r="550" spans="2:13" s="3" customFormat="1" x14ac:dyDescent="0.3">
      <c r="B550" s="44">
        <v>45927</v>
      </c>
      <c r="C550" s="3" t="s">
        <v>416</v>
      </c>
      <c r="D550" s="3" t="s">
        <v>498</v>
      </c>
      <c r="E550" s="42"/>
      <c r="F550" s="3" t="s">
        <v>714</v>
      </c>
      <c r="G550" s="3" t="s">
        <v>222</v>
      </c>
      <c r="H550" s="4">
        <v>3348507</v>
      </c>
      <c r="I550" s="3" t="s">
        <v>472</v>
      </c>
      <c r="J550" s="3" t="s">
        <v>219</v>
      </c>
      <c r="K550" s="4">
        <v>3357608</v>
      </c>
    </row>
    <row r="551" spans="2:13" s="3" customFormat="1" x14ac:dyDescent="0.3">
      <c r="B551" s="44">
        <v>45927</v>
      </c>
      <c r="C551" s="3" t="s">
        <v>416</v>
      </c>
      <c r="D551" s="4" t="s">
        <v>614</v>
      </c>
      <c r="E551" s="42"/>
      <c r="F551" s="3" t="s">
        <v>714</v>
      </c>
      <c r="G551" s="3" t="s">
        <v>454</v>
      </c>
      <c r="H551" s="4">
        <v>3820300</v>
      </c>
      <c r="I551" s="4" t="s">
        <v>666</v>
      </c>
      <c r="J551" s="4" t="s">
        <v>453</v>
      </c>
      <c r="K551" s="4">
        <v>3206006</v>
      </c>
    </row>
    <row r="552" spans="2:13" s="3" customFormat="1" x14ac:dyDescent="0.3">
      <c r="B552" s="44">
        <v>45927</v>
      </c>
      <c r="C552" s="3" t="s">
        <v>416</v>
      </c>
      <c r="D552" s="3" t="s">
        <v>489</v>
      </c>
      <c r="E552" s="4"/>
      <c r="F552" s="3" t="s">
        <v>650</v>
      </c>
      <c r="G552" s="3" t="s">
        <v>163</v>
      </c>
      <c r="H552" s="4">
        <v>3351802</v>
      </c>
      <c r="I552" s="3" t="s">
        <v>672</v>
      </c>
      <c r="J552" s="3" t="s">
        <v>129</v>
      </c>
      <c r="K552" s="4">
        <v>3067503</v>
      </c>
    </row>
    <row r="553" spans="2:13" s="3" customFormat="1" x14ac:dyDescent="0.3">
      <c r="B553" s="44">
        <v>45927</v>
      </c>
      <c r="C553" s="3" t="s">
        <v>416</v>
      </c>
      <c r="D553" s="3" t="s">
        <v>496</v>
      </c>
      <c r="E553" s="42"/>
      <c r="F553" s="3" t="s">
        <v>650</v>
      </c>
      <c r="G553" s="3" t="s">
        <v>205</v>
      </c>
      <c r="H553" s="74">
        <v>3351906</v>
      </c>
      <c r="I553" s="3" t="s">
        <v>675</v>
      </c>
      <c r="J553" s="3" t="s">
        <v>198</v>
      </c>
      <c r="K553" s="4">
        <v>3350803</v>
      </c>
    </row>
    <row r="554" spans="2:13" s="3" customFormat="1" x14ac:dyDescent="0.3">
      <c r="B554" s="44">
        <v>45927</v>
      </c>
      <c r="C554" s="3" t="s">
        <v>416</v>
      </c>
      <c r="D554" s="3" t="s">
        <v>499</v>
      </c>
      <c r="E554" s="42"/>
      <c r="F554" s="3" t="s">
        <v>650</v>
      </c>
      <c r="G554" s="3" t="s">
        <v>571</v>
      </c>
      <c r="H554" s="4">
        <v>3900505</v>
      </c>
      <c r="I554" s="3" t="s">
        <v>665</v>
      </c>
      <c r="J554" s="3" t="s">
        <v>461</v>
      </c>
      <c r="K554" s="4">
        <v>3818702</v>
      </c>
    </row>
    <row r="555" spans="2:13" s="3" customFormat="1" x14ac:dyDescent="0.3">
      <c r="B555" s="44">
        <v>45927</v>
      </c>
      <c r="C555" s="3" t="s">
        <v>416</v>
      </c>
      <c r="D555" s="3" t="s">
        <v>68</v>
      </c>
      <c r="E555" s="42"/>
      <c r="F555" s="3" t="s">
        <v>650</v>
      </c>
      <c r="G555" s="3" t="s">
        <v>390</v>
      </c>
      <c r="H555" s="4">
        <v>3544509</v>
      </c>
      <c r="I555" s="4" t="s">
        <v>652</v>
      </c>
      <c r="J555" s="4" t="s">
        <v>625</v>
      </c>
      <c r="K555" s="4">
        <v>3899803</v>
      </c>
    </row>
    <row r="556" spans="2:13" s="3" customFormat="1" x14ac:dyDescent="0.3">
      <c r="B556" s="44">
        <v>45927</v>
      </c>
      <c r="C556" s="3" t="s">
        <v>416</v>
      </c>
      <c r="D556" s="3" t="s">
        <v>59</v>
      </c>
      <c r="E556" s="42"/>
      <c r="F556" s="4" t="s">
        <v>656</v>
      </c>
      <c r="G556" s="4" t="s">
        <v>278</v>
      </c>
      <c r="H556" s="4">
        <v>3199800</v>
      </c>
      <c r="I556" s="3" t="s">
        <v>652</v>
      </c>
      <c r="J556" s="3" t="s">
        <v>313</v>
      </c>
      <c r="K556" s="4">
        <v>3207901</v>
      </c>
    </row>
    <row r="557" spans="2:13" s="3" customFormat="1" x14ac:dyDescent="0.3">
      <c r="B557" s="44">
        <v>45927</v>
      </c>
      <c r="C557" s="3" t="s">
        <v>416</v>
      </c>
      <c r="D557" s="3" t="s">
        <v>65</v>
      </c>
      <c r="E557" s="42"/>
      <c r="F557" s="3" t="s">
        <v>656</v>
      </c>
      <c r="G557" s="3" t="s">
        <v>326</v>
      </c>
      <c r="H557" s="4">
        <v>3199904</v>
      </c>
      <c r="I557" s="4" t="s">
        <v>678</v>
      </c>
      <c r="J557" s="4" t="s">
        <v>452</v>
      </c>
      <c r="K557" s="4">
        <v>3198207</v>
      </c>
    </row>
    <row r="558" spans="2:13" s="3" customFormat="1" x14ac:dyDescent="0.3">
      <c r="B558" s="44">
        <v>45927</v>
      </c>
      <c r="C558" s="3" t="s">
        <v>416</v>
      </c>
      <c r="D558" s="3" t="s">
        <v>67</v>
      </c>
      <c r="E558" s="42"/>
      <c r="F558" s="4" t="s">
        <v>715</v>
      </c>
      <c r="G558" s="4" t="s">
        <v>377</v>
      </c>
      <c r="H558" s="4">
        <v>3200106</v>
      </c>
      <c r="I558" s="3" t="s">
        <v>647</v>
      </c>
      <c r="J558" s="3" t="s">
        <v>345</v>
      </c>
      <c r="K558" s="4">
        <v>3194003</v>
      </c>
    </row>
    <row r="559" spans="2:13" s="3" customFormat="1" x14ac:dyDescent="0.3">
      <c r="B559" s="44">
        <v>45927</v>
      </c>
      <c r="C559" s="3" t="s">
        <v>416</v>
      </c>
      <c r="D559" s="3" t="s">
        <v>487</v>
      </c>
      <c r="E559" s="4"/>
      <c r="F559" s="4" t="s">
        <v>710</v>
      </c>
      <c r="G559" s="4" t="s">
        <v>113</v>
      </c>
      <c r="H559" s="4">
        <v>3352009</v>
      </c>
      <c r="I559" s="4" t="s">
        <v>645</v>
      </c>
      <c r="J559" s="4" t="s">
        <v>114</v>
      </c>
      <c r="K559" s="4">
        <v>3351000</v>
      </c>
    </row>
    <row r="560" spans="2:13" s="3" customFormat="1" x14ac:dyDescent="0.3">
      <c r="B560" s="44">
        <v>45927</v>
      </c>
      <c r="C560" s="3" t="s">
        <v>416</v>
      </c>
      <c r="D560" s="3" t="s">
        <v>496</v>
      </c>
      <c r="E560" s="42"/>
      <c r="F560" s="4" t="s">
        <v>710</v>
      </c>
      <c r="G560" s="4" t="s">
        <v>206</v>
      </c>
      <c r="H560" s="4">
        <v>3352103</v>
      </c>
      <c r="I560" s="3" t="s">
        <v>652</v>
      </c>
      <c r="J560" s="3" t="s">
        <v>229</v>
      </c>
      <c r="K560" s="4">
        <v>3358409</v>
      </c>
    </row>
    <row r="561" spans="2:13" s="3" customFormat="1" x14ac:dyDescent="0.3">
      <c r="B561" s="44">
        <v>45927</v>
      </c>
      <c r="C561" s="3" t="s">
        <v>416</v>
      </c>
      <c r="D561" s="4" t="s">
        <v>614</v>
      </c>
      <c r="E561" s="42"/>
      <c r="F561" s="3" t="s">
        <v>710</v>
      </c>
      <c r="G561" s="3" t="s">
        <v>384</v>
      </c>
      <c r="H561" s="4">
        <v>3199508</v>
      </c>
      <c r="I561" s="4" t="s">
        <v>673</v>
      </c>
      <c r="J561" s="4" t="s">
        <v>455</v>
      </c>
      <c r="K561" s="4">
        <v>3961604</v>
      </c>
    </row>
    <row r="562" spans="2:13" s="3" customFormat="1" x14ac:dyDescent="0.3">
      <c r="B562" s="44">
        <v>45927</v>
      </c>
      <c r="C562" s="3" t="s">
        <v>416</v>
      </c>
      <c r="D562" s="3" t="s">
        <v>499</v>
      </c>
      <c r="E562" s="42"/>
      <c r="F562" s="3" t="s">
        <v>710</v>
      </c>
      <c r="G562" s="3" t="s">
        <v>230</v>
      </c>
      <c r="H562" s="4">
        <v>3900609</v>
      </c>
      <c r="I562" s="3" t="s">
        <v>675</v>
      </c>
      <c r="J562" s="3" t="s">
        <v>572</v>
      </c>
      <c r="K562" s="53">
        <v>3350303</v>
      </c>
      <c r="M562" s="51"/>
    </row>
    <row r="563" spans="2:13" s="3" customFormat="1" x14ac:dyDescent="0.3">
      <c r="B563" s="44">
        <v>45927</v>
      </c>
      <c r="C563" s="3" t="s">
        <v>416</v>
      </c>
      <c r="D563" s="4" t="s">
        <v>614</v>
      </c>
      <c r="E563" s="42"/>
      <c r="F563" s="3" t="s">
        <v>710</v>
      </c>
      <c r="G563" s="3" t="s">
        <v>385</v>
      </c>
      <c r="H563" s="4">
        <v>3199602</v>
      </c>
      <c r="I563" s="4" t="s">
        <v>699</v>
      </c>
      <c r="J563" s="4" t="s">
        <v>624</v>
      </c>
      <c r="K563" s="4">
        <v>3196105</v>
      </c>
    </row>
    <row r="564" spans="2:13" s="3" customFormat="1" x14ac:dyDescent="0.3">
      <c r="B564" s="44">
        <v>45927</v>
      </c>
      <c r="C564" s="3" t="s">
        <v>416</v>
      </c>
      <c r="D564" s="3" t="s">
        <v>61</v>
      </c>
      <c r="E564" s="42"/>
      <c r="F564" s="4" t="s">
        <v>477</v>
      </c>
      <c r="G564" s="4" t="s">
        <v>308</v>
      </c>
      <c r="H564" s="4">
        <v>3199300</v>
      </c>
      <c r="I564" s="106" t="s">
        <v>659</v>
      </c>
      <c r="J564" s="106" t="s">
        <v>367</v>
      </c>
      <c r="K564" s="106">
        <v>3208806</v>
      </c>
    </row>
    <row r="565" spans="2:13" s="3" customFormat="1" x14ac:dyDescent="0.3">
      <c r="B565" s="44">
        <v>45927</v>
      </c>
      <c r="C565" s="3" t="s">
        <v>416</v>
      </c>
      <c r="D565" s="3" t="s">
        <v>61</v>
      </c>
      <c r="E565" s="42"/>
      <c r="F565" s="4" t="s">
        <v>477</v>
      </c>
      <c r="G565" s="4" t="s">
        <v>332</v>
      </c>
      <c r="H565" s="4">
        <v>3199206</v>
      </c>
      <c r="I565" s="3" t="s">
        <v>703</v>
      </c>
      <c r="J565" s="3" t="s">
        <v>596</v>
      </c>
      <c r="K565" s="4" t="s">
        <v>556</v>
      </c>
    </row>
    <row r="566" spans="2:13" s="3" customFormat="1" x14ac:dyDescent="0.3">
      <c r="B566" s="44">
        <v>45927</v>
      </c>
      <c r="C566" s="3" t="s">
        <v>416</v>
      </c>
      <c r="D566" s="3" t="s">
        <v>58</v>
      </c>
      <c r="E566" s="42"/>
      <c r="F566" s="3" t="s">
        <v>706</v>
      </c>
      <c r="G566" s="3" t="s">
        <v>269</v>
      </c>
      <c r="H566" s="4">
        <v>3069407</v>
      </c>
      <c r="I566" s="3" t="s">
        <v>697</v>
      </c>
      <c r="J566" s="3" t="s">
        <v>262</v>
      </c>
      <c r="K566" s="32">
        <v>3055405</v>
      </c>
    </row>
    <row r="567" spans="2:13" s="3" customFormat="1" x14ac:dyDescent="0.3">
      <c r="B567" s="44">
        <v>45927</v>
      </c>
      <c r="C567" s="3" t="s">
        <v>416</v>
      </c>
      <c r="D567" s="3" t="s">
        <v>57</v>
      </c>
      <c r="E567" s="42"/>
      <c r="F567" s="3" t="s">
        <v>645</v>
      </c>
      <c r="G567" s="3" t="s">
        <v>263</v>
      </c>
      <c r="H567" s="4">
        <v>3198707</v>
      </c>
      <c r="I567" s="73" t="s">
        <v>478</v>
      </c>
      <c r="J567" s="73" t="s">
        <v>260</v>
      </c>
      <c r="K567" s="15">
        <v>3205705</v>
      </c>
    </row>
    <row r="568" spans="2:13" s="3" customFormat="1" x14ac:dyDescent="0.3">
      <c r="B568" s="44">
        <v>45927</v>
      </c>
      <c r="C568" s="3" t="s">
        <v>416</v>
      </c>
      <c r="D568" s="3" t="s">
        <v>486</v>
      </c>
      <c r="E568" s="42"/>
      <c r="F568" s="4" t="s">
        <v>645</v>
      </c>
      <c r="G568" s="4" t="s">
        <v>104</v>
      </c>
      <c r="H568" s="4">
        <v>3036308</v>
      </c>
      <c r="I568" s="3" t="s">
        <v>474</v>
      </c>
      <c r="J568" s="3" t="s">
        <v>103</v>
      </c>
      <c r="K568" s="4">
        <v>3353206</v>
      </c>
    </row>
    <row r="569" spans="2:13" s="3" customFormat="1" x14ac:dyDescent="0.3">
      <c r="B569" s="44">
        <v>45927</v>
      </c>
      <c r="C569" s="3" t="s">
        <v>416</v>
      </c>
      <c r="D569" s="3" t="s">
        <v>488</v>
      </c>
      <c r="E569" s="42"/>
      <c r="F569" s="4" t="s">
        <v>645</v>
      </c>
      <c r="G569" s="4" t="s">
        <v>151</v>
      </c>
      <c r="H569" s="4">
        <v>3351208</v>
      </c>
      <c r="I569" s="3" t="s">
        <v>702</v>
      </c>
      <c r="J569" s="3" t="s">
        <v>119</v>
      </c>
      <c r="K569" s="4">
        <v>3067909</v>
      </c>
    </row>
    <row r="570" spans="2:13" s="3" customFormat="1" x14ac:dyDescent="0.3">
      <c r="B570" s="44">
        <v>45927</v>
      </c>
      <c r="C570" s="3" t="s">
        <v>416</v>
      </c>
      <c r="D570" s="3" t="s">
        <v>491</v>
      </c>
      <c r="E570" s="42"/>
      <c r="F570" s="4" t="s">
        <v>645</v>
      </c>
      <c r="G570" s="4" t="s">
        <v>464</v>
      </c>
      <c r="H570" s="4">
        <v>3351406</v>
      </c>
      <c r="I570" s="3" t="s">
        <v>695</v>
      </c>
      <c r="J570" s="3" t="s">
        <v>148</v>
      </c>
      <c r="K570" s="4">
        <v>3355402</v>
      </c>
    </row>
    <row r="571" spans="2:13" s="3" customFormat="1" x14ac:dyDescent="0.3">
      <c r="B571" s="44">
        <v>45927</v>
      </c>
      <c r="C571" s="3" t="s">
        <v>416</v>
      </c>
      <c r="D571" s="3" t="s">
        <v>489</v>
      </c>
      <c r="E571" s="4"/>
      <c r="F571" s="3" t="s">
        <v>678</v>
      </c>
      <c r="G571" s="3" t="s">
        <v>131</v>
      </c>
      <c r="H571" s="4">
        <v>3350605</v>
      </c>
      <c r="I571" s="4" t="s">
        <v>712</v>
      </c>
      <c r="J571" s="4" t="s">
        <v>132</v>
      </c>
      <c r="K571" s="4">
        <v>3068304</v>
      </c>
    </row>
    <row r="572" spans="2:13" s="3" customFormat="1" x14ac:dyDescent="0.3">
      <c r="B572" s="44">
        <v>45927</v>
      </c>
      <c r="C572" s="3" t="s">
        <v>416</v>
      </c>
      <c r="D572" s="3" t="s">
        <v>610</v>
      </c>
      <c r="E572" s="42"/>
      <c r="F572" s="3" t="s">
        <v>675</v>
      </c>
      <c r="G572" s="3" t="s">
        <v>450</v>
      </c>
      <c r="H572" s="4">
        <v>3198405</v>
      </c>
      <c r="I572" s="4" t="s">
        <v>711</v>
      </c>
      <c r="J572" s="4" t="s">
        <v>381</v>
      </c>
      <c r="K572" s="4">
        <v>3201209</v>
      </c>
    </row>
    <row r="573" spans="2:13" s="3" customFormat="1" x14ac:dyDescent="0.3">
      <c r="B573" s="44">
        <v>45927</v>
      </c>
      <c r="C573" s="3" t="s">
        <v>416</v>
      </c>
      <c r="D573" s="4" t="s">
        <v>614</v>
      </c>
      <c r="E573" s="42"/>
      <c r="F573" s="3" t="s">
        <v>675</v>
      </c>
      <c r="G573" s="3" t="s">
        <v>403</v>
      </c>
      <c r="H573" s="4">
        <v>3198509</v>
      </c>
      <c r="I573" s="4" t="s">
        <v>713</v>
      </c>
      <c r="J573" s="4" t="s">
        <v>623</v>
      </c>
      <c r="K573" s="4">
        <v>3819305</v>
      </c>
    </row>
    <row r="574" spans="2:13" s="3" customFormat="1" x14ac:dyDescent="0.3">
      <c r="B574" s="44">
        <v>45927</v>
      </c>
      <c r="C574" s="3" t="s">
        <v>416</v>
      </c>
      <c r="D574" s="3" t="s">
        <v>490</v>
      </c>
      <c r="E574" s="4"/>
      <c r="F574" s="3" t="s">
        <v>691</v>
      </c>
      <c r="G574" s="3" t="s">
        <v>142</v>
      </c>
      <c r="H574" s="4">
        <v>3350501</v>
      </c>
      <c r="I574" s="4" t="s">
        <v>472</v>
      </c>
      <c r="J574" s="4" t="s">
        <v>140</v>
      </c>
      <c r="K574" s="4">
        <v>3357900</v>
      </c>
    </row>
    <row r="575" spans="2:13" s="3" customFormat="1" x14ac:dyDescent="0.3">
      <c r="B575" s="44">
        <v>45927</v>
      </c>
      <c r="C575" s="3" t="s">
        <v>416</v>
      </c>
      <c r="D575" s="3" t="s">
        <v>497</v>
      </c>
      <c r="E575" s="42"/>
      <c r="F575" s="17" t="s">
        <v>691</v>
      </c>
      <c r="G575" s="17" t="s">
        <v>215</v>
      </c>
      <c r="H575" s="74">
        <v>3350407</v>
      </c>
      <c r="I575" s="17" t="s">
        <v>660</v>
      </c>
      <c r="J575" s="17" t="s">
        <v>212</v>
      </c>
      <c r="K575" s="74">
        <v>3360007</v>
      </c>
    </row>
    <row r="576" spans="2:13" s="3" customFormat="1" x14ac:dyDescent="0.3">
      <c r="B576" s="44">
        <v>45927</v>
      </c>
      <c r="C576" s="3" t="s">
        <v>416</v>
      </c>
      <c r="D576" s="3" t="s">
        <v>69</v>
      </c>
      <c r="E576" s="42"/>
      <c r="F576" s="3" t="s">
        <v>691</v>
      </c>
      <c r="G576" s="3" t="s">
        <v>395</v>
      </c>
      <c r="H576" s="4">
        <v>3197604</v>
      </c>
      <c r="I576" s="3" t="s">
        <v>655</v>
      </c>
      <c r="J576" s="3" t="s">
        <v>394</v>
      </c>
      <c r="K576" s="4">
        <v>3201105</v>
      </c>
    </row>
    <row r="577" spans="2:13" s="3" customFormat="1" x14ac:dyDescent="0.3">
      <c r="B577" s="44">
        <v>45927</v>
      </c>
      <c r="C577" s="3" t="s">
        <v>416</v>
      </c>
      <c r="D577" s="3" t="s">
        <v>67</v>
      </c>
      <c r="E577" s="42"/>
      <c r="F577" s="3" t="s">
        <v>689</v>
      </c>
      <c r="G577" s="3" t="s">
        <v>341</v>
      </c>
      <c r="H577" s="4">
        <v>3197708</v>
      </c>
      <c r="I577" s="3" t="s">
        <v>472</v>
      </c>
      <c r="J577" s="3" t="s">
        <v>338</v>
      </c>
      <c r="K577" s="4">
        <v>3207307</v>
      </c>
    </row>
    <row r="578" spans="2:13" s="3" customFormat="1" x14ac:dyDescent="0.3">
      <c r="B578" s="44">
        <v>45927</v>
      </c>
      <c r="C578" s="3" t="s">
        <v>416</v>
      </c>
      <c r="D578" s="3" t="s">
        <v>501</v>
      </c>
      <c r="E578" s="42"/>
      <c r="F578" s="3" t="s">
        <v>689</v>
      </c>
      <c r="G578" s="3" t="s">
        <v>580</v>
      </c>
      <c r="H578" s="4">
        <v>3350001</v>
      </c>
      <c r="I578" s="3" t="s">
        <v>472</v>
      </c>
      <c r="J578" s="3" t="s">
        <v>578</v>
      </c>
      <c r="K578" s="4">
        <v>4022700</v>
      </c>
      <c r="M578" s="51"/>
    </row>
    <row r="579" spans="2:13" s="3" customFormat="1" x14ac:dyDescent="0.3">
      <c r="B579" s="44">
        <v>45927</v>
      </c>
      <c r="C579" s="3" t="s">
        <v>416</v>
      </c>
      <c r="D579" s="3" t="s">
        <v>60</v>
      </c>
      <c r="E579" s="42"/>
      <c r="F579" s="3" t="s">
        <v>668</v>
      </c>
      <c r="G579" s="3" t="s">
        <v>431</v>
      </c>
      <c r="H579" s="4">
        <v>3900703</v>
      </c>
      <c r="I579" s="3" t="s">
        <v>667</v>
      </c>
      <c r="J579" s="3" t="s">
        <v>294</v>
      </c>
      <c r="K579" s="32">
        <v>3209409</v>
      </c>
    </row>
    <row r="580" spans="2:13" s="3" customFormat="1" x14ac:dyDescent="0.3">
      <c r="B580" s="44">
        <v>45927</v>
      </c>
      <c r="C580" s="3" t="s">
        <v>416</v>
      </c>
      <c r="D580" s="3" t="s">
        <v>490</v>
      </c>
      <c r="E580" s="4"/>
      <c r="F580" s="3" t="s">
        <v>654</v>
      </c>
      <c r="G580" s="3" t="s">
        <v>143</v>
      </c>
      <c r="H580" s="4">
        <v>3349704</v>
      </c>
      <c r="I580" s="4" t="s">
        <v>480</v>
      </c>
      <c r="J580" s="4" t="s">
        <v>420</v>
      </c>
      <c r="K580" s="4">
        <v>3360101</v>
      </c>
    </row>
    <row r="581" spans="2:13" s="3" customFormat="1" x14ac:dyDescent="0.3">
      <c r="B581" s="44">
        <v>45927</v>
      </c>
      <c r="C581" s="3" t="s">
        <v>416</v>
      </c>
      <c r="D581" s="3" t="s">
        <v>497</v>
      </c>
      <c r="E581" s="42"/>
      <c r="F581" s="3" t="s">
        <v>654</v>
      </c>
      <c r="G581" s="3" t="s">
        <v>216</v>
      </c>
      <c r="H581" s="4">
        <v>3349808</v>
      </c>
      <c r="I581" s="3" t="s">
        <v>681</v>
      </c>
      <c r="J581" s="3" t="s">
        <v>175</v>
      </c>
      <c r="K581" s="74">
        <v>3347800</v>
      </c>
    </row>
    <row r="582" spans="2:13" s="3" customFormat="1" x14ac:dyDescent="0.3">
      <c r="B582" s="44">
        <v>45927</v>
      </c>
      <c r="C582" s="3" t="s">
        <v>416</v>
      </c>
      <c r="D582" s="3" t="s">
        <v>497</v>
      </c>
      <c r="E582" s="42"/>
      <c r="F582" s="3" t="s">
        <v>654</v>
      </c>
      <c r="G582" s="3" t="s">
        <v>438</v>
      </c>
      <c r="H582" s="74">
        <v>3906207</v>
      </c>
      <c r="I582" s="17" t="s">
        <v>476</v>
      </c>
      <c r="J582" s="17" t="s">
        <v>234</v>
      </c>
      <c r="K582" s="74">
        <v>3356807</v>
      </c>
    </row>
    <row r="583" spans="2:13" s="3" customFormat="1" x14ac:dyDescent="0.3">
      <c r="B583" s="44">
        <v>45927</v>
      </c>
      <c r="C583" s="3" t="s">
        <v>416</v>
      </c>
      <c r="D583" s="3" t="s">
        <v>58</v>
      </c>
      <c r="E583" s="42"/>
      <c r="F583" s="3" t="s">
        <v>712</v>
      </c>
      <c r="G583" s="3" t="s">
        <v>270</v>
      </c>
      <c r="H583" s="4">
        <v>3069605</v>
      </c>
      <c r="I583" s="3" t="s">
        <v>659</v>
      </c>
      <c r="J583" s="3" t="s">
        <v>265</v>
      </c>
      <c r="K583" s="32">
        <v>3208702</v>
      </c>
    </row>
    <row r="584" spans="2:13" s="3" customFormat="1" x14ac:dyDescent="0.3">
      <c r="B584" s="44">
        <v>45927</v>
      </c>
      <c r="C584" s="3" t="s">
        <v>416</v>
      </c>
      <c r="D584" s="3" t="s">
        <v>495</v>
      </c>
      <c r="E584" s="42"/>
      <c r="F584" s="3" t="s">
        <v>712</v>
      </c>
      <c r="G584" s="3" t="s">
        <v>164</v>
      </c>
      <c r="H584" s="4">
        <v>3349402</v>
      </c>
      <c r="I584" s="3" t="s">
        <v>666</v>
      </c>
      <c r="J584" s="3" t="s">
        <v>193</v>
      </c>
      <c r="K584" s="4">
        <v>3357108</v>
      </c>
    </row>
    <row r="585" spans="2:13" s="3" customFormat="1" x14ac:dyDescent="0.3">
      <c r="B585" s="44">
        <v>45927</v>
      </c>
      <c r="C585" s="3" t="s">
        <v>416</v>
      </c>
      <c r="D585" s="3" t="s">
        <v>492</v>
      </c>
      <c r="E585" s="42"/>
      <c r="F585" s="4" t="s">
        <v>713</v>
      </c>
      <c r="G585" s="4" t="s">
        <v>165</v>
      </c>
      <c r="H585" s="4">
        <v>3349006</v>
      </c>
      <c r="I585" s="3" t="s">
        <v>649</v>
      </c>
      <c r="J585" s="3" t="s">
        <v>154</v>
      </c>
      <c r="K585" s="4">
        <v>3362109</v>
      </c>
    </row>
    <row r="586" spans="2:13" s="3" customFormat="1" x14ac:dyDescent="0.3">
      <c r="B586" s="44">
        <v>45927</v>
      </c>
      <c r="C586" s="3" t="s">
        <v>416</v>
      </c>
      <c r="D586" s="3" t="s">
        <v>495</v>
      </c>
      <c r="E586" s="42"/>
      <c r="F586" s="3" t="s">
        <v>713</v>
      </c>
      <c r="G586" s="3" t="s">
        <v>199</v>
      </c>
      <c r="H586" s="4">
        <v>3349100</v>
      </c>
      <c r="I586" s="3" t="s">
        <v>666</v>
      </c>
      <c r="J586" s="3" t="s">
        <v>192</v>
      </c>
      <c r="K586" s="53">
        <v>3357004</v>
      </c>
    </row>
    <row r="587" spans="2:13" s="3" customFormat="1" x14ac:dyDescent="0.3">
      <c r="B587" s="44">
        <v>45927</v>
      </c>
      <c r="C587" s="3" t="s">
        <v>416</v>
      </c>
      <c r="D587" s="3" t="s">
        <v>62</v>
      </c>
      <c r="E587" s="42"/>
      <c r="F587" s="4" t="s">
        <v>663</v>
      </c>
      <c r="G587" s="4" t="s">
        <v>280</v>
      </c>
      <c r="H587" s="4">
        <v>3198103</v>
      </c>
      <c r="I587" s="3" t="s">
        <v>676</v>
      </c>
      <c r="J587" s="3" t="s">
        <v>286</v>
      </c>
      <c r="K587" s="4">
        <v>3019605</v>
      </c>
    </row>
    <row r="588" spans="2:13" s="3" customFormat="1" x14ac:dyDescent="0.3">
      <c r="B588" s="44">
        <v>45927</v>
      </c>
      <c r="C588" s="3" t="s">
        <v>416</v>
      </c>
      <c r="D588" s="3" t="s">
        <v>493</v>
      </c>
      <c r="E588" s="42"/>
      <c r="F588" s="3" t="s">
        <v>663</v>
      </c>
      <c r="G588" s="3" t="s">
        <v>173</v>
      </c>
      <c r="H588" s="4">
        <v>3349308</v>
      </c>
      <c r="I588" s="4" t="s">
        <v>480</v>
      </c>
      <c r="J588" s="4" t="s">
        <v>423</v>
      </c>
      <c r="K588" s="4">
        <v>3360403</v>
      </c>
    </row>
    <row r="589" spans="2:13" s="3" customFormat="1" x14ac:dyDescent="0.3">
      <c r="B589" s="44">
        <v>45927</v>
      </c>
      <c r="C589" s="3" t="s">
        <v>416</v>
      </c>
      <c r="D589" s="3" t="s">
        <v>500</v>
      </c>
      <c r="E589" s="42"/>
      <c r="F589" s="3" t="s">
        <v>663</v>
      </c>
      <c r="G589" s="3" t="s">
        <v>239</v>
      </c>
      <c r="H589" s="4">
        <v>3348809</v>
      </c>
      <c r="I589" s="4" t="s">
        <v>657</v>
      </c>
      <c r="J589" s="4" t="s">
        <v>574</v>
      </c>
      <c r="K589" s="4">
        <v>3359606</v>
      </c>
    </row>
    <row r="590" spans="2:13" s="3" customFormat="1" x14ac:dyDescent="0.3">
      <c r="B590" s="44">
        <v>45927</v>
      </c>
      <c r="C590" s="3" t="s">
        <v>416</v>
      </c>
      <c r="D590" s="3" t="s">
        <v>69</v>
      </c>
      <c r="E590" s="42"/>
      <c r="F590" s="3" t="s">
        <v>663</v>
      </c>
      <c r="G590" s="3" t="s">
        <v>362</v>
      </c>
      <c r="H590" s="4">
        <v>3197406</v>
      </c>
      <c r="I590" s="3" t="s">
        <v>657</v>
      </c>
      <c r="J590" s="3" t="s">
        <v>393</v>
      </c>
      <c r="K590" s="4">
        <v>3209701</v>
      </c>
    </row>
    <row r="591" spans="2:13" s="3" customFormat="1" x14ac:dyDescent="0.3">
      <c r="B591" s="44">
        <v>45927</v>
      </c>
      <c r="C591" s="3" t="s">
        <v>416</v>
      </c>
      <c r="D591" s="3" t="s">
        <v>56</v>
      </c>
      <c r="E591" s="42"/>
      <c r="F591" s="4" t="s">
        <v>471</v>
      </c>
      <c r="G591" s="4" t="s">
        <v>441</v>
      </c>
      <c r="H591" s="4">
        <v>3023409</v>
      </c>
      <c r="I591" s="73" t="s">
        <v>671</v>
      </c>
      <c r="J591" s="73" t="s">
        <v>247</v>
      </c>
      <c r="K591" s="4">
        <v>3034102</v>
      </c>
    </row>
    <row r="592" spans="2:13" s="3" customFormat="1" x14ac:dyDescent="0.3">
      <c r="B592" s="44">
        <v>45927</v>
      </c>
      <c r="C592" s="3" t="s">
        <v>416</v>
      </c>
      <c r="D592" s="3" t="s">
        <v>56</v>
      </c>
      <c r="E592" s="42"/>
      <c r="F592" s="3" t="s">
        <v>471</v>
      </c>
      <c r="G592" s="3" t="s">
        <v>254</v>
      </c>
      <c r="H592" s="4">
        <v>3068908</v>
      </c>
      <c r="I592" s="3" t="s">
        <v>646</v>
      </c>
      <c r="J592" s="3" t="s">
        <v>251</v>
      </c>
      <c r="K592" s="4">
        <v>3036704</v>
      </c>
    </row>
    <row r="593" spans="1:43" s="3" customFormat="1" x14ac:dyDescent="0.3">
      <c r="B593" s="44">
        <v>45927</v>
      </c>
      <c r="C593" s="3" t="s">
        <v>416</v>
      </c>
      <c r="D593" s="3" t="s">
        <v>487</v>
      </c>
      <c r="E593" s="4"/>
      <c r="F593" s="4" t="s">
        <v>471</v>
      </c>
      <c r="G593" s="4" t="s">
        <v>133</v>
      </c>
      <c r="H593" s="4">
        <v>3348705</v>
      </c>
      <c r="I593" s="3" t="s">
        <v>647</v>
      </c>
      <c r="J593" s="3" t="s">
        <v>116</v>
      </c>
      <c r="K593" s="4">
        <v>3346009</v>
      </c>
    </row>
    <row r="594" spans="1:43" s="3" customFormat="1" x14ac:dyDescent="0.3">
      <c r="B594" s="44">
        <v>45927</v>
      </c>
      <c r="C594" s="3" t="s">
        <v>416</v>
      </c>
      <c r="D594" s="3" t="s">
        <v>590</v>
      </c>
      <c r="E594" s="42"/>
      <c r="F594" s="3" t="s">
        <v>471</v>
      </c>
      <c r="G594" s="3" t="s">
        <v>291</v>
      </c>
      <c r="H594" s="4">
        <v>3196709</v>
      </c>
      <c r="I594" s="3" t="s">
        <v>693</v>
      </c>
      <c r="J594" s="3" t="s">
        <v>322</v>
      </c>
      <c r="K594" s="4">
        <v>3207005</v>
      </c>
    </row>
    <row r="595" spans="1:43" s="3" customFormat="1" x14ac:dyDescent="0.3">
      <c r="B595" s="44">
        <v>45927</v>
      </c>
      <c r="C595" s="3" t="s">
        <v>416</v>
      </c>
      <c r="D595" s="3" t="s">
        <v>493</v>
      </c>
      <c r="E595" s="42"/>
      <c r="F595" s="3" t="s">
        <v>471</v>
      </c>
      <c r="G595" s="3" t="s">
        <v>217</v>
      </c>
      <c r="H595" s="4">
        <v>3348309</v>
      </c>
      <c r="I595" s="4" t="s">
        <v>676</v>
      </c>
      <c r="J595" s="4" t="s">
        <v>214</v>
      </c>
      <c r="K595" s="4">
        <v>3358805</v>
      </c>
    </row>
    <row r="596" spans="1:43" s="3" customFormat="1" x14ac:dyDescent="0.3">
      <c r="B596" s="44">
        <v>45927</v>
      </c>
      <c r="C596" s="3" t="s">
        <v>416</v>
      </c>
      <c r="D596" s="3" t="s">
        <v>69</v>
      </c>
      <c r="E596" s="42"/>
      <c r="F596" s="3" t="s">
        <v>471</v>
      </c>
      <c r="G596" s="3" t="s">
        <v>364</v>
      </c>
      <c r="H596" s="4">
        <v>3197000</v>
      </c>
      <c r="I596" s="3" t="s">
        <v>656</v>
      </c>
      <c r="J596" s="3" t="s">
        <v>361</v>
      </c>
      <c r="K596" s="4">
        <v>3200002</v>
      </c>
    </row>
    <row r="597" spans="1:43" s="3" customFormat="1" x14ac:dyDescent="0.3">
      <c r="B597" s="44">
        <v>45927</v>
      </c>
      <c r="C597" s="3" t="s">
        <v>416</v>
      </c>
      <c r="D597" s="3" t="s">
        <v>497</v>
      </c>
      <c r="E597" s="42"/>
      <c r="F597" s="15" t="s">
        <v>471</v>
      </c>
      <c r="G597" s="15" t="s">
        <v>240</v>
      </c>
      <c r="H597" s="74">
        <v>3348403</v>
      </c>
      <c r="I597" s="3" t="s">
        <v>678</v>
      </c>
      <c r="J597" s="3" t="s">
        <v>172</v>
      </c>
      <c r="K597" s="74">
        <v>3350709</v>
      </c>
    </row>
    <row r="598" spans="1:43" s="3" customFormat="1" x14ac:dyDescent="0.3">
      <c r="B598" s="44">
        <v>45927</v>
      </c>
      <c r="C598" s="3" t="s">
        <v>416</v>
      </c>
      <c r="D598" s="3" t="s">
        <v>487</v>
      </c>
      <c r="E598" s="4"/>
      <c r="F598" s="4" t="s">
        <v>692</v>
      </c>
      <c r="G598" s="4" t="s">
        <v>115</v>
      </c>
      <c r="H598" s="4">
        <v>3068106</v>
      </c>
      <c r="I598" s="3" t="s">
        <v>695</v>
      </c>
      <c r="J598" s="3" t="s">
        <v>101</v>
      </c>
      <c r="K598" s="4">
        <v>3067305</v>
      </c>
    </row>
    <row r="599" spans="1:43" s="3" customFormat="1" x14ac:dyDescent="0.3">
      <c r="B599" s="44">
        <v>45927</v>
      </c>
      <c r="C599" s="3" t="s">
        <v>416</v>
      </c>
      <c r="D599" s="3" t="s">
        <v>70</v>
      </c>
      <c r="E599" s="42"/>
      <c r="F599" s="3" t="s">
        <v>692</v>
      </c>
      <c r="G599" s="3" t="s">
        <v>378</v>
      </c>
      <c r="H599" s="4">
        <v>3197802</v>
      </c>
      <c r="I599" s="3" t="s">
        <v>672</v>
      </c>
      <c r="J599" s="3" t="s">
        <v>401</v>
      </c>
      <c r="K599" s="4">
        <v>3202000</v>
      </c>
    </row>
    <row r="600" spans="1:43" s="3" customFormat="1" x14ac:dyDescent="0.3">
      <c r="B600" s="44">
        <v>45927</v>
      </c>
      <c r="C600" s="3" t="s">
        <v>416</v>
      </c>
      <c r="D600" s="3" t="s">
        <v>498</v>
      </c>
      <c r="E600" s="42"/>
      <c r="F600" s="3" t="s">
        <v>692</v>
      </c>
      <c r="G600" s="3" t="s">
        <v>223</v>
      </c>
      <c r="H600" s="4">
        <v>3348007</v>
      </c>
      <c r="I600" s="3" t="s">
        <v>689</v>
      </c>
      <c r="J600" s="3" t="s">
        <v>468</v>
      </c>
      <c r="K600" s="4">
        <v>3349902</v>
      </c>
    </row>
    <row r="601" spans="1:43" s="3" customFormat="1" x14ac:dyDescent="0.3">
      <c r="B601" s="44">
        <v>45927</v>
      </c>
      <c r="C601" s="3" t="s">
        <v>416</v>
      </c>
      <c r="D601" s="3" t="s">
        <v>488</v>
      </c>
      <c r="E601" s="42"/>
      <c r="F601" s="4" t="s">
        <v>698</v>
      </c>
      <c r="G601" s="4" t="s">
        <v>561</v>
      </c>
      <c r="H601" s="4" t="s">
        <v>563</v>
      </c>
      <c r="I601" s="3" t="s">
        <v>704</v>
      </c>
      <c r="J601" s="3" t="s">
        <v>120</v>
      </c>
      <c r="K601" s="4">
        <v>3355506</v>
      </c>
    </row>
    <row r="602" spans="1:43" s="3" customFormat="1" x14ac:dyDescent="0.3">
      <c r="B602" s="44">
        <v>45927</v>
      </c>
      <c r="C602" s="3" t="s">
        <v>416</v>
      </c>
      <c r="D602" s="3" t="s">
        <v>58</v>
      </c>
      <c r="E602" s="42"/>
      <c r="F602" s="3" t="s">
        <v>698</v>
      </c>
      <c r="G602" s="3" t="s">
        <v>587</v>
      </c>
      <c r="H602" s="4" t="s">
        <v>563</v>
      </c>
      <c r="I602" s="32" t="s">
        <v>478</v>
      </c>
      <c r="J602" s="32" t="s">
        <v>267</v>
      </c>
      <c r="K602" s="15">
        <v>3205205</v>
      </c>
    </row>
    <row r="603" spans="1:43" s="3" customFormat="1" x14ac:dyDescent="0.3">
      <c r="B603" s="44">
        <v>45927</v>
      </c>
      <c r="C603" s="3" t="s">
        <v>416</v>
      </c>
      <c r="D603" s="3" t="s">
        <v>59</v>
      </c>
      <c r="E603" s="42"/>
      <c r="F603" s="4" t="s">
        <v>681</v>
      </c>
      <c r="G603" s="4" t="s">
        <v>281</v>
      </c>
      <c r="H603" s="4">
        <v>3195700</v>
      </c>
      <c r="I603" s="3" t="s">
        <v>476</v>
      </c>
      <c r="J603" s="3" t="s">
        <v>274</v>
      </c>
      <c r="K603" s="4">
        <v>3206902</v>
      </c>
    </row>
    <row r="604" spans="1:43" s="3" customFormat="1" x14ac:dyDescent="0.3">
      <c r="B604" s="44">
        <v>45927</v>
      </c>
      <c r="C604" s="3" t="s">
        <v>416</v>
      </c>
      <c r="D604" s="3" t="s">
        <v>69</v>
      </c>
      <c r="E604" s="42"/>
      <c r="F604" s="3" t="s">
        <v>681</v>
      </c>
      <c r="G604" s="3" t="s">
        <v>365</v>
      </c>
      <c r="H604" s="4">
        <v>3195804</v>
      </c>
      <c r="I604" s="3" t="s">
        <v>694</v>
      </c>
      <c r="J604" s="3" t="s">
        <v>376</v>
      </c>
      <c r="K604" s="53">
        <v>3201303</v>
      </c>
    </row>
    <row r="605" spans="1:43" s="3" customFormat="1" x14ac:dyDescent="0.3">
      <c r="A605" s="4"/>
      <c r="B605" s="100">
        <v>45927</v>
      </c>
      <c r="C605" s="98" t="s">
        <v>553</v>
      </c>
      <c r="D605" s="4" t="s">
        <v>508</v>
      </c>
      <c r="E605" s="4"/>
      <c r="F605" s="73" t="s">
        <v>509</v>
      </c>
      <c r="G605" s="73" t="s">
        <v>509</v>
      </c>
      <c r="H605" s="73"/>
      <c r="I605" s="73" t="s">
        <v>554</v>
      </c>
      <c r="J605" s="73" t="s">
        <v>9</v>
      </c>
      <c r="K605" s="4" t="s">
        <v>418</v>
      </c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spans="1:43" s="3" customFormat="1" x14ac:dyDescent="0.3">
      <c r="B606" s="44">
        <v>45927</v>
      </c>
      <c r="C606" s="3" t="s">
        <v>416</v>
      </c>
      <c r="D606" s="3" t="s">
        <v>492</v>
      </c>
      <c r="E606" s="42"/>
      <c r="F606" s="4" t="s">
        <v>670</v>
      </c>
      <c r="G606" s="4" t="s">
        <v>145</v>
      </c>
      <c r="H606" s="4">
        <v>3347404</v>
      </c>
      <c r="I606" s="3" t="s">
        <v>646</v>
      </c>
      <c r="J606" s="3" t="s">
        <v>159</v>
      </c>
      <c r="K606" s="4">
        <v>3354403</v>
      </c>
    </row>
    <row r="607" spans="1:43" s="3" customFormat="1" x14ac:dyDescent="0.3">
      <c r="B607" s="44">
        <v>45927</v>
      </c>
      <c r="C607" s="3" t="s">
        <v>416</v>
      </c>
      <c r="D607" s="3" t="s">
        <v>592</v>
      </c>
      <c r="E607" s="42"/>
      <c r="F607" s="3" t="s">
        <v>670</v>
      </c>
      <c r="G607" s="3" t="s">
        <v>636</v>
      </c>
      <c r="H607" s="74">
        <v>3195502</v>
      </c>
      <c r="I607" s="3" t="s">
        <v>682</v>
      </c>
      <c r="J607" s="3" t="s">
        <v>635</v>
      </c>
      <c r="K607" s="74">
        <v>3969700</v>
      </c>
    </row>
    <row r="608" spans="1:43" s="3" customFormat="1" x14ac:dyDescent="0.3">
      <c r="B608" s="44">
        <v>45927</v>
      </c>
      <c r="C608" s="3" t="s">
        <v>416</v>
      </c>
      <c r="D608" s="3" t="s">
        <v>492</v>
      </c>
      <c r="E608" s="42"/>
      <c r="F608" s="4" t="s">
        <v>673</v>
      </c>
      <c r="G608" s="4" t="s">
        <v>134</v>
      </c>
      <c r="H608" s="4">
        <v>3347102</v>
      </c>
      <c r="I608" s="3" t="s">
        <v>719</v>
      </c>
      <c r="J608" s="3" t="s">
        <v>155</v>
      </c>
      <c r="K608" s="4">
        <v>3361600</v>
      </c>
    </row>
    <row r="609" spans="1:43" s="3" customFormat="1" x14ac:dyDescent="0.3">
      <c r="B609" s="44">
        <v>45927</v>
      </c>
      <c r="C609" s="3" t="s">
        <v>416</v>
      </c>
      <c r="D609" s="3" t="s">
        <v>495</v>
      </c>
      <c r="E609" s="42"/>
      <c r="F609" s="3" t="s">
        <v>673</v>
      </c>
      <c r="G609" s="3" t="s">
        <v>200</v>
      </c>
      <c r="H609" s="53">
        <v>3901004</v>
      </c>
      <c r="I609" s="3" t="s">
        <v>670</v>
      </c>
      <c r="J609" s="3" t="s">
        <v>224</v>
      </c>
      <c r="K609" s="4">
        <v>3347008</v>
      </c>
    </row>
    <row r="610" spans="1:43" s="3" customFormat="1" x14ac:dyDescent="0.3">
      <c r="B610" s="44">
        <v>45927</v>
      </c>
      <c r="C610" s="3" t="s">
        <v>416</v>
      </c>
      <c r="D610" s="3" t="s">
        <v>64</v>
      </c>
      <c r="E610" s="42">
        <v>4370907</v>
      </c>
      <c r="F610" s="3" t="s">
        <v>717</v>
      </c>
      <c r="G610" s="3" t="s">
        <v>432</v>
      </c>
      <c r="H610" s="4">
        <v>3195106</v>
      </c>
      <c r="I610" s="4" t="s">
        <v>692</v>
      </c>
      <c r="J610" s="4" t="s">
        <v>342</v>
      </c>
      <c r="K610" s="4">
        <v>3196501</v>
      </c>
    </row>
    <row r="611" spans="1:43" s="3" customFormat="1" x14ac:dyDescent="0.3">
      <c r="B611" s="44">
        <v>45927</v>
      </c>
      <c r="C611" s="3" t="s">
        <v>416</v>
      </c>
      <c r="D611" s="3" t="s">
        <v>498</v>
      </c>
      <c r="E611" s="42"/>
      <c r="F611" s="3" t="s">
        <v>717</v>
      </c>
      <c r="G611" s="3" t="s">
        <v>429</v>
      </c>
      <c r="H611" s="4">
        <v>3346905</v>
      </c>
      <c r="I611" s="3" t="s">
        <v>694</v>
      </c>
      <c r="J611" s="3" t="s">
        <v>245</v>
      </c>
      <c r="K611" s="4">
        <v>3352905</v>
      </c>
    </row>
    <row r="612" spans="1:43" s="3" customFormat="1" x14ac:dyDescent="0.3">
      <c r="B612" s="44">
        <v>45927</v>
      </c>
      <c r="C612" s="3" t="s">
        <v>416</v>
      </c>
      <c r="D612" s="3" t="s">
        <v>67</v>
      </c>
      <c r="E612" s="42"/>
      <c r="F612" s="4" t="s">
        <v>717</v>
      </c>
      <c r="G612" s="4" t="s">
        <v>435</v>
      </c>
      <c r="H612" s="4">
        <v>3195200</v>
      </c>
      <c r="I612" s="3" t="s">
        <v>475</v>
      </c>
      <c r="J612" s="3" t="s">
        <v>336</v>
      </c>
      <c r="K612" s="4">
        <v>3211809</v>
      </c>
    </row>
    <row r="613" spans="1:43" s="3" customFormat="1" x14ac:dyDescent="0.3">
      <c r="B613" s="44">
        <v>45927</v>
      </c>
      <c r="C613" s="3" t="s">
        <v>416</v>
      </c>
      <c r="D613" s="3" t="s">
        <v>501</v>
      </c>
      <c r="E613" s="42"/>
      <c r="F613" s="3" t="s">
        <v>717</v>
      </c>
      <c r="G613" s="3" t="s">
        <v>583</v>
      </c>
      <c r="H613" s="4">
        <v>4022908</v>
      </c>
      <c r="I613" s="3" t="s">
        <v>692</v>
      </c>
      <c r="J613" s="3" t="s">
        <v>582</v>
      </c>
      <c r="K613" s="53">
        <v>3900901</v>
      </c>
      <c r="M613" s="51"/>
    </row>
    <row r="614" spans="1:43" s="3" customFormat="1" x14ac:dyDescent="0.3">
      <c r="A614" s="4"/>
      <c r="B614" s="100">
        <v>45927</v>
      </c>
      <c r="C614" s="98" t="s">
        <v>553</v>
      </c>
      <c r="D614" s="4" t="s">
        <v>508</v>
      </c>
      <c r="E614" s="4"/>
      <c r="F614" s="73" t="s">
        <v>511</v>
      </c>
      <c r="G614" s="73" t="s">
        <v>511</v>
      </c>
      <c r="H614" s="73"/>
      <c r="I614" s="73" t="s">
        <v>473</v>
      </c>
      <c r="J614" s="73" t="s">
        <v>473</v>
      </c>
      <c r="K614" s="4" t="s">
        <v>418</v>
      </c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spans="1:43" s="3" customFormat="1" x14ac:dyDescent="0.3">
      <c r="B615" s="44">
        <v>45927</v>
      </c>
      <c r="C615" s="3" t="s">
        <v>416</v>
      </c>
      <c r="D615" s="3" t="s">
        <v>62</v>
      </c>
      <c r="E615" s="42"/>
      <c r="F615" s="4" t="s">
        <v>679</v>
      </c>
      <c r="G615" s="4" t="s">
        <v>292</v>
      </c>
      <c r="H615" s="4">
        <v>3195304</v>
      </c>
      <c r="I615" s="3" t="s">
        <v>694</v>
      </c>
      <c r="J615" s="3" t="s">
        <v>340</v>
      </c>
      <c r="K615" s="4">
        <v>3201803</v>
      </c>
    </row>
    <row r="616" spans="1:43" s="3" customFormat="1" x14ac:dyDescent="0.3">
      <c r="B616" s="44">
        <v>45927</v>
      </c>
      <c r="C616" s="3" t="s">
        <v>416</v>
      </c>
      <c r="D616" s="3" t="s">
        <v>500</v>
      </c>
      <c r="E616" s="42"/>
      <c r="F616" s="3" t="s">
        <v>679</v>
      </c>
      <c r="G616" s="3" t="s">
        <v>466</v>
      </c>
      <c r="H616" s="4">
        <v>3346707</v>
      </c>
      <c r="I616" s="4" t="s">
        <v>471</v>
      </c>
      <c r="J616" s="4" t="s">
        <v>467</v>
      </c>
      <c r="K616" s="4">
        <v>3819409</v>
      </c>
    </row>
    <row r="617" spans="1:43" s="3" customFormat="1" x14ac:dyDescent="0.3">
      <c r="B617" s="44">
        <v>45927</v>
      </c>
      <c r="C617" s="3" t="s">
        <v>416</v>
      </c>
      <c r="D617" s="3" t="s">
        <v>487</v>
      </c>
      <c r="E617" s="4"/>
      <c r="F617" s="4" t="s">
        <v>721</v>
      </c>
      <c r="G617" s="4" t="s">
        <v>124</v>
      </c>
      <c r="H617" s="4">
        <v>3267501</v>
      </c>
      <c r="I617" s="3" t="s">
        <v>479</v>
      </c>
      <c r="J617" s="3" t="s">
        <v>127</v>
      </c>
      <c r="K617" s="4">
        <v>3360809</v>
      </c>
    </row>
    <row r="618" spans="1:43" s="3" customFormat="1" x14ac:dyDescent="0.3">
      <c r="B618" s="44">
        <v>45927</v>
      </c>
      <c r="C618" s="3" t="s">
        <v>416</v>
      </c>
      <c r="D618" s="3" t="s">
        <v>58</v>
      </c>
      <c r="E618" s="42"/>
      <c r="F618" s="3" t="s">
        <v>721</v>
      </c>
      <c r="G618" s="3" t="s">
        <v>271</v>
      </c>
      <c r="H618" s="4">
        <v>3194701</v>
      </c>
      <c r="I618" s="3" t="s">
        <v>704</v>
      </c>
      <c r="J618" s="3" t="s">
        <v>297</v>
      </c>
      <c r="K618" s="32">
        <v>3204008</v>
      </c>
    </row>
    <row r="619" spans="1:43" s="3" customFormat="1" x14ac:dyDescent="0.3">
      <c r="B619" s="44">
        <v>45927</v>
      </c>
      <c r="C619" s="3" t="s">
        <v>416</v>
      </c>
      <c r="D619" s="3" t="s">
        <v>60</v>
      </c>
      <c r="E619" s="42"/>
      <c r="F619" s="3" t="s">
        <v>721</v>
      </c>
      <c r="G619" s="3" t="s">
        <v>300</v>
      </c>
      <c r="H619" s="4">
        <v>3194805</v>
      </c>
      <c r="I619" s="3" t="s">
        <v>473</v>
      </c>
      <c r="J619" s="3" t="s">
        <v>298</v>
      </c>
      <c r="K619" s="32">
        <v>3817807</v>
      </c>
    </row>
    <row r="620" spans="1:43" s="3" customFormat="1" x14ac:dyDescent="0.3">
      <c r="B620" s="44">
        <v>45927</v>
      </c>
      <c r="C620" s="3" t="s">
        <v>416</v>
      </c>
      <c r="D620" s="3" t="s">
        <v>489</v>
      </c>
      <c r="E620" s="4"/>
      <c r="F620" s="3" t="s">
        <v>688</v>
      </c>
      <c r="G620" s="3" t="s">
        <v>10</v>
      </c>
      <c r="H620" s="4">
        <v>3036204</v>
      </c>
      <c r="I620" s="4" t="s">
        <v>474</v>
      </c>
      <c r="J620" s="4" t="s">
        <v>130</v>
      </c>
      <c r="K620" s="4">
        <v>3352405</v>
      </c>
    </row>
    <row r="621" spans="1:43" s="3" customFormat="1" x14ac:dyDescent="0.3">
      <c r="B621" s="44">
        <v>45927</v>
      </c>
      <c r="C621" s="3" t="s">
        <v>416</v>
      </c>
      <c r="D621" s="3" t="s">
        <v>56</v>
      </c>
      <c r="E621" s="42"/>
      <c r="F621" s="4" t="s">
        <v>688</v>
      </c>
      <c r="G621" s="4" t="s">
        <v>264</v>
      </c>
      <c r="H621" s="4">
        <v>3055603</v>
      </c>
      <c r="I621" s="73" t="s">
        <v>474</v>
      </c>
      <c r="J621" s="73" t="s">
        <v>253</v>
      </c>
      <c r="K621" s="4">
        <v>3037109</v>
      </c>
    </row>
    <row r="622" spans="1:43" s="3" customFormat="1" x14ac:dyDescent="0.3">
      <c r="B622" s="44">
        <v>45927</v>
      </c>
      <c r="C622" s="3" t="s">
        <v>416</v>
      </c>
      <c r="D622" s="3" t="s">
        <v>64</v>
      </c>
      <c r="E622" s="42">
        <v>4370907</v>
      </c>
      <c r="F622" s="3" t="s">
        <v>688</v>
      </c>
      <c r="G622" s="3" t="s">
        <v>318</v>
      </c>
      <c r="H622" s="4">
        <v>3037401</v>
      </c>
      <c r="I622" s="4" t="s">
        <v>710</v>
      </c>
      <c r="J622" s="4" t="s">
        <v>354</v>
      </c>
      <c r="K622" s="4">
        <v>3199404</v>
      </c>
    </row>
    <row r="623" spans="1:43" s="3" customFormat="1" x14ac:dyDescent="0.3">
      <c r="B623" s="44">
        <v>45927</v>
      </c>
      <c r="C623" s="3" t="s">
        <v>416</v>
      </c>
      <c r="D623" s="3" t="s">
        <v>70</v>
      </c>
      <c r="E623" s="42"/>
      <c r="F623" s="3" t="s">
        <v>688</v>
      </c>
      <c r="G623" s="3" t="s">
        <v>379</v>
      </c>
      <c r="H623" s="4">
        <v>3194409</v>
      </c>
      <c r="I623" s="3" t="s">
        <v>717</v>
      </c>
      <c r="J623" s="3" t="s">
        <v>434</v>
      </c>
      <c r="K623" s="4">
        <v>3195408</v>
      </c>
    </row>
    <row r="624" spans="1:43" s="3" customFormat="1" x14ac:dyDescent="0.3">
      <c r="B624" s="44">
        <v>45927</v>
      </c>
      <c r="C624" s="3" t="s">
        <v>416</v>
      </c>
      <c r="D624" s="3" t="s">
        <v>504</v>
      </c>
      <c r="E624" s="42"/>
      <c r="F624" s="4" t="s">
        <v>720</v>
      </c>
      <c r="G624" s="4" t="s">
        <v>13</v>
      </c>
      <c r="H624" s="4">
        <v>3125906</v>
      </c>
      <c r="I624" s="3" t="s">
        <v>471</v>
      </c>
      <c r="J624" s="3" t="s">
        <v>14</v>
      </c>
      <c r="K624" s="4">
        <v>3348601</v>
      </c>
    </row>
    <row r="625" spans="1:43" s="3" customFormat="1" x14ac:dyDescent="0.3">
      <c r="B625" s="44">
        <v>45927</v>
      </c>
      <c r="C625" s="3" t="s">
        <v>416</v>
      </c>
      <c r="D625" s="3" t="s">
        <v>61</v>
      </c>
      <c r="E625" s="42"/>
      <c r="F625" s="4" t="s">
        <v>720</v>
      </c>
      <c r="G625" s="4" t="s">
        <v>335</v>
      </c>
      <c r="H625" s="4">
        <v>3194201</v>
      </c>
      <c r="I625" s="3" t="s">
        <v>690</v>
      </c>
      <c r="J625" s="3" t="s">
        <v>304</v>
      </c>
      <c r="K625" s="4">
        <v>3204404</v>
      </c>
    </row>
    <row r="626" spans="1:43" s="3" customFormat="1" x14ac:dyDescent="0.3">
      <c r="B626" s="44">
        <v>45927</v>
      </c>
      <c r="C626" s="3" t="s">
        <v>416</v>
      </c>
      <c r="D626" s="3" t="s">
        <v>488</v>
      </c>
      <c r="E626" s="42"/>
      <c r="F626" s="3" t="s">
        <v>720</v>
      </c>
      <c r="G626" s="3" t="s">
        <v>153</v>
      </c>
      <c r="H626" s="4">
        <v>3033405</v>
      </c>
      <c r="I626" s="3" t="s">
        <v>703</v>
      </c>
      <c r="J626" s="3" t="s">
        <v>560</v>
      </c>
      <c r="K626" s="4" t="s">
        <v>562</v>
      </c>
    </row>
    <row r="627" spans="1:43" s="3" customFormat="1" x14ac:dyDescent="0.3">
      <c r="B627" s="44">
        <v>45927</v>
      </c>
      <c r="C627" s="3" t="s">
        <v>416</v>
      </c>
      <c r="D627" s="3" t="s">
        <v>57</v>
      </c>
      <c r="E627" s="42"/>
      <c r="F627" s="4" t="s">
        <v>647</v>
      </c>
      <c r="G627" s="4" t="s">
        <v>282</v>
      </c>
      <c r="H627" s="4">
        <v>3193900</v>
      </c>
      <c r="I627" s="15" t="s">
        <v>703</v>
      </c>
      <c r="J627" s="15" t="s">
        <v>585</v>
      </c>
      <c r="K627" s="74" t="s">
        <v>556</v>
      </c>
    </row>
    <row r="628" spans="1:43" s="3" customFormat="1" x14ac:dyDescent="0.3">
      <c r="B628" s="44">
        <v>45927</v>
      </c>
      <c r="C628" s="3" t="s">
        <v>416</v>
      </c>
      <c r="D628" s="3" t="s">
        <v>494</v>
      </c>
      <c r="E628" s="42"/>
      <c r="F628" s="4" t="s">
        <v>647</v>
      </c>
      <c r="G628" s="4" t="s">
        <v>191</v>
      </c>
      <c r="H628" s="4">
        <v>3345708</v>
      </c>
      <c r="I628" s="3" t="s">
        <v>689</v>
      </c>
      <c r="J628" s="3" t="s">
        <v>189</v>
      </c>
      <c r="K628" s="4">
        <v>3350209</v>
      </c>
    </row>
    <row r="629" spans="1:43" s="3" customFormat="1" x14ac:dyDescent="0.3">
      <c r="B629" s="44">
        <v>45927</v>
      </c>
      <c r="C629" s="3" t="s">
        <v>416</v>
      </c>
      <c r="D629" s="3" t="s">
        <v>498</v>
      </c>
      <c r="E629" s="42"/>
      <c r="F629" s="3" t="s">
        <v>647</v>
      </c>
      <c r="G629" s="3" t="s">
        <v>225</v>
      </c>
      <c r="H629" s="4">
        <v>3345802</v>
      </c>
      <c r="I629" s="3" t="s">
        <v>688</v>
      </c>
      <c r="J629" s="3" t="s">
        <v>146</v>
      </c>
      <c r="K629" s="53">
        <v>3346405</v>
      </c>
    </row>
    <row r="630" spans="1:43" s="3" customFormat="1" x14ac:dyDescent="0.3">
      <c r="B630" s="44">
        <v>45927</v>
      </c>
      <c r="C630" s="3" t="s">
        <v>416</v>
      </c>
      <c r="D630" s="3" t="s">
        <v>592</v>
      </c>
      <c r="E630" s="42"/>
      <c r="F630" s="3" t="s">
        <v>647</v>
      </c>
      <c r="G630" s="3" t="s">
        <v>405</v>
      </c>
      <c r="H630" s="74">
        <v>3901108</v>
      </c>
      <c r="I630" s="3" t="s">
        <v>570</v>
      </c>
      <c r="J630" s="3" t="s">
        <v>570</v>
      </c>
      <c r="K630" s="4" t="s">
        <v>556</v>
      </c>
    </row>
    <row r="631" spans="1:43" s="3" customFormat="1" x14ac:dyDescent="0.3">
      <c r="B631" s="44">
        <v>45927</v>
      </c>
      <c r="C631" s="3" t="s">
        <v>416</v>
      </c>
      <c r="D631" s="3" t="s">
        <v>496</v>
      </c>
      <c r="E631" s="42"/>
      <c r="F631" s="4" t="s">
        <v>687</v>
      </c>
      <c r="G631" s="4" t="s">
        <v>207</v>
      </c>
      <c r="H631" s="4">
        <v>3346801</v>
      </c>
      <c r="I631" s="3" t="s">
        <v>710</v>
      </c>
      <c r="J631" s="3" t="s">
        <v>462</v>
      </c>
      <c r="K631" s="4">
        <v>3352207</v>
      </c>
    </row>
    <row r="632" spans="1:43" s="3" customFormat="1" x14ac:dyDescent="0.3">
      <c r="B632" s="44">
        <v>45927</v>
      </c>
      <c r="C632" s="3" t="s">
        <v>416</v>
      </c>
      <c r="D632" s="3" t="s">
        <v>59</v>
      </c>
      <c r="E632" s="42"/>
      <c r="F632" s="4" t="s">
        <v>687</v>
      </c>
      <c r="G632" s="4" t="s">
        <v>283</v>
      </c>
      <c r="H632" s="4">
        <v>3194107</v>
      </c>
      <c r="I632" s="3" t="s">
        <v>662</v>
      </c>
      <c r="J632" s="3" t="s">
        <v>314</v>
      </c>
      <c r="K632" s="4">
        <v>3208004</v>
      </c>
    </row>
    <row r="633" spans="1:43" s="3" customFormat="1" x14ac:dyDescent="0.3">
      <c r="A633" s="4"/>
      <c r="B633" s="100">
        <v>45928</v>
      </c>
      <c r="C633" s="98" t="s">
        <v>553</v>
      </c>
      <c r="D633" s="4" t="s">
        <v>516</v>
      </c>
      <c r="E633" s="4"/>
      <c r="F633" s="73" t="s">
        <v>476</v>
      </c>
      <c r="G633" s="73" t="s">
        <v>476</v>
      </c>
      <c r="H633" s="73"/>
      <c r="I633" s="73" t="s">
        <v>534</v>
      </c>
      <c r="J633" s="73" t="s">
        <v>524</v>
      </c>
      <c r="K633" s="4" t="s">
        <v>418</v>
      </c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spans="1:43" s="3" customFormat="1" x14ac:dyDescent="0.3">
      <c r="A634" s="4"/>
      <c r="B634" s="100">
        <v>45928</v>
      </c>
      <c r="C634" s="98" t="s">
        <v>553</v>
      </c>
      <c r="D634" s="4" t="s">
        <v>516</v>
      </c>
      <c r="E634" s="4"/>
      <c r="F634" s="73" t="s">
        <v>527</v>
      </c>
      <c r="G634" s="73" t="s">
        <v>527</v>
      </c>
      <c r="H634" s="73"/>
      <c r="I634" s="73" t="s">
        <v>518</v>
      </c>
      <c r="J634" s="73" t="s">
        <v>518</v>
      </c>
      <c r="K634" s="4" t="s">
        <v>418</v>
      </c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spans="1:43" s="3" customFormat="1" x14ac:dyDescent="0.3">
      <c r="A635" s="4"/>
      <c r="B635" s="100">
        <v>45928</v>
      </c>
      <c r="C635" s="98" t="s">
        <v>553</v>
      </c>
      <c r="D635" s="4" t="s">
        <v>516</v>
      </c>
      <c r="E635" s="4"/>
      <c r="F635" s="73" t="s">
        <v>519</v>
      </c>
      <c r="G635" s="73" t="s">
        <v>519</v>
      </c>
      <c r="H635" s="73"/>
      <c r="I635" s="73" t="s">
        <v>474</v>
      </c>
      <c r="J635" s="73" t="s">
        <v>474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spans="1:43" s="3" customFormat="1" x14ac:dyDescent="0.3">
      <c r="A636" s="4"/>
      <c r="B636" s="100">
        <v>45928</v>
      </c>
      <c r="C636" s="98" t="s">
        <v>553</v>
      </c>
      <c r="D636" s="4" t="s">
        <v>521</v>
      </c>
      <c r="E636" s="4"/>
      <c r="F636" s="73" t="s">
        <v>528</v>
      </c>
      <c r="G636" s="73" t="s">
        <v>528</v>
      </c>
      <c r="H636" s="73"/>
      <c r="I636" s="73" t="s">
        <v>472</v>
      </c>
      <c r="J636" s="73" t="s">
        <v>472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spans="1:43" s="3" customFormat="1" x14ac:dyDescent="0.3">
      <c r="A637" s="4"/>
      <c r="B637" s="100">
        <v>45928</v>
      </c>
      <c r="C637" s="98" t="s">
        <v>553</v>
      </c>
      <c r="D637" s="4" t="s">
        <v>521</v>
      </c>
      <c r="E637" s="4"/>
      <c r="F637" s="73" t="s">
        <v>529</v>
      </c>
      <c r="G637" s="73" t="s">
        <v>529</v>
      </c>
      <c r="H637" s="73"/>
      <c r="I637" s="73" t="s">
        <v>479</v>
      </c>
      <c r="J637" s="73" t="s">
        <v>479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spans="1:43" s="3" customFormat="1" x14ac:dyDescent="0.3">
      <c r="A638" s="4"/>
      <c r="B638" s="100">
        <v>45928</v>
      </c>
      <c r="C638" s="98" t="s">
        <v>553</v>
      </c>
      <c r="D638" s="4" t="s">
        <v>521</v>
      </c>
      <c r="E638" s="4"/>
      <c r="F638" s="73" t="s">
        <v>471</v>
      </c>
      <c r="G638" s="73" t="s">
        <v>471</v>
      </c>
      <c r="H638" s="73"/>
      <c r="I638" s="73" t="s">
        <v>530</v>
      </c>
      <c r="J638" s="73" t="s">
        <v>530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spans="1:43" s="3" customFormat="1" x14ac:dyDescent="0.3">
      <c r="A639" s="4"/>
      <c r="B639" s="100">
        <v>45934</v>
      </c>
      <c r="C639" s="98" t="s">
        <v>553</v>
      </c>
      <c r="D639" s="4" t="s">
        <v>508</v>
      </c>
      <c r="E639" s="4"/>
      <c r="F639" s="73" t="s">
        <v>475</v>
      </c>
      <c r="G639" s="73" t="s">
        <v>475</v>
      </c>
      <c r="H639" s="73"/>
      <c r="I639" s="73" t="s">
        <v>473</v>
      </c>
      <c r="J639" s="73" t="s">
        <v>473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spans="1:43" s="3" customFormat="1" x14ac:dyDescent="0.3">
      <c r="B640" s="44">
        <v>45934</v>
      </c>
      <c r="C640" s="3" t="s">
        <v>416</v>
      </c>
      <c r="D640" s="3" t="s">
        <v>504</v>
      </c>
      <c r="E640" s="42"/>
      <c r="F640" s="3" t="s">
        <v>475</v>
      </c>
      <c r="G640" s="3" t="s">
        <v>15</v>
      </c>
      <c r="H640" s="4">
        <v>3029601</v>
      </c>
      <c r="I640" s="4" t="s">
        <v>476</v>
      </c>
      <c r="J640" s="4" t="s">
        <v>100</v>
      </c>
      <c r="K640" s="4">
        <v>3125302</v>
      </c>
    </row>
    <row r="641" spans="1:43" s="3" customFormat="1" x14ac:dyDescent="0.3">
      <c r="B641" s="44">
        <v>45934</v>
      </c>
      <c r="C641" s="3" t="s">
        <v>416</v>
      </c>
      <c r="D641" s="3" t="s">
        <v>487</v>
      </c>
      <c r="E641" s="4"/>
      <c r="F641" s="3" t="s">
        <v>475</v>
      </c>
      <c r="G641" s="3" t="s">
        <v>96</v>
      </c>
      <c r="H641" s="4">
        <v>3067107</v>
      </c>
      <c r="I641" s="4" t="s">
        <v>710</v>
      </c>
      <c r="J641" s="4" t="s">
        <v>113</v>
      </c>
      <c r="K641" s="4">
        <v>3352009</v>
      </c>
    </row>
    <row r="642" spans="1:43" s="3" customFormat="1" x14ac:dyDescent="0.3">
      <c r="B642" s="44">
        <v>45934</v>
      </c>
      <c r="C642" s="3" t="s">
        <v>416</v>
      </c>
      <c r="D642" s="3" t="s">
        <v>56</v>
      </c>
      <c r="E642" s="42"/>
      <c r="F642" s="3" t="s">
        <v>475</v>
      </c>
      <c r="G642" s="3" t="s">
        <v>256</v>
      </c>
      <c r="H642" s="4">
        <v>3068700</v>
      </c>
      <c r="I642" s="4" t="s">
        <v>696</v>
      </c>
      <c r="J642" s="4" t="s">
        <v>261</v>
      </c>
      <c r="K642" s="4">
        <v>3202302</v>
      </c>
    </row>
    <row r="643" spans="1:43" s="3" customFormat="1" x14ac:dyDescent="0.3">
      <c r="B643" s="44">
        <v>45934</v>
      </c>
      <c r="C643" s="3" t="s">
        <v>416</v>
      </c>
      <c r="D643" s="3" t="s">
        <v>67</v>
      </c>
      <c r="E643" s="42"/>
      <c r="F643" s="4" t="s">
        <v>475</v>
      </c>
      <c r="G643" s="4" t="s">
        <v>336</v>
      </c>
      <c r="H643" s="4">
        <v>3211809</v>
      </c>
      <c r="I643" s="4" t="s">
        <v>715</v>
      </c>
      <c r="J643" s="4" t="s">
        <v>377</v>
      </c>
      <c r="K643" s="4">
        <v>3200106</v>
      </c>
    </row>
    <row r="644" spans="1:43" s="3" customFormat="1" x14ac:dyDescent="0.3">
      <c r="B644" s="44">
        <v>45934</v>
      </c>
      <c r="C644" s="3" t="s">
        <v>416</v>
      </c>
      <c r="D644" s="3" t="s">
        <v>70</v>
      </c>
      <c r="E644" s="42"/>
      <c r="F644" s="3" t="s">
        <v>475</v>
      </c>
      <c r="G644" s="3" t="s">
        <v>370</v>
      </c>
      <c r="H644" s="4">
        <v>3211903</v>
      </c>
      <c r="I644" s="3" t="s">
        <v>688</v>
      </c>
      <c r="J644" s="3" t="s">
        <v>379</v>
      </c>
      <c r="K644" s="4">
        <v>3194409</v>
      </c>
    </row>
    <row r="645" spans="1:43" s="3" customFormat="1" x14ac:dyDescent="0.3">
      <c r="B645" s="44">
        <v>45934</v>
      </c>
      <c r="C645" s="3" t="s">
        <v>416</v>
      </c>
      <c r="D645" s="3" t="s">
        <v>592</v>
      </c>
      <c r="E645" s="42"/>
      <c r="F645" s="3" t="s">
        <v>475</v>
      </c>
      <c r="G645" s="3" t="s">
        <v>398</v>
      </c>
      <c r="H645" s="74">
        <v>3211601</v>
      </c>
      <c r="I645" s="3" t="s">
        <v>682</v>
      </c>
      <c r="J645" s="3" t="s">
        <v>635</v>
      </c>
      <c r="K645" s="74">
        <v>3969700</v>
      </c>
    </row>
    <row r="646" spans="1:43" s="3" customFormat="1" x14ac:dyDescent="0.3">
      <c r="B646" s="44">
        <v>45934</v>
      </c>
      <c r="C646" s="3" t="s">
        <v>416</v>
      </c>
      <c r="D646" s="3" t="s">
        <v>60</v>
      </c>
      <c r="E646" s="42"/>
      <c r="F646" s="32" t="s">
        <v>705</v>
      </c>
      <c r="G646" s="32" t="s">
        <v>293</v>
      </c>
      <c r="H646" s="15">
        <v>3211705</v>
      </c>
      <c r="I646" s="3" t="s">
        <v>667</v>
      </c>
      <c r="J646" s="3" t="s">
        <v>294</v>
      </c>
      <c r="K646" s="32">
        <v>3209409</v>
      </c>
    </row>
    <row r="647" spans="1:43" s="3" customFormat="1" x14ac:dyDescent="0.3">
      <c r="B647" s="44">
        <v>45934</v>
      </c>
      <c r="C647" s="3" t="s">
        <v>416</v>
      </c>
      <c r="D647" s="3" t="s">
        <v>492</v>
      </c>
      <c r="E647" s="42"/>
      <c r="F647" s="4" t="s">
        <v>648</v>
      </c>
      <c r="G647" s="4" t="s">
        <v>201</v>
      </c>
      <c r="H647" s="4">
        <v>3362203</v>
      </c>
      <c r="I647" s="3" t="s">
        <v>474</v>
      </c>
      <c r="J647" s="3" t="s">
        <v>161</v>
      </c>
      <c r="K647" s="4">
        <v>3352509</v>
      </c>
    </row>
    <row r="648" spans="1:43" s="3" customFormat="1" x14ac:dyDescent="0.3">
      <c r="B648" s="44">
        <v>45934</v>
      </c>
      <c r="C648" s="3" t="s">
        <v>416</v>
      </c>
      <c r="D648" s="3" t="s">
        <v>492</v>
      </c>
      <c r="E648" s="42"/>
      <c r="F648" s="3" t="s">
        <v>649</v>
      </c>
      <c r="G648" s="3" t="s">
        <v>154</v>
      </c>
      <c r="H648" s="4">
        <v>3362109</v>
      </c>
      <c r="I648" s="4" t="s">
        <v>670</v>
      </c>
      <c r="J648" s="4" t="s">
        <v>145</v>
      </c>
      <c r="K648" s="4">
        <v>3347404</v>
      </c>
    </row>
    <row r="649" spans="1:43" s="3" customFormat="1" x14ac:dyDescent="0.3">
      <c r="B649" s="44">
        <v>45934</v>
      </c>
      <c r="C649" s="3" t="s">
        <v>416</v>
      </c>
      <c r="D649" s="3" t="s">
        <v>496</v>
      </c>
      <c r="E649" s="42"/>
      <c r="F649" s="3" t="s">
        <v>651</v>
      </c>
      <c r="G649" s="3" t="s">
        <v>202</v>
      </c>
      <c r="H649" s="74">
        <v>3361808</v>
      </c>
      <c r="I649" s="4" t="s">
        <v>687</v>
      </c>
      <c r="J649" s="4" t="s">
        <v>207</v>
      </c>
      <c r="K649" s="4">
        <v>3346801</v>
      </c>
    </row>
    <row r="650" spans="1:43" s="3" customFormat="1" x14ac:dyDescent="0.3">
      <c r="B650" s="44">
        <v>45934</v>
      </c>
      <c r="C650" s="3" t="s">
        <v>416</v>
      </c>
      <c r="D650" s="3" t="s">
        <v>492</v>
      </c>
      <c r="E650" s="42"/>
      <c r="F650" s="3" t="s">
        <v>719</v>
      </c>
      <c r="G650" s="3" t="s">
        <v>155</v>
      </c>
      <c r="H650" s="4">
        <v>3361600</v>
      </c>
      <c r="I650" s="3" t="s">
        <v>714</v>
      </c>
      <c r="J650" s="3" t="s">
        <v>162</v>
      </c>
      <c r="K650" s="4">
        <v>3348903</v>
      </c>
    </row>
    <row r="651" spans="1:43" s="3" customFormat="1" x14ac:dyDescent="0.3">
      <c r="B651" s="44">
        <v>45934</v>
      </c>
      <c r="C651" s="3" t="s">
        <v>416</v>
      </c>
      <c r="D651" s="3" t="s">
        <v>490</v>
      </c>
      <c r="E651" s="4"/>
      <c r="F651" s="3" t="s">
        <v>653</v>
      </c>
      <c r="G651" s="3" t="s">
        <v>126</v>
      </c>
      <c r="H651" s="4">
        <v>3361402</v>
      </c>
      <c r="I651" s="4" t="s">
        <v>691</v>
      </c>
      <c r="J651" s="4" t="s">
        <v>142</v>
      </c>
      <c r="K651" s="4">
        <v>3350501</v>
      </c>
    </row>
    <row r="652" spans="1:43" s="3" customFormat="1" x14ac:dyDescent="0.3">
      <c r="B652" s="44">
        <v>45934</v>
      </c>
      <c r="C652" s="3" t="s">
        <v>416</v>
      </c>
      <c r="D652" s="3" t="s">
        <v>65</v>
      </c>
      <c r="E652" s="42"/>
      <c r="F652" s="3" t="s">
        <v>653</v>
      </c>
      <c r="G652" s="3" t="s">
        <v>451</v>
      </c>
      <c r="H652" s="4">
        <v>3211309</v>
      </c>
      <c r="I652" s="4" t="s">
        <v>656</v>
      </c>
      <c r="J652" s="4" t="s">
        <v>326</v>
      </c>
      <c r="K652" s="4">
        <v>3199904</v>
      </c>
    </row>
    <row r="653" spans="1:43" s="3" customFormat="1" x14ac:dyDescent="0.3">
      <c r="B653" s="44">
        <v>45934</v>
      </c>
      <c r="C653" s="3" t="s">
        <v>416</v>
      </c>
      <c r="D653" s="3" t="s">
        <v>497</v>
      </c>
      <c r="E653" s="42"/>
      <c r="F653" s="17" t="s">
        <v>653</v>
      </c>
      <c r="G653" s="17" t="s">
        <v>209</v>
      </c>
      <c r="H653" s="74">
        <v>3360705</v>
      </c>
      <c r="I653" s="17" t="s">
        <v>480</v>
      </c>
      <c r="J653" s="17" t="s">
        <v>428</v>
      </c>
      <c r="K653" s="74">
        <v>3360309</v>
      </c>
    </row>
    <row r="654" spans="1:43" s="3" customFormat="1" x14ac:dyDescent="0.3">
      <c r="A654" s="4"/>
      <c r="B654" s="99">
        <v>45934</v>
      </c>
      <c r="C654" s="98" t="s">
        <v>553</v>
      </c>
      <c r="D654" s="4" t="s">
        <v>514</v>
      </c>
      <c r="E654" s="4"/>
      <c r="F654" s="73" t="s">
        <v>479</v>
      </c>
      <c r="G654" s="73" t="s">
        <v>479</v>
      </c>
      <c r="H654" s="73"/>
      <c r="I654" s="73" t="s">
        <v>534</v>
      </c>
      <c r="J654" s="73" t="s">
        <v>534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spans="1:43" s="3" customFormat="1" x14ac:dyDescent="0.3">
      <c r="B655" s="44">
        <v>45934</v>
      </c>
      <c r="C655" s="3" t="s">
        <v>416</v>
      </c>
      <c r="D655" s="3" t="s">
        <v>487</v>
      </c>
      <c r="E655" s="4"/>
      <c r="F655" s="3" t="s">
        <v>479</v>
      </c>
      <c r="G655" s="3" t="s">
        <v>127</v>
      </c>
      <c r="H655" s="4">
        <v>3360809</v>
      </c>
      <c r="I655" s="4" t="s">
        <v>471</v>
      </c>
      <c r="J655" s="4" t="s">
        <v>133</v>
      </c>
      <c r="K655" s="4">
        <v>3348705</v>
      </c>
    </row>
    <row r="656" spans="1:43" s="3" customFormat="1" x14ac:dyDescent="0.3">
      <c r="B656" s="44">
        <v>45934</v>
      </c>
      <c r="C656" s="3" t="s">
        <v>416</v>
      </c>
      <c r="D656" s="3" t="s">
        <v>59</v>
      </c>
      <c r="E656" s="42"/>
      <c r="F656" s="4" t="s">
        <v>479</v>
      </c>
      <c r="G656" s="4" t="s">
        <v>273</v>
      </c>
      <c r="H656" s="4">
        <v>3211007</v>
      </c>
      <c r="I656" s="4" t="s">
        <v>646</v>
      </c>
      <c r="J656" s="4" t="s">
        <v>275</v>
      </c>
      <c r="K656" s="4">
        <v>3202406</v>
      </c>
    </row>
    <row r="657" spans="1:43" s="3" customFormat="1" x14ac:dyDescent="0.3">
      <c r="B657" s="44">
        <v>45934</v>
      </c>
      <c r="C657" s="3" t="s">
        <v>416</v>
      </c>
      <c r="D657" s="3" t="s">
        <v>493</v>
      </c>
      <c r="E657" s="42"/>
      <c r="F657" s="3" t="s">
        <v>479</v>
      </c>
      <c r="G657" s="3" t="s">
        <v>211</v>
      </c>
      <c r="H657" s="4">
        <v>3361204</v>
      </c>
      <c r="I657" s="4" t="s">
        <v>476</v>
      </c>
      <c r="J657" s="4" t="s">
        <v>170</v>
      </c>
      <c r="K657" s="4">
        <v>3356703</v>
      </c>
    </row>
    <row r="658" spans="1:43" s="3" customFormat="1" x14ac:dyDescent="0.3">
      <c r="B658" s="44">
        <v>45934</v>
      </c>
      <c r="C658" s="3" t="s">
        <v>416</v>
      </c>
      <c r="D658" s="3" t="s">
        <v>69</v>
      </c>
      <c r="E658" s="42"/>
      <c r="F658" s="3" t="s">
        <v>479</v>
      </c>
      <c r="G658" s="3" t="s">
        <v>392</v>
      </c>
      <c r="H658" s="53">
        <v>3210706</v>
      </c>
      <c r="I658" s="3" t="s">
        <v>694</v>
      </c>
      <c r="J658" s="3" t="s">
        <v>376</v>
      </c>
      <c r="K658" s="53">
        <v>3201303</v>
      </c>
    </row>
    <row r="659" spans="1:43" s="3" customFormat="1" x14ac:dyDescent="0.3">
      <c r="B659" s="44">
        <v>45934</v>
      </c>
      <c r="C659" s="3" t="s">
        <v>416</v>
      </c>
      <c r="D659" s="3" t="s">
        <v>500</v>
      </c>
      <c r="E659" s="42"/>
      <c r="F659" s="3" t="s">
        <v>479</v>
      </c>
      <c r="G659" s="3" t="s">
        <v>232</v>
      </c>
      <c r="H659" s="4">
        <v>3360507</v>
      </c>
      <c r="I659" s="4" t="s">
        <v>663</v>
      </c>
      <c r="J659" s="4" t="s">
        <v>239</v>
      </c>
      <c r="K659" s="4">
        <v>3348809</v>
      </c>
    </row>
    <row r="660" spans="1:43" s="3" customFormat="1" x14ac:dyDescent="0.3">
      <c r="B660" s="44">
        <v>45934</v>
      </c>
      <c r="C660" s="3" t="s">
        <v>416</v>
      </c>
      <c r="D660" s="3" t="s">
        <v>500</v>
      </c>
      <c r="E660" s="42"/>
      <c r="F660" s="3" t="s">
        <v>479</v>
      </c>
      <c r="G660" s="3" t="s">
        <v>465</v>
      </c>
      <c r="H660" s="4">
        <v>3962207</v>
      </c>
      <c r="I660" s="4" t="s">
        <v>676</v>
      </c>
      <c r="J660" s="4" t="s">
        <v>577</v>
      </c>
      <c r="K660" s="4" t="s">
        <v>556</v>
      </c>
    </row>
    <row r="661" spans="1:43" s="3" customFormat="1" x14ac:dyDescent="0.3">
      <c r="B661" s="44">
        <v>45934</v>
      </c>
      <c r="C661" s="3" t="s">
        <v>416</v>
      </c>
      <c r="D661" s="3" t="s">
        <v>593</v>
      </c>
      <c r="E661" s="42"/>
      <c r="F661" s="3" t="s">
        <v>479</v>
      </c>
      <c r="G661" s="3" t="s">
        <v>628</v>
      </c>
      <c r="H661" s="4" t="s">
        <v>642</v>
      </c>
      <c r="I661" s="4" t="s">
        <v>676</v>
      </c>
      <c r="J661" s="4" t="s">
        <v>639</v>
      </c>
      <c r="K661" s="4">
        <v>3776805</v>
      </c>
    </row>
    <row r="662" spans="1:43" s="3" customFormat="1" x14ac:dyDescent="0.3">
      <c r="A662" s="4"/>
      <c r="B662" s="100">
        <v>45934</v>
      </c>
      <c r="C662" s="98" t="s">
        <v>553</v>
      </c>
      <c r="D662" s="4" t="s">
        <v>508</v>
      </c>
      <c r="E662" s="4"/>
      <c r="F662" s="73" t="s">
        <v>554</v>
      </c>
      <c r="G662" s="73" t="s">
        <v>9</v>
      </c>
      <c r="H662" s="73"/>
      <c r="I662" s="73" t="s">
        <v>534</v>
      </c>
      <c r="J662" s="73" t="s">
        <v>524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spans="1:43" s="3" customFormat="1" x14ac:dyDescent="0.3">
      <c r="B663" s="44">
        <v>45934</v>
      </c>
      <c r="C663" s="3" t="s">
        <v>416</v>
      </c>
      <c r="D663" s="3" t="s">
        <v>61</v>
      </c>
      <c r="E663" s="42"/>
      <c r="F663" s="4" t="s">
        <v>658</v>
      </c>
      <c r="G663" s="4" t="s">
        <v>301</v>
      </c>
      <c r="H663" s="4">
        <v>3210300</v>
      </c>
      <c r="I663" s="3" t="s">
        <v>696</v>
      </c>
      <c r="J663" s="3" t="s">
        <v>307</v>
      </c>
      <c r="K663" s="4">
        <v>3201907</v>
      </c>
    </row>
    <row r="664" spans="1:43" s="3" customFormat="1" x14ac:dyDescent="0.3">
      <c r="B664" s="44">
        <v>45934</v>
      </c>
      <c r="C664" s="3" t="s">
        <v>416</v>
      </c>
      <c r="D664" s="3" t="s">
        <v>504</v>
      </c>
      <c r="E664" s="42"/>
      <c r="F664" s="4" t="s">
        <v>480</v>
      </c>
      <c r="G664" s="4" t="s">
        <v>505</v>
      </c>
      <c r="H664" s="4">
        <v>3033207</v>
      </c>
      <c r="I664" s="3" t="s">
        <v>479</v>
      </c>
      <c r="J664" s="3" t="s">
        <v>9</v>
      </c>
      <c r="K664" s="4">
        <v>3033405</v>
      </c>
    </row>
    <row r="665" spans="1:43" s="3" customFormat="1" x14ac:dyDescent="0.3">
      <c r="B665" s="44">
        <v>45934</v>
      </c>
      <c r="C665" s="3" t="s">
        <v>416</v>
      </c>
      <c r="D665" s="3" t="s">
        <v>490</v>
      </c>
      <c r="E665" s="4"/>
      <c r="F665" s="3" t="s">
        <v>480</v>
      </c>
      <c r="G665" s="3" t="s">
        <v>420</v>
      </c>
      <c r="H665" s="4">
        <v>3360101</v>
      </c>
      <c r="I665" s="4" t="s">
        <v>676</v>
      </c>
      <c r="J665" s="4" t="s">
        <v>138</v>
      </c>
      <c r="K665" s="4">
        <v>3067805</v>
      </c>
    </row>
    <row r="666" spans="1:43" s="3" customFormat="1" x14ac:dyDescent="0.3">
      <c r="B666" s="44">
        <v>45934</v>
      </c>
      <c r="C666" s="3" t="s">
        <v>416</v>
      </c>
      <c r="D666" s="3" t="s">
        <v>493</v>
      </c>
      <c r="E666" s="42"/>
      <c r="F666" s="3" t="s">
        <v>480</v>
      </c>
      <c r="G666" s="3" t="s">
        <v>423</v>
      </c>
      <c r="H666" s="4">
        <v>3360403</v>
      </c>
      <c r="I666" s="4" t="s">
        <v>471</v>
      </c>
      <c r="J666" s="4" t="s">
        <v>190</v>
      </c>
      <c r="K666" s="4">
        <v>3348205</v>
      </c>
    </row>
    <row r="667" spans="1:43" s="3" customFormat="1" x14ac:dyDescent="0.3">
      <c r="B667" s="44">
        <v>45934</v>
      </c>
      <c r="C667" s="3" t="s">
        <v>416</v>
      </c>
      <c r="D667" s="3" t="s">
        <v>59</v>
      </c>
      <c r="E667" s="42"/>
      <c r="F667" s="3" t="s">
        <v>661</v>
      </c>
      <c r="G667" s="3" t="s">
        <v>641</v>
      </c>
      <c r="H667" s="4">
        <v>3055707</v>
      </c>
      <c r="I667" s="4" t="s">
        <v>681</v>
      </c>
      <c r="J667" s="4" t="s">
        <v>281</v>
      </c>
      <c r="K667" s="4">
        <v>3195700</v>
      </c>
    </row>
    <row r="668" spans="1:43" s="3" customFormat="1" x14ac:dyDescent="0.3">
      <c r="B668" s="44">
        <v>45934</v>
      </c>
      <c r="C668" s="3" t="s">
        <v>416</v>
      </c>
      <c r="D668" s="3" t="s">
        <v>593</v>
      </c>
      <c r="E668" s="42"/>
      <c r="F668" s="3" t="s">
        <v>661</v>
      </c>
      <c r="G668" s="3" t="s">
        <v>640</v>
      </c>
      <c r="H668" s="4">
        <v>3210102</v>
      </c>
      <c r="I668" s="4" t="s">
        <v>653</v>
      </c>
      <c r="J668" s="4" t="s">
        <v>459</v>
      </c>
      <c r="K668" s="4">
        <v>3211101</v>
      </c>
    </row>
    <row r="669" spans="1:43" s="3" customFormat="1" x14ac:dyDescent="0.3">
      <c r="B669" s="44">
        <v>45934</v>
      </c>
      <c r="C669" s="3" t="s">
        <v>416</v>
      </c>
      <c r="D669" s="3" t="s">
        <v>68</v>
      </c>
      <c r="E669" s="42"/>
      <c r="F669" s="15" t="s">
        <v>664</v>
      </c>
      <c r="G669" s="15" t="s">
        <v>388</v>
      </c>
      <c r="H669" s="74">
        <v>3165306</v>
      </c>
      <c r="I669" s="4" t="s">
        <v>570</v>
      </c>
      <c r="J669" s="4" t="s">
        <v>570</v>
      </c>
      <c r="K669" s="4" t="s">
        <v>556</v>
      </c>
    </row>
    <row r="670" spans="1:43" s="3" customFormat="1" x14ac:dyDescent="0.3">
      <c r="B670" s="44">
        <v>45934</v>
      </c>
      <c r="C670" s="3" t="s">
        <v>416</v>
      </c>
      <c r="D670" s="3" t="s">
        <v>490</v>
      </c>
      <c r="E670" s="4"/>
      <c r="F670" s="3" t="s">
        <v>660</v>
      </c>
      <c r="G670" s="3" t="s">
        <v>137</v>
      </c>
      <c r="H670" s="4">
        <v>3359908</v>
      </c>
      <c r="I670" s="4" t="s">
        <v>475</v>
      </c>
      <c r="J670" s="4" t="s">
        <v>125</v>
      </c>
      <c r="K670" s="4">
        <v>3362807</v>
      </c>
    </row>
    <row r="671" spans="1:43" s="3" customFormat="1" x14ac:dyDescent="0.3">
      <c r="B671" s="44">
        <v>45934</v>
      </c>
      <c r="C671" s="3" t="s">
        <v>416</v>
      </c>
      <c r="D671" s="3" t="s">
        <v>62</v>
      </c>
      <c r="E671" s="42"/>
      <c r="F671" s="3" t="s">
        <v>660</v>
      </c>
      <c r="G671" s="3" t="s">
        <v>443</v>
      </c>
      <c r="H671" s="4">
        <v>3210008</v>
      </c>
      <c r="I671" s="4" t="s">
        <v>679</v>
      </c>
      <c r="J671" s="4" t="s">
        <v>292</v>
      </c>
      <c r="K671" s="4">
        <v>3195304</v>
      </c>
    </row>
    <row r="672" spans="1:43" s="3" customFormat="1" x14ac:dyDescent="0.3">
      <c r="B672" s="44">
        <v>45934</v>
      </c>
      <c r="C672" s="3" t="s">
        <v>416</v>
      </c>
      <c r="D672" s="3" t="s">
        <v>497</v>
      </c>
      <c r="E672" s="42"/>
      <c r="F672" s="17" t="s">
        <v>660</v>
      </c>
      <c r="G672" s="17" t="s">
        <v>212</v>
      </c>
      <c r="H672" s="74">
        <v>3360007</v>
      </c>
      <c r="I672" s="15" t="s">
        <v>471</v>
      </c>
      <c r="J672" s="15" t="s">
        <v>240</v>
      </c>
      <c r="K672" s="74">
        <v>3348403</v>
      </c>
    </row>
    <row r="673" spans="2:14" s="3" customFormat="1" x14ac:dyDescent="0.3">
      <c r="B673" s="44">
        <v>45934</v>
      </c>
      <c r="C673" s="3" t="s">
        <v>416</v>
      </c>
      <c r="D673" s="3" t="s">
        <v>493</v>
      </c>
      <c r="E673" s="42"/>
      <c r="F673" s="3" t="s">
        <v>657</v>
      </c>
      <c r="G673" s="3" t="s">
        <v>167</v>
      </c>
      <c r="H673" s="4">
        <v>3359804</v>
      </c>
      <c r="I673" s="4" t="s">
        <v>663</v>
      </c>
      <c r="J673" s="4" t="s">
        <v>173</v>
      </c>
      <c r="K673" s="4">
        <v>3349308</v>
      </c>
    </row>
    <row r="674" spans="2:14" s="3" customFormat="1" x14ac:dyDescent="0.3">
      <c r="B674" s="44">
        <v>45934</v>
      </c>
      <c r="C674" s="3" t="s">
        <v>416</v>
      </c>
      <c r="D674" s="3" t="s">
        <v>69</v>
      </c>
      <c r="E674" s="42"/>
      <c r="F674" s="3" t="s">
        <v>657</v>
      </c>
      <c r="G674" s="3" t="s">
        <v>393</v>
      </c>
      <c r="H674" s="4">
        <v>3209701</v>
      </c>
      <c r="I674" s="3" t="s">
        <v>694</v>
      </c>
      <c r="J674" s="3" t="s">
        <v>402</v>
      </c>
      <c r="K674" s="4">
        <v>3201407</v>
      </c>
    </row>
    <row r="675" spans="2:14" s="3" customFormat="1" x14ac:dyDescent="0.3">
      <c r="B675" s="44">
        <v>45934</v>
      </c>
      <c r="C675" s="3" t="s">
        <v>416</v>
      </c>
      <c r="D675" s="3" t="s">
        <v>500</v>
      </c>
      <c r="E675" s="42"/>
      <c r="F675" s="3" t="s">
        <v>657</v>
      </c>
      <c r="G675" s="3" t="s">
        <v>574</v>
      </c>
      <c r="H675" s="4">
        <v>3359606</v>
      </c>
      <c r="I675" s="4" t="s">
        <v>679</v>
      </c>
      <c r="J675" s="4" t="s">
        <v>466</v>
      </c>
      <c r="K675" s="4">
        <v>3346707</v>
      </c>
    </row>
    <row r="676" spans="2:14" s="3" customFormat="1" x14ac:dyDescent="0.3">
      <c r="B676" s="44">
        <v>45934</v>
      </c>
      <c r="C676" s="3" t="s">
        <v>416</v>
      </c>
      <c r="D676" s="3" t="s">
        <v>593</v>
      </c>
      <c r="E676" s="42"/>
      <c r="F676" s="15" t="s">
        <v>570</v>
      </c>
      <c r="G676" s="15" t="s">
        <v>570</v>
      </c>
      <c r="H676" s="74" t="s">
        <v>556</v>
      </c>
      <c r="I676" s="4" t="s">
        <v>476</v>
      </c>
      <c r="J676" s="4" t="s">
        <v>630</v>
      </c>
      <c r="K676" s="4">
        <v>3206308</v>
      </c>
    </row>
    <row r="677" spans="2:14" s="3" customFormat="1" x14ac:dyDescent="0.3">
      <c r="B677" s="44">
        <v>45934</v>
      </c>
      <c r="C677" s="3" t="s">
        <v>416</v>
      </c>
      <c r="D677" s="3" t="s">
        <v>592</v>
      </c>
      <c r="E677" s="42"/>
      <c r="F677" s="3" t="s">
        <v>570</v>
      </c>
      <c r="G677" s="3" t="s">
        <v>570</v>
      </c>
      <c r="H677" s="4" t="s">
        <v>556</v>
      </c>
      <c r="I677" s="3" t="s">
        <v>662</v>
      </c>
      <c r="J677" s="3" t="s">
        <v>634</v>
      </c>
      <c r="K677" s="74">
        <v>4023105</v>
      </c>
    </row>
    <row r="678" spans="2:14" s="3" customFormat="1" x14ac:dyDescent="0.3">
      <c r="B678" s="44">
        <v>45934</v>
      </c>
      <c r="C678" s="3" t="s">
        <v>416</v>
      </c>
      <c r="D678" s="3" t="s">
        <v>499</v>
      </c>
      <c r="E678" s="42"/>
      <c r="F678" s="3" t="s">
        <v>723</v>
      </c>
      <c r="G678" s="3" t="s">
        <v>599</v>
      </c>
      <c r="H678" s="4" t="s">
        <v>556</v>
      </c>
      <c r="I678" s="3" t="s">
        <v>474</v>
      </c>
      <c r="J678" s="3" t="s">
        <v>597</v>
      </c>
      <c r="K678" s="4">
        <v>3352707</v>
      </c>
      <c r="M678" s="3" t="s">
        <v>597</v>
      </c>
      <c r="N678" s="3" t="s">
        <v>243</v>
      </c>
    </row>
    <row r="679" spans="2:14" s="3" customFormat="1" x14ac:dyDescent="0.3">
      <c r="B679" s="44">
        <v>45934</v>
      </c>
      <c r="C679" s="3" t="s">
        <v>416</v>
      </c>
      <c r="D679" s="3" t="s">
        <v>501</v>
      </c>
      <c r="E679" s="42"/>
      <c r="F679" s="3" t="s">
        <v>722</v>
      </c>
      <c r="G679" s="3" t="s">
        <v>600</v>
      </c>
      <c r="H679" s="4" t="s">
        <v>556</v>
      </c>
      <c r="I679" s="3" t="s">
        <v>662</v>
      </c>
      <c r="J679" s="3" t="s">
        <v>243</v>
      </c>
      <c r="K679" s="4">
        <v>3899907</v>
      </c>
      <c r="M679" s="3" t="s">
        <v>597</v>
      </c>
      <c r="N679" s="3" t="s">
        <v>243</v>
      </c>
    </row>
    <row r="680" spans="2:14" s="3" customFormat="1" x14ac:dyDescent="0.3">
      <c r="B680" s="44">
        <v>45934</v>
      </c>
      <c r="C680" s="3" t="s">
        <v>416</v>
      </c>
      <c r="D680" s="3" t="s">
        <v>57</v>
      </c>
      <c r="E680" s="42"/>
      <c r="F680" s="3" t="s">
        <v>667</v>
      </c>
      <c r="G680" s="3" t="s">
        <v>257</v>
      </c>
      <c r="H680" s="4">
        <v>3209805</v>
      </c>
      <c r="I680" s="4" t="s">
        <v>647</v>
      </c>
      <c r="J680" s="4" t="s">
        <v>282</v>
      </c>
      <c r="K680" s="4">
        <v>3193900</v>
      </c>
    </row>
    <row r="681" spans="2:14" s="3" customFormat="1" x14ac:dyDescent="0.3">
      <c r="B681" s="44">
        <v>45934</v>
      </c>
      <c r="C681" s="3" t="s">
        <v>416</v>
      </c>
      <c r="D681" s="3" t="s">
        <v>64</v>
      </c>
      <c r="E681" s="42">
        <v>4370907</v>
      </c>
      <c r="F681" s="3" t="s">
        <v>669</v>
      </c>
      <c r="G681" s="3" t="s">
        <v>337</v>
      </c>
      <c r="H681" s="4">
        <v>3209305</v>
      </c>
      <c r="I681" s="4" t="s">
        <v>688</v>
      </c>
      <c r="J681" s="4" t="s">
        <v>318</v>
      </c>
      <c r="K681" s="4">
        <v>3037401</v>
      </c>
    </row>
    <row r="682" spans="2:14" s="3" customFormat="1" x14ac:dyDescent="0.3">
      <c r="B682" s="44">
        <v>45934</v>
      </c>
      <c r="C682" s="3" t="s">
        <v>416</v>
      </c>
      <c r="D682" s="3" t="s">
        <v>56</v>
      </c>
      <c r="E682" s="42"/>
      <c r="F682" s="73" t="s">
        <v>671</v>
      </c>
      <c r="G682" s="73" t="s">
        <v>247</v>
      </c>
      <c r="H682" s="4">
        <v>3034102</v>
      </c>
      <c r="I682" s="3" t="s">
        <v>646</v>
      </c>
      <c r="J682" s="3" t="s">
        <v>251</v>
      </c>
      <c r="K682" s="4">
        <v>3036704</v>
      </c>
    </row>
    <row r="683" spans="2:14" s="3" customFormat="1" x14ac:dyDescent="0.3">
      <c r="B683" s="44">
        <v>45934</v>
      </c>
      <c r="C683" s="3" t="s">
        <v>416</v>
      </c>
      <c r="D683" s="3" t="s">
        <v>486</v>
      </c>
      <c r="E683" s="42"/>
      <c r="F683" s="3" t="s">
        <v>671</v>
      </c>
      <c r="G683" s="3" t="s">
        <v>108</v>
      </c>
      <c r="H683" s="4">
        <v>3359700</v>
      </c>
      <c r="I683" s="3" t="s">
        <v>673</v>
      </c>
      <c r="J683" s="3" t="s">
        <v>106</v>
      </c>
      <c r="K683" s="4">
        <v>3067607</v>
      </c>
    </row>
    <row r="684" spans="2:14" s="3" customFormat="1" x14ac:dyDescent="0.3">
      <c r="B684" s="44">
        <v>45934</v>
      </c>
      <c r="C684" s="3" t="s">
        <v>416</v>
      </c>
      <c r="D684" s="3" t="s">
        <v>489</v>
      </c>
      <c r="E684" s="4"/>
      <c r="F684" s="3" t="s">
        <v>671</v>
      </c>
      <c r="G684" s="3" t="s">
        <v>156</v>
      </c>
      <c r="H684" s="4">
        <v>3359200</v>
      </c>
      <c r="I684" s="3" t="s">
        <v>650</v>
      </c>
      <c r="J684" s="3" t="s">
        <v>163</v>
      </c>
      <c r="K684" s="4">
        <v>3351802</v>
      </c>
    </row>
    <row r="685" spans="2:14" s="3" customFormat="1" x14ac:dyDescent="0.3">
      <c r="B685" s="44">
        <v>45934</v>
      </c>
      <c r="C685" s="3" t="s">
        <v>416</v>
      </c>
      <c r="D685" s="3" t="s">
        <v>64</v>
      </c>
      <c r="E685" s="42">
        <v>4370907</v>
      </c>
      <c r="F685" s="3" t="s">
        <v>671</v>
      </c>
      <c r="G685" s="3" t="s">
        <v>312</v>
      </c>
      <c r="H685" s="4">
        <v>3209107</v>
      </c>
      <c r="I685" s="4" t="s">
        <v>672</v>
      </c>
      <c r="J685" s="4" t="s">
        <v>316</v>
      </c>
      <c r="K685" s="4">
        <v>3069105</v>
      </c>
    </row>
    <row r="686" spans="2:14" s="3" customFormat="1" x14ac:dyDescent="0.3">
      <c r="B686" s="44">
        <v>45934</v>
      </c>
      <c r="C686" s="3" t="s">
        <v>416</v>
      </c>
      <c r="D686" s="3" t="s">
        <v>68</v>
      </c>
      <c r="E686" s="42"/>
      <c r="F686" s="3" t="s">
        <v>671</v>
      </c>
      <c r="G686" s="3" t="s">
        <v>389</v>
      </c>
      <c r="H686" s="4">
        <v>3209201</v>
      </c>
      <c r="I686" s="4" t="s">
        <v>650</v>
      </c>
      <c r="J686" s="4" t="s">
        <v>390</v>
      </c>
      <c r="K686" s="4">
        <v>3544509</v>
      </c>
    </row>
    <row r="687" spans="2:14" s="3" customFormat="1" x14ac:dyDescent="0.3">
      <c r="B687" s="44">
        <v>45934</v>
      </c>
      <c r="C687" s="3" t="s">
        <v>416</v>
      </c>
      <c r="D687" s="3" t="s">
        <v>499</v>
      </c>
      <c r="E687" s="42"/>
      <c r="F687" s="3" t="s">
        <v>671</v>
      </c>
      <c r="G687" s="3" t="s">
        <v>228</v>
      </c>
      <c r="H687" s="53">
        <v>3358607</v>
      </c>
      <c r="I687" s="3" t="s">
        <v>675</v>
      </c>
      <c r="J687" s="3" t="s">
        <v>572</v>
      </c>
      <c r="K687" s="53">
        <v>3350303</v>
      </c>
      <c r="M687" s="51"/>
    </row>
    <row r="688" spans="2:14" s="3" customFormat="1" x14ac:dyDescent="0.3">
      <c r="B688" s="44">
        <v>45934</v>
      </c>
      <c r="C688" s="3" t="s">
        <v>416</v>
      </c>
      <c r="D688" s="3" t="s">
        <v>58</v>
      </c>
      <c r="E688" s="42"/>
      <c r="F688" s="3" t="s">
        <v>659</v>
      </c>
      <c r="G688" s="3" t="s">
        <v>265</v>
      </c>
      <c r="H688" s="4">
        <v>3208702</v>
      </c>
      <c r="I688" s="3" t="s">
        <v>690</v>
      </c>
      <c r="J688" s="3" t="s">
        <v>303</v>
      </c>
      <c r="K688" s="4">
        <v>3205101</v>
      </c>
    </row>
    <row r="689" spans="2:11" s="3" customFormat="1" x14ac:dyDescent="0.3">
      <c r="B689" s="44">
        <v>45934</v>
      </c>
      <c r="C689" s="3" t="s">
        <v>416</v>
      </c>
      <c r="D689" s="3" t="s">
        <v>61</v>
      </c>
      <c r="E689" s="42"/>
      <c r="F689" s="106" t="s">
        <v>659</v>
      </c>
      <c r="G689" s="106" t="s">
        <v>367</v>
      </c>
      <c r="H689" s="106">
        <v>3208806</v>
      </c>
      <c r="I689" s="4" t="s">
        <v>720</v>
      </c>
      <c r="J689" s="4" t="s">
        <v>335</v>
      </c>
      <c r="K689" s="4">
        <v>3194201</v>
      </c>
    </row>
    <row r="690" spans="2:11" s="3" customFormat="1" x14ac:dyDescent="0.3">
      <c r="B690" s="44">
        <v>45934</v>
      </c>
      <c r="C690" s="3" t="s">
        <v>416</v>
      </c>
      <c r="D690" s="3" t="s">
        <v>66</v>
      </c>
      <c r="E690" s="42"/>
      <c r="F690" s="104" t="s">
        <v>659</v>
      </c>
      <c r="G690" s="104" t="s">
        <v>602</v>
      </c>
      <c r="H690" s="74">
        <v>4023001</v>
      </c>
      <c r="I690" s="3" t="s">
        <v>478</v>
      </c>
      <c r="J690" s="3" t="s">
        <v>604</v>
      </c>
      <c r="K690" s="74">
        <v>3205507</v>
      </c>
    </row>
    <row r="691" spans="2:11" s="3" customFormat="1" x14ac:dyDescent="0.3">
      <c r="B691" s="44">
        <v>45934</v>
      </c>
      <c r="C691" s="3" t="s">
        <v>416</v>
      </c>
      <c r="D691" s="3" t="s">
        <v>486</v>
      </c>
      <c r="E691" s="42"/>
      <c r="F691" s="3" t="s">
        <v>676</v>
      </c>
      <c r="G691" s="3" t="s">
        <v>109</v>
      </c>
      <c r="H691" s="4">
        <v>3067701</v>
      </c>
      <c r="I691" s="4" t="s">
        <v>645</v>
      </c>
      <c r="J691" s="4" t="s">
        <v>104</v>
      </c>
      <c r="K691" s="4">
        <v>3036308</v>
      </c>
    </row>
    <row r="692" spans="2:11" s="3" customFormat="1" x14ac:dyDescent="0.3">
      <c r="B692" s="44">
        <v>45934</v>
      </c>
      <c r="C692" s="3" t="s">
        <v>416</v>
      </c>
      <c r="D692" s="3" t="s">
        <v>590</v>
      </c>
      <c r="E692" s="42"/>
      <c r="F692" s="3" t="s">
        <v>676</v>
      </c>
      <c r="G692" s="3" t="s">
        <v>285</v>
      </c>
      <c r="H692" s="4">
        <v>3208504</v>
      </c>
      <c r="I692" s="4" t="s">
        <v>671</v>
      </c>
      <c r="J692" s="4" t="s">
        <v>311</v>
      </c>
      <c r="K692" s="4">
        <v>3209003</v>
      </c>
    </row>
    <row r="693" spans="2:11" s="3" customFormat="1" x14ac:dyDescent="0.3">
      <c r="B693" s="44">
        <v>45934</v>
      </c>
      <c r="C693" s="3" t="s">
        <v>416</v>
      </c>
      <c r="D693" s="3" t="s">
        <v>62</v>
      </c>
      <c r="E693" s="42"/>
      <c r="F693" s="3" t="s">
        <v>676</v>
      </c>
      <c r="G693" s="3" t="s">
        <v>286</v>
      </c>
      <c r="H693" s="4">
        <v>3019605</v>
      </c>
      <c r="I693" s="3" t="s">
        <v>700</v>
      </c>
      <c r="J693" s="3" t="s">
        <v>442</v>
      </c>
      <c r="K693" s="4">
        <v>3205007</v>
      </c>
    </row>
    <row r="694" spans="2:11" s="3" customFormat="1" x14ac:dyDescent="0.3">
      <c r="B694" s="44">
        <v>45934</v>
      </c>
      <c r="C694" s="3" t="s">
        <v>416</v>
      </c>
      <c r="D694" s="3" t="s">
        <v>493</v>
      </c>
      <c r="E694" s="42"/>
      <c r="F694" s="3" t="s">
        <v>676</v>
      </c>
      <c r="G694" s="3" t="s">
        <v>214</v>
      </c>
      <c r="H694" s="4">
        <v>3358805</v>
      </c>
      <c r="I694" s="4" t="s">
        <v>476</v>
      </c>
      <c r="J694" s="4" t="s">
        <v>169</v>
      </c>
      <c r="K694" s="4">
        <v>3356609</v>
      </c>
    </row>
    <row r="695" spans="2:11" s="3" customFormat="1" x14ac:dyDescent="0.3">
      <c r="B695" s="44">
        <v>45934</v>
      </c>
      <c r="C695" s="3" t="s">
        <v>416</v>
      </c>
      <c r="D695" s="3" t="s">
        <v>488</v>
      </c>
      <c r="E695" s="42"/>
      <c r="F695" s="3" t="s">
        <v>680</v>
      </c>
      <c r="G695" s="3" t="s">
        <v>117</v>
      </c>
      <c r="H695" s="4">
        <v>3359002</v>
      </c>
      <c r="I695" s="4" t="s">
        <v>645</v>
      </c>
      <c r="J695" s="4" t="s">
        <v>151</v>
      </c>
      <c r="K695" s="4">
        <v>3351208</v>
      </c>
    </row>
    <row r="696" spans="2:11" s="3" customFormat="1" x14ac:dyDescent="0.3">
      <c r="B696" s="44">
        <v>45934</v>
      </c>
      <c r="C696" s="3" t="s">
        <v>416</v>
      </c>
      <c r="D696" s="3" t="s">
        <v>61</v>
      </c>
      <c r="E696" s="42"/>
      <c r="F696" s="73" t="s">
        <v>680</v>
      </c>
      <c r="G696" s="73" t="s">
        <v>302</v>
      </c>
      <c r="H696" s="4">
        <v>3208400</v>
      </c>
      <c r="I696" s="3" t="s">
        <v>684</v>
      </c>
      <c r="J696" s="3" t="s">
        <v>306</v>
      </c>
      <c r="K696" s="4">
        <v>3202604</v>
      </c>
    </row>
    <row r="697" spans="2:11" s="3" customFormat="1" x14ac:dyDescent="0.3">
      <c r="B697" s="44">
        <v>45934</v>
      </c>
      <c r="C697" s="3" t="s">
        <v>416</v>
      </c>
      <c r="D697" s="3" t="s">
        <v>66</v>
      </c>
      <c r="E697" s="42"/>
      <c r="F697" s="104" t="s">
        <v>680</v>
      </c>
      <c r="G697" s="104" t="s">
        <v>603</v>
      </c>
      <c r="H697" s="74">
        <v>3945400</v>
      </c>
      <c r="I697" s="3" t="s">
        <v>703</v>
      </c>
      <c r="J697" s="3" t="s">
        <v>606</v>
      </c>
      <c r="K697" s="74" t="s">
        <v>588</v>
      </c>
    </row>
    <row r="698" spans="2:11" s="3" customFormat="1" x14ac:dyDescent="0.3">
      <c r="B698" s="44">
        <v>45934</v>
      </c>
      <c r="C698" s="3" t="s">
        <v>416</v>
      </c>
      <c r="D698" s="3" t="s">
        <v>59</v>
      </c>
      <c r="E698" s="42"/>
      <c r="F698" s="4" t="s">
        <v>652</v>
      </c>
      <c r="G698" s="4" t="s">
        <v>313</v>
      </c>
      <c r="H698" s="4">
        <v>3207901</v>
      </c>
      <c r="I698" s="3" t="s">
        <v>476</v>
      </c>
      <c r="J698" s="3" t="s">
        <v>274</v>
      </c>
      <c r="K698" s="4">
        <v>3206902</v>
      </c>
    </row>
    <row r="699" spans="2:11" s="3" customFormat="1" x14ac:dyDescent="0.3">
      <c r="B699" s="44">
        <v>45934</v>
      </c>
      <c r="C699" s="3" t="s">
        <v>416</v>
      </c>
      <c r="D699" s="3" t="s">
        <v>492</v>
      </c>
      <c r="E699" s="42"/>
      <c r="F699" s="4" t="s">
        <v>652</v>
      </c>
      <c r="G699" s="4" t="s">
        <v>157</v>
      </c>
      <c r="H699" s="4">
        <v>3358503</v>
      </c>
      <c r="I699" s="4" t="s">
        <v>646</v>
      </c>
      <c r="J699" s="4" t="s">
        <v>194</v>
      </c>
      <c r="K699" s="4">
        <v>3354205</v>
      </c>
    </row>
    <row r="700" spans="2:11" s="3" customFormat="1" x14ac:dyDescent="0.3">
      <c r="B700" s="44">
        <v>45934</v>
      </c>
      <c r="C700" s="3" t="s">
        <v>416</v>
      </c>
      <c r="D700" s="3" t="s">
        <v>496</v>
      </c>
      <c r="E700" s="42"/>
      <c r="F700" s="3" t="s">
        <v>652</v>
      </c>
      <c r="G700" s="3" t="s">
        <v>229</v>
      </c>
      <c r="H700" s="4">
        <v>3358409</v>
      </c>
      <c r="I700" s="4" t="s">
        <v>474</v>
      </c>
      <c r="J700" s="4" t="s">
        <v>426</v>
      </c>
      <c r="K700" s="4">
        <v>3352603</v>
      </c>
    </row>
    <row r="701" spans="2:11" s="3" customFormat="1" x14ac:dyDescent="0.3">
      <c r="B701" s="44">
        <v>45934</v>
      </c>
      <c r="C701" s="3" t="s">
        <v>416</v>
      </c>
      <c r="D701" s="3" t="s">
        <v>59</v>
      </c>
      <c r="E701" s="42"/>
      <c r="F701" s="3" t="s">
        <v>662</v>
      </c>
      <c r="G701" s="3" t="s">
        <v>314</v>
      </c>
      <c r="H701" s="4">
        <v>3208004</v>
      </c>
      <c r="I701" s="4" t="s">
        <v>653</v>
      </c>
      <c r="J701" s="4" t="s">
        <v>272</v>
      </c>
      <c r="K701" s="4">
        <v>3211205</v>
      </c>
    </row>
    <row r="702" spans="2:11" s="3" customFormat="1" x14ac:dyDescent="0.3">
      <c r="B702" s="44">
        <v>45934</v>
      </c>
      <c r="C702" s="3" t="s">
        <v>416</v>
      </c>
      <c r="D702" s="3" t="s">
        <v>489</v>
      </c>
      <c r="E702" s="4"/>
      <c r="F702" s="3" t="s">
        <v>662</v>
      </c>
      <c r="G702" s="3" t="s">
        <v>139</v>
      </c>
      <c r="H702" s="4">
        <v>3358305</v>
      </c>
      <c r="I702" s="4" t="s">
        <v>682</v>
      </c>
      <c r="J702" s="4" t="s">
        <v>564</v>
      </c>
      <c r="K702" s="4">
        <v>3969804</v>
      </c>
    </row>
    <row r="703" spans="2:11" s="3" customFormat="1" x14ac:dyDescent="0.3">
      <c r="B703" s="44">
        <v>45934</v>
      </c>
      <c r="C703" s="3" t="s">
        <v>416</v>
      </c>
      <c r="D703" s="3" t="s">
        <v>494</v>
      </c>
      <c r="E703" s="42"/>
      <c r="F703" s="3" t="s">
        <v>662</v>
      </c>
      <c r="G703" s="3" t="s">
        <v>218</v>
      </c>
      <c r="H703" s="4">
        <v>3358201</v>
      </c>
      <c r="I703" s="4" t="s">
        <v>647</v>
      </c>
      <c r="J703" s="4" t="s">
        <v>191</v>
      </c>
      <c r="K703" s="4">
        <v>3345708</v>
      </c>
    </row>
    <row r="704" spans="2:11" s="3" customFormat="1" x14ac:dyDescent="0.3">
      <c r="B704" s="44">
        <v>45934</v>
      </c>
      <c r="C704" s="3" t="s">
        <v>416</v>
      </c>
      <c r="D704" s="3" t="s">
        <v>67</v>
      </c>
      <c r="E704" s="42"/>
      <c r="F704" s="4" t="s">
        <v>662</v>
      </c>
      <c r="G704" s="4" t="s">
        <v>373</v>
      </c>
      <c r="H704" s="4">
        <v>3207807</v>
      </c>
      <c r="I704" s="3" t="s">
        <v>672</v>
      </c>
      <c r="J704" s="3" t="s">
        <v>375</v>
      </c>
      <c r="K704" s="4">
        <v>3069209</v>
      </c>
    </row>
    <row r="705" spans="1:43" s="3" customFormat="1" x14ac:dyDescent="0.3">
      <c r="B705" s="44">
        <v>45934</v>
      </c>
      <c r="C705" s="3" t="s">
        <v>416</v>
      </c>
      <c r="D705" s="3" t="s">
        <v>60</v>
      </c>
      <c r="E705" s="42"/>
      <c r="F705" s="3" t="s">
        <v>707</v>
      </c>
      <c r="G705" s="3" t="s">
        <v>295</v>
      </c>
      <c r="H705" s="4">
        <v>3207505</v>
      </c>
      <c r="I705" s="3" t="s">
        <v>667</v>
      </c>
      <c r="J705" s="3" t="s">
        <v>444</v>
      </c>
      <c r="K705" s="32">
        <v>3209909</v>
      </c>
    </row>
    <row r="706" spans="1:43" s="3" customFormat="1" x14ac:dyDescent="0.3">
      <c r="B706" s="44">
        <v>45934</v>
      </c>
      <c r="C706" s="3" t="s">
        <v>416</v>
      </c>
      <c r="D706" s="3" t="s">
        <v>504</v>
      </c>
      <c r="E706" s="42"/>
      <c r="F706" s="3" t="s">
        <v>472</v>
      </c>
      <c r="G706" s="3" t="s">
        <v>11</v>
      </c>
      <c r="H706" s="4">
        <v>3034800</v>
      </c>
      <c r="I706" s="4" t="s">
        <v>694</v>
      </c>
      <c r="J706" s="4" t="s">
        <v>112</v>
      </c>
      <c r="K706" s="4">
        <v>3353602</v>
      </c>
    </row>
    <row r="707" spans="1:43" s="3" customFormat="1" x14ac:dyDescent="0.3">
      <c r="B707" s="44">
        <v>45934</v>
      </c>
      <c r="C707" s="3" t="s">
        <v>416</v>
      </c>
      <c r="D707" s="3" t="s">
        <v>490</v>
      </c>
      <c r="E707" s="4"/>
      <c r="F707" s="3" t="s">
        <v>472</v>
      </c>
      <c r="G707" s="3" t="s">
        <v>140</v>
      </c>
      <c r="H707" s="4">
        <v>3357900</v>
      </c>
      <c r="I707" s="4" t="s">
        <v>479</v>
      </c>
      <c r="J707" s="4" t="s">
        <v>136</v>
      </c>
      <c r="K707" s="4">
        <v>3360903</v>
      </c>
    </row>
    <row r="708" spans="1:43" s="3" customFormat="1" x14ac:dyDescent="0.3">
      <c r="B708" s="44">
        <v>45934</v>
      </c>
      <c r="C708" s="3" t="s">
        <v>416</v>
      </c>
      <c r="D708" s="3" t="s">
        <v>67</v>
      </c>
      <c r="E708" s="42"/>
      <c r="F708" s="3" t="s">
        <v>472</v>
      </c>
      <c r="G708" s="3" t="s">
        <v>374</v>
      </c>
      <c r="H708" s="4">
        <v>3207203</v>
      </c>
      <c r="I708" s="4" t="s">
        <v>472</v>
      </c>
      <c r="J708" s="4" t="s">
        <v>338</v>
      </c>
      <c r="K708" s="4">
        <v>3207307</v>
      </c>
    </row>
    <row r="709" spans="1:43" s="3" customFormat="1" x14ac:dyDescent="0.3">
      <c r="B709" s="44">
        <v>45934</v>
      </c>
      <c r="C709" s="3" t="s">
        <v>416</v>
      </c>
      <c r="D709" s="3" t="s">
        <v>498</v>
      </c>
      <c r="E709" s="42"/>
      <c r="F709" s="3" t="s">
        <v>472</v>
      </c>
      <c r="G709" s="3" t="s">
        <v>219</v>
      </c>
      <c r="H709" s="4">
        <v>3357608</v>
      </c>
      <c r="I709" s="3" t="s">
        <v>647</v>
      </c>
      <c r="J709" s="3" t="s">
        <v>225</v>
      </c>
      <c r="K709" s="4">
        <v>3345802</v>
      </c>
    </row>
    <row r="710" spans="1:43" s="3" customFormat="1" x14ac:dyDescent="0.3">
      <c r="B710" s="44">
        <v>45934</v>
      </c>
      <c r="C710" s="3" t="s">
        <v>416</v>
      </c>
      <c r="D710" s="3" t="s">
        <v>498</v>
      </c>
      <c r="E710" s="42"/>
      <c r="F710" s="3" t="s">
        <v>472</v>
      </c>
      <c r="G710" s="3" t="s">
        <v>244</v>
      </c>
      <c r="H710" s="4">
        <v>3357504</v>
      </c>
      <c r="I710" s="3" t="s">
        <v>717</v>
      </c>
      <c r="J710" s="3" t="s">
        <v>429</v>
      </c>
      <c r="K710" s="4">
        <v>3346905</v>
      </c>
    </row>
    <row r="711" spans="1:43" s="3" customFormat="1" x14ac:dyDescent="0.3">
      <c r="B711" s="44">
        <v>45934</v>
      </c>
      <c r="C711" s="3" t="s">
        <v>416</v>
      </c>
      <c r="D711" s="3" t="s">
        <v>501</v>
      </c>
      <c r="E711" s="42"/>
      <c r="F711" s="3" t="s">
        <v>472</v>
      </c>
      <c r="G711" s="3" t="s">
        <v>578</v>
      </c>
      <c r="H711" s="4">
        <v>4022700</v>
      </c>
      <c r="I711" s="3" t="s">
        <v>717</v>
      </c>
      <c r="J711" s="3" t="s">
        <v>583</v>
      </c>
      <c r="K711" s="4">
        <v>4022908</v>
      </c>
      <c r="M711" s="51"/>
    </row>
    <row r="712" spans="1:43" s="3" customFormat="1" x14ac:dyDescent="0.3">
      <c r="B712" s="44">
        <v>45934</v>
      </c>
      <c r="C712" s="3" t="s">
        <v>416</v>
      </c>
      <c r="D712" s="3" t="s">
        <v>496</v>
      </c>
      <c r="E712" s="42"/>
      <c r="F712" s="4" t="s">
        <v>665</v>
      </c>
      <c r="G712" s="4" t="s">
        <v>204</v>
      </c>
      <c r="H712" s="4">
        <v>3357400</v>
      </c>
      <c r="I712" s="3" t="s">
        <v>671</v>
      </c>
      <c r="J712" s="3" t="s">
        <v>227</v>
      </c>
      <c r="K712" s="4">
        <v>3359408</v>
      </c>
    </row>
    <row r="713" spans="1:43" s="3" customFormat="1" x14ac:dyDescent="0.3">
      <c r="B713" s="44">
        <v>45934</v>
      </c>
      <c r="C713" s="3" t="s">
        <v>416</v>
      </c>
      <c r="D713" s="3" t="s">
        <v>68</v>
      </c>
      <c r="E713" s="42"/>
      <c r="F713" s="3" t="s">
        <v>665</v>
      </c>
      <c r="G713" s="3" t="s">
        <v>457</v>
      </c>
      <c r="H713" s="4">
        <v>3818806</v>
      </c>
      <c r="I713" s="4" t="s">
        <v>686</v>
      </c>
      <c r="J713" s="4" t="s">
        <v>626</v>
      </c>
      <c r="K713" s="4" t="s">
        <v>637</v>
      </c>
    </row>
    <row r="714" spans="1:43" s="3" customFormat="1" x14ac:dyDescent="0.3">
      <c r="B714" s="44">
        <v>45934</v>
      </c>
      <c r="C714" s="3" t="s">
        <v>416</v>
      </c>
      <c r="D714" s="3" t="s">
        <v>499</v>
      </c>
      <c r="E714" s="42"/>
      <c r="F714" s="3" t="s">
        <v>665</v>
      </c>
      <c r="G714" s="3" t="s">
        <v>461</v>
      </c>
      <c r="H714" s="4">
        <v>3818702</v>
      </c>
      <c r="I714" s="3" t="s">
        <v>651</v>
      </c>
      <c r="J714" s="3" t="s">
        <v>226</v>
      </c>
      <c r="K714" s="4">
        <v>3361902</v>
      </c>
    </row>
    <row r="715" spans="1:43" s="3" customFormat="1" x14ac:dyDescent="0.3">
      <c r="B715" s="44">
        <v>45934</v>
      </c>
      <c r="C715" s="3" t="s">
        <v>416</v>
      </c>
      <c r="D715" s="3" t="s">
        <v>68</v>
      </c>
      <c r="E715" s="42"/>
      <c r="F715" s="3" t="s">
        <v>665</v>
      </c>
      <c r="G715" s="3" t="s">
        <v>627</v>
      </c>
      <c r="H715" s="4" t="s">
        <v>638</v>
      </c>
      <c r="I715" s="4" t="s">
        <v>651</v>
      </c>
      <c r="J715" s="4" t="s">
        <v>387</v>
      </c>
      <c r="K715" s="4">
        <v>3211403</v>
      </c>
    </row>
    <row r="716" spans="1:43" s="3" customFormat="1" x14ac:dyDescent="0.3">
      <c r="B716" s="44">
        <v>45934</v>
      </c>
      <c r="C716" s="3" t="s">
        <v>416</v>
      </c>
      <c r="D716" s="3" t="s">
        <v>57</v>
      </c>
      <c r="E716" s="42"/>
      <c r="F716" s="3" t="s">
        <v>693</v>
      </c>
      <c r="G716" s="3" t="s">
        <v>258</v>
      </c>
      <c r="H716" s="4">
        <v>3207109</v>
      </c>
      <c r="I716" s="73" t="s">
        <v>478</v>
      </c>
      <c r="J716" s="73" t="s">
        <v>260</v>
      </c>
      <c r="K716" s="15">
        <v>3205705</v>
      </c>
    </row>
    <row r="717" spans="1:43" s="3" customFormat="1" x14ac:dyDescent="0.3">
      <c r="B717" s="44">
        <v>45934</v>
      </c>
      <c r="C717" s="3" t="s">
        <v>416</v>
      </c>
      <c r="D717" s="3" t="s">
        <v>590</v>
      </c>
      <c r="E717" s="42"/>
      <c r="F717" s="3" t="s">
        <v>693</v>
      </c>
      <c r="G717" s="3" t="s">
        <v>322</v>
      </c>
      <c r="H717" s="4">
        <v>3207005</v>
      </c>
      <c r="I717" s="3" t="s">
        <v>472</v>
      </c>
      <c r="J717" s="3" t="s">
        <v>315</v>
      </c>
      <c r="K717" s="4">
        <v>3455307</v>
      </c>
    </row>
    <row r="718" spans="1:43" s="3" customFormat="1" x14ac:dyDescent="0.3">
      <c r="A718" s="4"/>
      <c r="B718" s="100">
        <v>45934</v>
      </c>
      <c r="C718" s="98" t="s">
        <v>553</v>
      </c>
      <c r="D718" s="4" t="s">
        <v>508</v>
      </c>
      <c r="E718" s="4"/>
      <c r="F718" s="73" t="s">
        <v>476</v>
      </c>
      <c r="G718" s="73" t="s">
        <v>476</v>
      </c>
      <c r="H718" s="73"/>
      <c r="I718" s="73" t="s">
        <v>509</v>
      </c>
      <c r="J718" s="73" t="s">
        <v>509</v>
      </c>
      <c r="K718" s="15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spans="1:43" s="3" customFormat="1" x14ac:dyDescent="0.3">
      <c r="B719" s="44">
        <v>45934</v>
      </c>
      <c r="C719" s="3" t="s">
        <v>416</v>
      </c>
      <c r="D719" s="3" t="s">
        <v>490</v>
      </c>
      <c r="E719" s="4"/>
      <c r="F719" s="3" t="s">
        <v>476</v>
      </c>
      <c r="G719" s="3" t="s">
        <v>168</v>
      </c>
      <c r="H719" s="4">
        <v>3356505</v>
      </c>
      <c r="I719" s="4" t="s">
        <v>717</v>
      </c>
      <c r="J719" s="4" t="s">
        <v>425</v>
      </c>
      <c r="K719" s="4">
        <v>3347206</v>
      </c>
    </row>
    <row r="720" spans="1:43" s="3" customFormat="1" x14ac:dyDescent="0.3">
      <c r="B720" s="44">
        <v>45934</v>
      </c>
      <c r="C720" s="3" t="s">
        <v>416</v>
      </c>
      <c r="D720" s="3" t="s">
        <v>62</v>
      </c>
      <c r="E720" s="42"/>
      <c r="F720" s="4" t="s">
        <v>476</v>
      </c>
      <c r="G720" s="4" t="s">
        <v>287</v>
      </c>
      <c r="H720" s="4">
        <v>3206600</v>
      </c>
      <c r="I720" s="4" t="s">
        <v>701</v>
      </c>
      <c r="J720" s="4" t="s">
        <v>360</v>
      </c>
      <c r="K720" s="4">
        <v>3203801</v>
      </c>
    </row>
    <row r="721" spans="1:43" s="3" customFormat="1" x14ac:dyDescent="0.3">
      <c r="B721" s="44">
        <v>45934</v>
      </c>
      <c r="C721" s="3" t="s">
        <v>416</v>
      </c>
      <c r="D721" s="3" t="s">
        <v>62</v>
      </c>
      <c r="E721" s="42"/>
      <c r="F721" s="3" t="s">
        <v>476</v>
      </c>
      <c r="G721" s="3" t="s">
        <v>323</v>
      </c>
      <c r="H721" s="4">
        <v>3206506</v>
      </c>
      <c r="I721" s="4" t="s">
        <v>677</v>
      </c>
      <c r="J721" s="4" t="s">
        <v>324</v>
      </c>
      <c r="K721" s="4">
        <v>3201605</v>
      </c>
    </row>
    <row r="722" spans="1:43" s="3" customFormat="1" x14ac:dyDescent="0.3">
      <c r="B722" s="44">
        <v>45934</v>
      </c>
      <c r="C722" s="3" t="s">
        <v>416</v>
      </c>
      <c r="D722" s="3" t="s">
        <v>65</v>
      </c>
      <c r="E722" s="42"/>
      <c r="F722" s="3" t="s">
        <v>476</v>
      </c>
      <c r="G722" s="3" t="s">
        <v>358</v>
      </c>
      <c r="H722" s="4">
        <v>3206402</v>
      </c>
      <c r="I722" s="4" t="s">
        <v>479</v>
      </c>
      <c r="J722" s="4" t="s">
        <v>320</v>
      </c>
      <c r="K722" s="4">
        <v>3210602</v>
      </c>
    </row>
    <row r="723" spans="1:43" s="3" customFormat="1" x14ac:dyDescent="0.3">
      <c r="B723" s="44">
        <v>45934</v>
      </c>
      <c r="C723" s="3" t="s">
        <v>416</v>
      </c>
      <c r="D723" s="3" t="s">
        <v>497</v>
      </c>
      <c r="E723" s="42"/>
      <c r="F723" s="17" t="s">
        <v>476</v>
      </c>
      <c r="G723" s="17" t="s">
        <v>234</v>
      </c>
      <c r="H723" s="74">
        <v>3356807</v>
      </c>
      <c r="I723" s="17" t="s">
        <v>691</v>
      </c>
      <c r="J723" s="17" t="s">
        <v>215</v>
      </c>
      <c r="K723" s="74">
        <v>3350407</v>
      </c>
    </row>
    <row r="724" spans="1:43" s="3" customFormat="1" x14ac:dyDescent="0.3">
      <c r="B724" s="44">
        <v>45934</v>
      </c>
      <c r="C724" s="3" t="s">
        <v>416</v>
      </c>
      <c r="D724" s="3" t="s">
        <v>500</v>
      </c>
      <c r="E724" s="42"/>
      <c r="F724" s="3" t="s">
        <v>476</v>
      </c>
      <c r="G724" s="3" t="s">
        <v>575</v>
      </c>
      <c r="H724" s="4">
        <v>3900005</v>
      </c>
      <c r="I724" s="4" t="s">
        <v>654</v>
      </c>
      <c r="J724" s="4" t="s">
        <v>576</v>
      </c>
      <c r="K724" s="4">
        <v>4009003</v>
      </c>
    </row>
    <row r="725" spans="1:43" s="3" customFormat="1" x14ac:dyDescent="0.3">
      <c r="A725" s="4"/>
      <c r="B725" s="99">
        <v>45934</v>
      </c>
      <c r="C725" s="98" t="s">
        <v>553</v>
      </c>
      <c r="D725" s="4" t="s">
        <v>506</v>
      </c>
      <c r="E725" s="4"/>
      <c r="F725" s="73" t="s">
        <v>531</v>
      </c>
      <c r="G725" s="73" t="s">
        <v>531</v>
      </c>
      <c r="H725" s="73"/>
      <c r="I725" s="73" t="s">
        <v>480</v>
      </c>
      <c r="J725" s="73" t="s">
        <v>480</v>
      </c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spans="1:43" s="3" customFormat="1" x14ac:dyDescent="0.3">
      <c r="B726" s="44">
        <v>45934</v>
      </c>
      <c r="C726" s="3" t="s">
        <v>416</v>
      </c>
      <c r="D726" s="3" t="s">
        <v>504</v>
      </c>
      <c r="E726" s="42"/>
      <c r="F726" s="4" t="s">
        <v>666</v>
      </c>
      <c r="G726" s="4" t="s">
        <v>12</v>
      </c>
      <c r="H726" s="4">
        <v>3034206</v>
      </c>
      <c r="I726" s="4" t="s">
        <v>671</v>
      </c>
      <c r="J726" s="4" t="s">
        <v>8</v>
      </c>
      <c r="K726" s="4">
        <v>3034008</v>
      </c>
    </row>
    <row r="727" spans="1:43" s="3" customFormat="1" x14ac:dyDescent="0.3">
      <c r="B727" s="44">
        <v>45934</v>
      </c>
      <c r="C727" s="3" t="s">
        <v>416</v>
      </c>
      <c r="D727" s="3" t="s">
        <v>492</v>
      </c>
      <c r="E727" s="42"/>
      <c r="F727" s="3" t="s">
        <v>666</v>
      </c>
      <c r="G727" s="3" t="s">
        <v>158</v>
      </c>
      <c r="H727" s="4">
        <v>3356901</v>
      </c>
      <c r="I727" s="4" t="s">
        <v>713</v>
      </c>
      <c r="J727" s="4" t="s">
        <v>165</v>
      </c>
      <c r="K727" s="4">
        <v>3349006</v>
      </c>
    </row>
    <row r="728" spans="1:43" s="3" customFormat="1" x14ac:dyDescent="0.3">
      <c r="B728" s="44">
        <v>45934</v>
      </c>
      <c r="C728" s="3" t="s">
        <v>416</v>
      </c>
      <c r="D728" s="3" t="s">
        <v>495</v>
      </c>
      <c r="E728" s="42"/>
      <c r="F728" s="3" t="s">
        <v>666</v>
      </c>
      <c r="G728" s="3" t="s">
        <v>193</v>
      </c>
      <c r="H728" s="4">
        <v>3357108</v>
      </c>
      <c r="I728" s="3" t="s">
        <v>570</v>
      </c>
      <c r="J728" s="3" t="s">
        <v>570</v>
      </c>
      <c r="K728" s="4" t="s">
        <v>556</v>
      </c>
    </row>
    <row r="729" spans="1:43" s="3" customFormat="1" x14ac:dyDescent="0.3">
      <c r="B729" s="44">
        <v>45934</v>
      </c>
      <c r="C729" s="3" t="s">
        <v>416</v>
      </c>
      <c r="D729" s="4" t="s">
        <v>614</v>
      </c>
      <c r="E729" s="42"/>
      <c r="F729" s="3" t="s">
        <v>666</v>
      </c>
      <c r="G729" s="3" t="s">
        <v>453</v>
      </c>
      <c r="H729" s="4">
        <v>3206006</v>
      </c>
      <c r="I729" s="4" t="s">
        <v>682</v>
      </c>
      <c r="J729" s="4" t="s">
        <v>622</v>
      </c>
      <c r="K729" s="4">
        <v>3969502</v>
      </c>
    </row>
    <row r="730" spans="1:43" s="3" customFormat="1" x14ac:dyDescent="0.3">
      <c r="A730" s="4"/>
      <c r="B730" s="100">
        <v>45934</v>
      </c>
      <c r="C730" s="98" t="s">
        <v>553</v>
      </c>
      <c r="D730" s="4" t="s">
        <v>508</v>
      </c>
      <c r="E730" s="4"/>
      <c r="F730" s="73" t="s">
        <v>478</v>
      </c>
      <c r="G730" s="73" t="s">
        <v>478</v>
      </c>
      <c r="H730" s="73"/>
      <c r="I730" s="73" t="s">
        <v>532</v>
      </c>
      <c r="J730" s="73" t="s">
        <v>532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spans="1:43" s="3" customFormat="1" x14ac:dyDescent="0.3">
      <c r="B731" s="44">
        <v>45934</v>
      </c>
      <c r="C731" s="3" t="s">
        <v>416</v>
      </c>
      <c r="D731" s="3" t="s">
        <v>491</v>
      </c>
      <c r="E731" s="42"/>
      <c r="F731" s="3" t="s">
        <v>478</v>
      </c>
      <c r="G731" s="3" t="s">
        <v>463</v>
      </c>
      <c r="H731" s="74">
        <v>3125500</v>
      </c>
      <c r="I731" s="3" t="s">
        <v>684</v>
      </c>
      <c r="J731" s="3" t="s">
        <v>149</v>
      </c>
      <c r="K731" s="4">
        <v>3354507</v>
      </c>
    </row>
    <row r="732" spans="1:43" s="3" customFormat="1" x14ac:dyDescent="0.3">
      <c r="B732" s="44">
        <v>45934</v>
      </c>
      <c r="C732" s="3" t="s">
        <v>416</v>
      </c>
      <c r="D732" s="3" t="s">
        <v>58</v>
      </c>
      <c r="E732" s="42"/>
      <c r="F732" s="32" t="s">
        <v>478</v>
      </c>
      <c r="G732" s="32" t="s">
        <v>267</v>
      </c>
      <c r="H732" s="15">
        <v>3205205</v>
      </c>
      <c r="I732" s="3" t="s">
        <v>697</v>
      </c>
      <c r="J732" s="3" t="s">
        <v>262</v>
      </c>
      <c r="K732" s="32">
        <v>3055405</v>
      </c>
    </row>
    <row r="733" spans="1:43" s="3" customFormat="1" x14ac:dyDescent="0.3">
      <c r="B733" s="44">
        <v>45934</v>
      </c>
      <c r="C733" s="3" t="s">
        <v>416</v>
      </c>
      <c r="D733" s="3" t="s">
        <v>63</v>
      </c>
      <c r="E733" s="42"/>
      <c r="F733" s="3" t="s">
        <v>478</v>
      </c>
      <c r="G733" s="3" t="s">
        <v>331</v>
      </c>
      <c r="H733" s="74">
        <v>3205403</v>
      </c>
      <c r="I733" s="3" t="s">
        <v>697</v>
      </c>
      <c r="J733" s="3" t="s">
        <v>448</v>
      </c>
      <c r="K733" s="4">
        <v>3036808</v>
      </c>
    </row>
    <row r="734" spans="1:43" s="3" customFormat="1" x14ac:dyDescent="0.3">
      <c r="B734" s="44">
        <v>45934</v>
      </c>
      <c r="C734" s="3" t="s">
        <v>416</v>
      </c>
      <c r="D734" s="3" t="s">
        <v>488</v>
      </c>
      <c r="E734" s="42"/>
      <c r="F734" s="4" t="s">
        <v>690</v>
      </c>
      <c r="G734" s="4" t="s">
        <v>118</v>
      </c>
      <c r="H734" s="4">
        <v>3356005</v>
      </c>
      <c r="I734" s="4" t="s">
        <v>697</v>
      </c>
      <c r="J734" s="4" t="s">
        <v>122</v>
      </c>
      <c r="K734" s="4">
        <v>3353800</v>
      </c>
    </row>
    <row r="735" spans="1:43" s="3" customFormat="1" x14ac:dyDescent="0.3">
      <c r="B735" s="44">
        <v>45934</v>
      </c>
      <c r="C735" s="3" t="s">
        <v>416</v>
      </c>
      <c r="D735" s="3" t="s">
        <v>56</v>
      </c>
      <c r="E735" s="42"/>
      <c r="F735" s="3" t="s">
        <v>690</v>
      </c>
      <c r="G735" s="3" t="s">
        <v>250</v>
      </c>
      <c r="H735" s="4">
        <v>3070100</v>
      </c>
      <c r="I735" s="4" t="s">
        <v>471</v>
      </c>
      <c r="J735" s="4" t="s">
        <v>441</v>
      </c>
      <c r="K735" s="4">
        <v>3023409</v>
      </c>
    </row>
    <row r="736" spans="1:43" s="3" customFormat="1" x14ac:dyDescent="0.3">
      <c r="B736" s="44">
        <v>45934</v>
      </c>
      <c r="C736" s="3" t="s">
        <v>416</v>
      </c>
      <c r="D736" s="3" t="s">
        <v>61</v>
      </c>
      <c r="E736" s="42"/>
      <c r="F736" s="3" t="s">
        <v>690</v>
      </c>
      <c r="G736" s="3" t="s">
        <v>304</v>
      </c>
      <c r="H736" s="4">
        <v>3204404</v>
      </c>
      <c r="I736" s="4" t="s">
        <v>478</v>
      </c>
      <c r="J736" s="4" t="s">
        <v>330</v>
      </c>
      <c r="K736" s="4">
        <v>3205309</v>
      </c>
    </row>
    <row r="737" spans="2:13" s="3" customFormat="1" x14ac:dyDescent="0.3">
      <c r="B737" s="44">
        <v>45934</v>
      </c>
      <c r="C737" s="3" t="s">
        <v>416</v>
      </c>
      <c r="D737" s="3" t="s">
        <v>491</v>
      </c>
      <c r="E737" s="42"/>
      <c r="F737" s="4" t="s">
        <v>690</v>
      </c>
      <c r="G737" s="4" t="s">
        <v>179</v>
      </c>
      <c r="H737" s="4">
        <v>3818900</v>
      </c>
      <c r="I737" s="4" t="s">
        <v>702</v>
      </c>
      <c r="J737" s="4" t="s">
        <v>180</v>
      </c>
      <c r="K737" s="4">
        <v>3355308</v>
      </c>
    </row>
    <row r="738" spans="2:13" s="3" customFormat="1" x14ac:dyDescent="0.3">
      <c r="B738" s="44">
        <v>45934</v>
      </c>
      <c r="C738" s="3" t="s">
        <v>416</v>
      </c>
      <c r="D738" s="3" t="s">
        <v>65</v>
      </c>
      <c r="E738" s="42"/>
      <c r="F738" s="3" t="s">
        <v>718</v>
      </c>
      <c r="G738" s="3" t="s">
        <v>359</v>
      </c>
      <c r="H738" s="4">
        <v>3204602</v>
      </c>
      <c r="I738" s="4" t="s">
        <v>655</v>
      </c>
      <c r="J738" s="4" t="s">
        <v>325</v>
      </c>
      <c r="K738" s="4">
        <v>3201501</v>
      </c>
    </row>
    <row r="739" spans="2:13" s="3" customFormat="1" x14ac:dyDescent="0.3">
      <c r="B739" s="44">
        <v>45934</v>
      </c>
      <c r="C739" s="3" t="s">
        <v>416</v>
      </c>
      <c r="D739" s="3" t="s">
        <v>486</v>
      </c>
      <c r="E739" s="42"/>
      <c r="F739" s="4" t="s">
        <v>682</v>
      </c>
      <c r="G739" s="4" t="s">
        <v>559</v>
      </c>
      <c r="H739" s="4">
        <v>3969200</v>
      </c>
      <c r="I739" s="4" t="s">
        <v>680</v>
      </c>
      <c r="J739" s="4" t="s">
        <v>98</v>
      </c>
      <c r="K739" s="4">
        <v>3358909</v>
      </c>
    </row>
    <row r="740" spans="2:13" s="3" customFormat="1" x14ac:dyDescent="0.3">
      <c r="B740" s="44">
        <v>45934</v>
      </c>
      <c r="C740" s="3" t="s">
        <v>416</v>
      </c>
      <c r="D740" s="3" t="s">
        <v>57</v>
      </c>
      <c r="E740" s="42"/>
      <c r="F740" s="3" t="s">
        <v>682</v>
      </c>
      <c r="G740" s="3" t="s">
        <v>584</v>
      </c>
      <c r="H740" s="4">
        <v>3069303</v>
      </c>
      <c r="I740" s="4" t="s">
        <v>666</v>
      </c>
      <c r="J740" s="4" t="s">
        <v>259</v>
      </c>
      <c r="K740" s="4">
        <v>3205809</v>
      </c>
    </row>
    <row r="741" spans="2:13" s="3" customFormat="1" x14ac:dyDescent="0.3">
      <c r="B741" s="44">
        <v>45934</v>
      </c>
      <c r="C741" s="3" t="s">
        <v>416</v>
      </c>
      <c r="D741" s="3" t="s">
        <v>610</v>
      </c>
      <c r="E741" s="42"/>
      <c r="F741" s="3" t="s">
        <v>682</v>
      </c>
      <c r="G741" s="3" t="s">
        <v>611</v>
      </c>
      <c r="H741" s="4">
        <v>3204800</v>
      </c>
      <c r="I741" s="4" t="s">
        <v>652</v>
      </c>
      <c r="J741" s="4" t="s">
        <v>347</v>
      </c>
      <c r="K741" s="4">
        <v>3818504</v>
      </c>
    </row>
    <row r="742" spans="2:13" s="3" customFormat="1" x14ac:dyDescent="0.3">
      <c r="B742" s="44">
        <v>45934</v>
      </c>
      <c r="C742" s="3" t="s">
        <v>416</v>
      </c>
      <c r="D742" s="3" t="s">
        <v>495</v>
      </c>
      <c r="E742" s="42"/>
      <c r="F742" s="3" t="s">
        <v>682</v>
      </c>
      <c r="G742" s="3" t="s">
        <v>568</v>
      </c>
      <c r="H742" s="4">
        <v>3969908</v>
      </c>
      <c r="I742" s="3" t="s">
        <v>713</v>
      </c>
      <c r="J742" s="3" t="s">
        <v>199</v>
      </c>
      <c r="K742" s="4">
        <v>3349100</v>
      </c>
    </row>
    <row r="743" spans="2:13" s="3" customFormat="1" x14ac:dyDescent="0.3">
      <c r="B743" s="44">
        <v>45934</v>
      </c>
      <c r="C743" s="3" t="s">
        <v>416</v>
      </c>
      <c r="D743" s="3" t="s">
        <v>488</v>
      </c>
      <c r="E743" s="42"/>
      <c r="F743" s="3" t="s">
        <v>702</v>
      </c>
      <c r="G743" s="3" t="s">
        <v>119</v>
      </c>
      <c r="H743" s="4">
        <v>3067909</v>
      </c>
      <c r="I743" s="4" t="s">
        <v>695</v>
      </c>
      <c r="J743" s="4" t="s">
        <v>147</v>
      </c>
      <c r="K743" s="4">
        <v>3067409</v>
      </c>
    </row>
    <row r="744" spans="2:13" s="3" customFormat="1" x14ac:dyDescent="0.3">
      <c r="B744" s="44">
        <v>45934</v>
      </c>
      <c r="C744" s="3" t="s">
        <v>416</v>
      </c>
      <c r="D744" s="3" t="s">
        <v>58</v>
      </c>
      <c r="E744" s="42"/>
      <c r="F744" s="3" t="s">
        <v>702</v>
      </c>
      <c r="G744" s="3" t="s">
        <v>447</v>
      </c>
      <c r="H744" s="4">
        <v>3055207</v>
      </c>
      <c r="I744" s="3" t="s">
        <v>698</v>
      </c>
      <c r="J744" s="3" t="s">
        <v>587</v>
      </c>
      <c r="K744" s="32" t="s">
        <v>563</v>
      </c>
    </row>
    <row r="745" spans="2:13" s="3" customFormat="1" x14ac:dyDescent="0.3">
      <c r="B745" s="44">
        <v>45934</v>
      </c>
      <c r="C745" s="3" t="s">
        <v>416</v>
      </c>
      <c r="D745" s="3" t="s">
        <v>487</v>
      </c>
      <c r="E745" s="4"/>
      <c r="F745" s="3" t="s">
        <v>695</v>
      </c>
      <c r="G745" s="3" t="s">
        <v>101</v>
      </c>
      <c r="H745" s="4">
        <v>3067305</v>
      </c>
      <c r="I745" s="3" t="s">
        <v>709</v>
      </c>
      <c r="J745" s="3" t="s">
        <v>111</v>
      </c>
      <c r="K745" s="4">
        <v>3354601</v>
      </c>
    </row>
    <row r="746" spans="2:13" s="3" customFormat="1" x14ac:dyDescent="0.3">
      <c r="B746" s="44">
        <v>45934</v>
      </c>
      <c r="C746" s="3" t="s">
        <v>416</v>
      </c>
      <c r="D746" s="3" t="s">
        <v>491</v>
      </c>
      <c r="E746" s="42"/>
      <c r="F746" s="3" t="s">
        <v>695</v>
      </c>
      <c r="G746" s="3" t="s">
        <v>148</v>
      </c>
      <c r="H746" s="4">
        <v>3355402</v>
      </c>
      <c r="I746" s="4" t="s">
        <v>680</v>
      </c>
      <c r="J746" s="4" t="s">
        <v>177</v>
      </c>
      <c r="K746" s="4">
        <v>3899709</v>
      </c>
    </row>
    <row r="747" spans="2:13" s="3" customFormat="1" x14ac:dyDescent="0.3">
      <c r="B747" s="44">
        <v>45934</v>
      </c>
      <c r="C747" s="3" t="s">
        <v>416</v>
      </c>
      <c r="D747" s="3" t="s">
        <v>488</v>
      </c>
      <c r="E747" s="42"/>
      <c r="F747" s="3" t="s">
        <v>704</v>
      </c>
      <c r="G747" s="3" t="s">
        <v>120</v>
      </c>
      <c r="H747" s="4">
        <v>3355506</v>
      </c>
      <c r="I747" s="3" t="s">
        <v>703</v>
      </c>
      <c r="J747" s="3" t="s">
        <v>560</v>
      </c>
      <c r="K747" s="4" t="s">
        <v>562</v>
      </c>
    </row>
    <row r="748" spans="2:13" s="3" customFormat="1" x14ac:dyDescent="0.3">
      <c r="B748" s="44">
        <v>45934</v>
      </c>
      <c r="C748" s="3" t="s">
        <v>416</v>
      </c>
      <c r="D748" s="3" t="s">
        <v>58</v>
      </c>
      <c r="E748" s="42"/>
      <c r="F748" s="3" t="s">
        <v>704</v>
      </c>
      <c r="G748" s="3" t="s">
        <v>297</v>
      </c>
      <c r="H748" s="4">
        <v>3204008</v>
      </c>
      <c r="I748" s="3" t="s">
        <v>683</v>
      </c>
      <c r="J748" s="3" t="s">
        <v>305</v>
      </c>
      <c r="K748" s="32">
        <v>3202906</v>
      </c>
    </row>
    <row r="749" spans="2:13" s="3" customFormat="1" x14ac:dyDescent="0.3">
      <c r="B749" s="44">
        <v>45934</v>
      </c>
      <c r="C749" s="3" t="s">
        <v>416</v>
      </c>
      <c r="D749" s="3" t="s">
        <v>60</v>
      </c>
      <c r="E749" s="42"/>
      <c r="F749" s="3" t="s">
        <v>473</v>
      </c>
      <c r="G749" s="3" t="s">
        <v>298</v>
      </c>
      <c r="H749" s="4">
        <v>3817807</v>
      </c>
      <c r="I749" s="3" t="s">
        <v>473</v>
      </c>
      <c r="J749" s="3" t="s">
        <v>446</v>
      </c>
      <c r="K749" s="32">
        <v>3204206</v>
      </c>
    </row>
    <row r="750" spans="2:13" s="3" customFormat="1" x14ac:dyDescent="0.3">
      <c r="B750" s="44">
        <v>45934</v>
      </c>
      <c r="C750" s="3" t="s">
        <v>416</v>
      </c>
      <c r="D750" s="3" t="s">
        <v>494</v>
      </c>
      <c r="E750" s="42"/>
      <c r="F750" s="4" t="s">
        <v>708</v>
      </c>
      <c r="G750" s="4" t="s">
        <v>141</v>
      </c>
      <c r="H750" s="4">
        <v>3125802</v>
      </c>
      <c r="I750" s="3" t="s">
        <v>475</v>
      </c>
      <c r="J750" s="3" t="s">
        <v>183</v>
      </c>
      <c r="K750" s="4">
        <v>3362901</v>
      </c>
    </row>
    <row r="751" spans="2:13" s="3" customFormat="1" x14ac:dyDescent="0.3">
      <c r="B751" s="44">
        <v>45934</v>
      </c>
      <c r="C751" s="3" t="s">
        <v>416</v>
      </c>
      <c r="D751" s="3" t="s">
        <v>494</v>
      </c>
      <c r="E751" s="42"/>
      <c r="F751" s="3" t="s">
        <v>708</v>
      </c>
      <c r="G751" s="3" t="s">
        <v>220</v>
      </c>
      <c r="H751" s="4">
        <v>3354809</v>
      </c>
      <c r="I751" s="4" t="s">
        <v>472</v>
      </c>
      <c r="J751" s="4" t="s">
        <v>185</v>
      </c>
      <c r="K751" s="4">
        <v>3357806</v>
      </c>
    </row>
    <row r="752" spans="2:13" s="3" customFormat="1" x14ac:dyDescent="0.3">
      <c r="B752" s="44">
        <v>45934</v>
      </c>
      <c r="C752" s="3" t="s">
        <v>416</v>
      </c>
      <c r="D752" s="3" t="s">
        <v>501</v>
      </c>
      <c r="E752" s="42"/>
      <c r="F752" s="3" t="s">
        <v>708</v>
      </c>
      <c r="G752" s="3" t="s">
        <v>598</v>
      </c>
      <c r="H752" s="4">
        <v>3354903</v>
      </c>
      <c r="I752" s="3" t="s">
        <v>475</v>
      </c>
      <c r="J752" s="3" t="s">
        <v>241</v>
      </c>
      <c r="K752" s="4">
        <v>3362401</v>
      </c>
      <c r="M752" s="51"/>
    </row>
    <row r="753" spans="2:11" s="3" customFormat="1" x14ac:dyDescent="0.3">
      <c r="B753" s="44">
        <v>45934</v>
      </c>
      <c r="C753" s="3" t="s">
        <v>416</v>
      </c>
      <c r="D753" s="3" t="s">
        <v>57</v>
      </c>
      <c r="E753" s="42"/>
      <c r="F753" s="15" t="s">
        <v>703</v>
      </c>
      <c r="G753" s="15" t="s">
        <v>585</v>
      </c>
      <c r="H753" s="74" t="s">
        <v>556</v>
      </c>
      <c r="I753" s="32" t="s">
        <v>476</v>
      </c>
      <c r="J753" s="32" t="s">
        <v>249</v>
      </c>
      <c r="K753" s="15">
        <v>3038202</v>
      </c>
    </row>
    <row r="754" spans="2:11" s="3" customFormat="1" x14ac:dyDescent="0.3">
      <c r="B754" s="44">
        <v>45934</v>
      </c>
      <c r="C754" s="3" t="s">
        <v>416</v>
      </c>
      <c r="D754" s="3" t="s">
        <v>58</v>
      </c>
      <c r="E754" s="42"/>
      <c r="F754" s="3" t="s">
        <v>703</v>
      </c>
      <c r="G754" s="3" t="s">
        <v>586</v>
      </c>
      <c r="H754" s="4" t="s">
        <v>588</v>
      </c>
      <c r="I754" s="3" t="s">
        <v>712</v>
      </c>
      <c r="J754" s="3" t="s">
        <v>270</v>
      </c>
      <c r="K754" s="4">
        <v>3069605</v>
      </c>
    </row>
    <row r="755" spans="2:11" s="3" customFormat="1" x14ac:dyDescent="0.3">
      <c r="B755" s="44">
        <v>45934</v>
      </c>
      <c r="C755" s="3" t="s">
        <v>416</v>
      </c>
      <c r="D755" s="3" t="s">
        <v>61</v>
      </c>
      <c r="E755" s="42"/>
      <c r="F755" s="3" t="s">
        <v>703</v>
      </c>
      <c r="G755" s="3" t="s">
        <v>596</v>
      </c>
      <c r="H755" s="4" t="s">
        <v>556</v>
      </c>
      <c r="I755" s="4" t="s">
        <v>477</v>
      </c>
      <c r="J755" s="4" t="s">
        <v>308</v>
      </c>
      <c r="K755" s="4">
        <v>3199300</v>
      </c>
    </row>
    <row r="756" spans="2:11" s="3" customFormat="1" x14ac:dyDescent="0.3">
      <c r="B756" s="44">
        <v>45934</v>
      </c>
      <c r="C756" s="3" t="s">
        <v>416</v>
      </c>
      <c r="D756" s="3" t="s">
        <v>57</v>
      </c>
      <c r="E756" s="42"/>
      <c r="F756" s="32" t="s">
        <v>709</v>
      </c>
      <c r="G756" s="32" t="s">
        <v>268</v>
      </c>
      <c r="H756" s="15">
        <v>3203103</v>
      </c>
      <c r="I756" s="3" t="s">
        <v>645</v>
      </c>
      <c r="J756" s="3" t="s">
        <v>263</v>
      </c>
      <c r="K756" s="4">
        <v>3198707</v>
      </c>
    </row>
    <row r="757" spans="2:11" s="3" customFormat="1" x14ac:dyDescent="0.3">
      <c r="B757" s="44">
        <v>45934</v>
      </c>
      <c r="C757" s="3" t="s">
        <v>416</v>
      </c>
      <c r="D757" s="3" t="s">
        <v>488</v>
      </c>
      <c r="E757" s="42"/>
      <c r="F757" s="4" t="s">
        <v>684</v>
      </c>
      <c r="G757" s="4" t="s">
        <v>121</v>
      </c>
      <c r="H757" s="4">
        <v>3354309</v>
      </c>
      <c r="I757" s="3" t="s">
        <v>720</v>
      </c>
      <c r="J757" s="3" t="s">
        <v>153</v>
      </c>
      <c r="K757" s="4">
        <v>3033405</v>
      </c>
    </row>
    <row r="758" spans="2:11" s="3" customFormat="1" x14ac:dyDescent="0.3">
      <c r="B758" s="44">
        <v>45934</v>
      </c>
      <c r="C758" s="3" t="s">
        <v>416</v>
      </c>
      <c r="D758" s="3" t="s">
        <v>63</v>
      </c>
      <c r="E758" s="42"/>
      <c r="F758" s="3" t="s">
        <v>684</v>
      </c>
      <c r="G758" s="3" t="s">
        <v>369</v>
      </c>
      <c r="H758" s="74">
        <v>3202708</v>
      </c>
      <c r="I758" s="3" t="s">
        <v>658</v>
      </c>
      <c r="J758" s="3" t="s">
        <v>366</v>
      </c>
      <c r="K758" s="74">
        <v>3210404</v>
      </c>
    </row>
    <row r="759" spans="2:11" s="3" customFormat="1" x14ac:dyDescent="0.3">
      <c r="B759" s="44">
        <v>45934</v>
      </c>
      <c r="C759" s="3" t="s">
        <v>416</v>
      </c>
      <c r="D759" s="3" t="s">
        <v>66</v>
      </c>
      <c r="E759" s="42"/>
      <c r="F759" s="3" t="s">
        <v>684</v>
      </c>
      <c r="G759" s="3" t="s">
        <v>608</v>
      </c>
      <c r="H759" s="74">
        <v>3819107</v>
      </c>
      <c r="I759" s="3" t="s">
        <v>709</v>
      </c>
      <c r="J759" s="3" t="s">
        <v>607</v>
      </c>
      <c r="K759" s="4">
        <v>3596309</v>
      </c>
    </row>
    <row r="760" spans="2:11" s="3" customFormat="1" x14ac:dyDescent="0.3">
      <c r="B760" s="44">
        <v>45934</v>
      </c>
      <c r="C760" s="3" t="s">
        <v>416</v>
      </c>
      <c r="D760" s="3" t="s">
        <v>486</v>
      </c>
      <c r="E760" s="42"/>
      <c r="F760" s="4" t="s">
        <v>646</v>
      </c>
      <c r="G760" s="4" t="s">
        <v>102</v>
      </c>
      <c r="H760" s="4">
        <v>3125406</v>
      </c>
      <c r="I760" s="3" t="s">
        <v>480</v>
      </c>
      <c r="J760" s="3" t="s">
        <v>406</v>
      </c>
      <c r="K760" s="4">
        <v>3124501</v>
      </c>
    </row>
    <row r="761" spans="2:11" s="3" customFormat="1" x14ac:dyDescent="0.3">
      <c r="B761" s="44">
        <v>45934</v>
      </c>
      <c r="C761" s="3" t="s">
        <v>416</v>
      </c>
      <c r="D761" s="3" t="s">
        <v>492</v>
      </c>
      <c r="E761" s="42"/>
      <c r="F761" s="3" t="s">
        <v>646</v>
      </c>
      <c r="G761" s="3" t="s">
        <v>159</v>
      </c>
      <c r="H761" s="4">
        <v>3354403</v>
      </c>
      <c r="I761" s="4" t="s">
        <v>673</v>
      </c>
      <c r="J761" s="4" t="s">
        <v>134</v>
      </c>
      <c r="K761" s="4">
        <v>3347102</v>
      </c>
    </row>
    <row r="762" spans="2:11" s="3" customFormat="1" x14ac:dyDescent="0.3">
      <c r="B762" s="44">
        <v>45934</v>
      </c>
      <c r="C762" s="3" t="s">
        <v>416</v>
      </c>
      <c r="D762" s="3" t="s">
        <v>64</v>
      </c>
      <c r="E762" s="42">
        <v>4370907</v>
      </c>
      <c r="F762" s="3" t="s">
        <v>646</v>
      </c>
      <c r="G762" s="3" t="s">
        <v>349</v>
      </c>
      <c r="H762" s="4">
        <v>3202500</v>
      </c>
      <c r="I762" s="4" t="s">
        <v>710</v>
      </c>
      <c r="J762" s="4" t="s">
        <v>354</v>
      </c>
      <c r="K762" s="4">
        <v>3199404</v>
      </c>
    </row>
    <row r="763" spans="2:11" s="3" customFormat="1" x14ac:dyDescent="0.3">
      <c r="B763" s="44">
        <v>45934</v>
      </c>
      <c r="C763" s="3" t="s">
        <v>416</v>
      </c>
      <c r="D763" s="4" t="s">
        <v>614</v>
      </c>
      <c r="E763" s="42"/>
      <c r="F763" s="3" t="s">
        <v>646</v>
      </c>
      <c r="G763" s="3" t="s">
        <v>380</v>
      </c>
      <c r="H763" s="4">
        <v>3202208</v>
      </c>
      <c r="I763" s="4" t="s">
        <v>710</v>
      </c>
      <c r="J763" s="4" t="s">
        <v>384</v>
      </c>
      <c r="K763" s="4">
        <v>3199508</v>
      </c>
    </row>
    <row r="764" spans="2:11" s="3" customFormat="1" x14ac:dyDescent="0.3">
      <c r="B764" s="44">
        <v>45934</v>
      </c>
      <c r="C764" s="3" t="s">
        <v>416</v>
      </c>
      <c r="D764" s="3" t="s">
        <v>495</v>
      </c>
      <c r="E764" s="42"/>
      <c r="F764" s="3" t="s">
        <v>646</v>
      </c>
      <c r="G764" s="3" t="s">
        <v>195</v>
      </c>
      <c r="H764" s="74">
        <v>3361600</v>
      </c>
      <c r="I764" s="3" t="s">
        <v>666</v>
      </c>
      <c r="J764" s="3" t="s">
        <v>192</v>
      </c>
      <c r="K764" s="53">
        <v>3357004</v>
      </c>
    </row>
    <row r="765" spans="2:11" s="3" customFormat="1" x14ac:dyDescent="0.3">
      <c r="B765" s="44">
        <v>45934</v>
      </c>
      <c r="C765" s="3" t="s">
        <v>416</v>
      </c>
      <c r="D765" s="3" t="s">
        <v>66</v>
      </c>
      <c r="E765" s="42"/>
      <c r="F765" s="3" t="s">
        <v>696</v>
      </c>
      <c r="G765" s="3" t="s">
        <v>609</v>
      </c>
      <c r="H765" s="74">
        <v>3900401</v>
      </c>
      <c r="I765" s="3" t="s">
        <v>690</v>
      </c>
      <c r="J765" s="3" t="s">
        <v>605</v>
      </c>
      <c r="K765" s="74">
        <v>3900109</v>
      </c>
    </row>
    <row r="766" spans="2:11" s="3" customFormat="1" x14ac:dyDescent="0.3">
      <c r="B766" s="44">
        <v>45934</v>
      </c>
      <c r="C766" s="3" t="s">
        <v>416</v>
      </c>
      <c r="D766" s="3" t="s">
        <v>489</v>
      </c>
      <c r="E766" s="4"/>
      <c r="F766" s="3" t="s">
        <v>672</v>
      </c>
      <c r="G766" s="3" t="s">
        <v>129</v>
      </c>
      <c r="H766" s="4">
        <v>3067503</v>
      </c>
      <c r="I766" s="3" t="s">
        <v>688</v>
      </c>
      <c r="J766" s="3" t="s">
        <v>10</v>
      </c>
      <c r="K766" s="4">
        <v>3036204</v>
      </c>
    </row>
    <row r="767" spans="2:11" s="3" customFormat="1" x14ac:dyDescent="0.3">
      <c r="B767" s="44">
        <v>45934</v>
      </c>
      <c r="C767" s="3" t="s">
        <v>416</v>
      </c>
      <c r="D767" s="3" t="s">
        <v>56</v>
      </c>
      <c r="E767" s="42"/>
      <c r="F767" s="106" t="s">
        <v>672</v>
      </c>
      <c r="G767" s="106" t="s">
        <v>252</v>
      </c>
      <c r="H767" s="106">
        <v>3070204</v>
      </c>
      <c r="I767" s="4" t="s">
        <v>661</v>
      </c>
      <c r="J767" s="4" t="s">
        <v>439</v>
      </c>
      <c r="K767" s="4">
        <v>3023701</v>
      </c>
    </row>
    <row r="768" spans="2:11" s="3" customFormat="1" x14ac:dyDescent="0.3">
      <c r="B768" s="44">
        <v>45934</v>
      </c>
      <c r="C768" s="3" t="s">
        <v>416</v>
      </c>
      <c r="D768" s="3" t="s">
        <v>70</v>
      </c>
      <c r="E768" s="42"/>
      <c r="F768" s="3" t="s">
        <v>672</v>
      </c>
      <c r="G768" s="3" t="s">
        <v>401</v>
      </c>
      <c r="H768" s="4">
        <v>3202000</v>
      </c>
      <c r="I768" s="3" t="s">
        <v>472</v>
      </c>
      <c r="J768" s="3" t="s">
        <v>400</v>
      </c>
      <c r="K768" s="4">
        <v>3818608</v>
      </c>
    </row>
    <row r="769" spans="2:11" s="3" customFormat="1" x14ac:dyDescent="0.3">
      <c r="B769" s="44">
        <v>45934</v>
      </c>
      <c r="C769" s="3" t="s">
        <v>416</v>
      </c>
      <c r="D769" s="3" t="s">
        <v>491</v>
      </c>
      <c r="E769" s="42"/>
      <c r="F769" s="3" t="s">
        <v>697</v>
      </c>
      <c r="G769" s="3" t="s">
        <v>150</v>
      </c>
      <c r="H769" s="4">
        <v>3353706</v>
      </c>
      <c r="I769" s="104" t="s">
        <v>684</v>
      </c>
      <c r="J769" s="104" t="s">
        <v>182</v>
      </c>
      <c r="K769" s="53">
        <v>3900203</v>
      </c>
    </row>
    <row r="770" spans="2:11" s="3" customFormat="1" x14ac:dyDescent="0.3">
      <c r="B770" s="44">
        <v>45934</v>
      </c>
      <c r="C770" s="3" t="s">
        <v>416</v>
      </c>
      <c r="D770" s="3" t="s">
        <v>57</v>
      </c>
      <c r="E770" s="42"/>
      <c r="F770" s="53" t="s">
        <v>694</v>
      </c>
      <c r="G770" s="53" t="s">
        <v>276</v>
      </c>
      <c r="H770" s="74">
        <v>3201709</v>
      </c>
      <c r="I770" s="4" t="s">
        <v>680</v>
      </c>
      <c r="J770" s="4" t="s">
        <v>266</v>
      </c>
      <c r="K770" s="4">
        <v>3208306</v>
      </c>
    </row>
    <row r="771" spans="2:11" s="3" customFormat="1" x14ac:dyDescent="0.3">
      <c r="B771" s="44">
        <v>45934</v>
      </c>
      <c r="C771" s="3" t="s">
        <v>416</v>
      </c>
      <c r="D771" s="3" t="s">
        <v>494</v>
      </c>
      <c r="E771" s="42"/>
      <c r="F771" s="4" t="s">
        <v>694</v>
      </c>
      <c r="G771" s="4" t="s">
        <v>188</v>
      </c>
      <c r="H771" s="4">
        <v>3353508</v>
      </c>
      <c r="I771" s="4" t="s">
        <v>472</v>
      </c>
      <c r="J771" s="4" t="s">
        <v>186</v>
      </c>
      <c r="K771" s="4">
        <v>3357702</v>
      </c>
    </row>
    <row r="772" spans="2:11" s="3" customFormat="1" x14ac:dyDescent="0.3">
      <c r="B772" s="44">
        <v>45934</v>
      </c>
      <c r="C772" s="3" t="s">
        <v>416</v>
      </c>
      <c r="D772" s="3" t="s">
        <v>62</v>
      </c>
      <c r="E772" s="42"/>
      <c r="F772" s="4" t="s">
        <v>694</v>
      </c>
      <c r="G772" s="4" t="s">
        <v>340</v>
      </c>
      <c r="H772" s="4">
        <v>3201803</v>
      </c>
      <c r="I772" s="3" t="s">
        <v>663</v>
      </c>
      <c r="J772" s="3" t="s">
        <v>280</v>
      </c>
      <c r="K772" s="4">
        <v>3198103</v>
      </c>
    </row>
    <row r="773" spans="2:11" s="3" customFormat="1" x14ac:dyDescent="0.3">
      <c r="B773" s="44">
        <v>45934</v>
      </c>
      <c r="C773" s="3" t="s">
        <v>416</v>
      </c>
      <c r="D773" s="3" t="s">
        <v>494</v>
      </c>
      <c r="E773" s="42"/>
      <c r="F773" s="3" t="s">
        <v>694</v>
      </c>
      <c r="G773" s="3" t="s">
        <v>221</v>
      </c>
      <c r="H773" s="4">
        <v>3353404</v>
      </c>
      <c r="I773" s="4" t="s">
        <v>662</v>
      </c>
      <c r="J773" s="4" t="s">
        <v>242</v>
      </c>
      <c r="K773" s="4">
        <v>3358107</v>
      </c>
    </row>
    <row r="774" spans="2:11" s="3" customFormat="1" x14ac:dyDescent="0.3">
      <c r="B774" s="44">
        <v>45934</v>
      </c>
      <c r="C774" s="3" t="s">
        <v>416</v>
      </c>
      <c r="D774" s="3" t="s">
        <v>498</v>
      </c>
      <c r="E774" s="42"/>
      <c r="F774" s="3" t="s">
        <v>694</v>
      </c>
      <c r="G774" s="3" t="s">
        <v>245</v>
      </c>
      <c r="H774" s="4">
        <v>3352905</v>
      </c>
      <c r="I774" s="3" t="s">
        <v>692</v>
      </c>
      <c r="J774" s="3" t="s">
        <v>223</v>
      </c>
      <c r="K774" s="4">
        <v>3348007</v>
      </c>
    </row>
    <row r="775" spans="2:11" s="3" customFormat="1" x14ac:dyDescent="0.3">
      <c r="B775" s="44">
        <v>45934</v>
      </c>
      <c r="C775" s="3" t="s">
        <v>416</v>
      </c>
      <c r="D775" s="3" t="s">
        <v>59</v>
      </c>
      <c r="E775" s="42"/>
      <c r="F775" s="3" t="s">
        <v>655</v>
      </c>
      <c r="G775" s="3" t="s">
        <v>288</v>
      </c>
      <c r="H775" s="4">
        <v>3200908</v>
      </c>
      <c r="I775" s="3" t="s">
        <v>687</v>
      </c>
      <c r="J775" s="3" t="s">
        <v>283</v>
      </c>
      <c r="K775" s="4">
        <v>3194107</v>
      </c>
    </row>
    <row r="776" spans="2:11" s="3" customFormat="1" x14ac:dyDescent="0.3">
      <c r="B776" s="44">
        <v>45934</v>
      </c>
      <c r="C776" s="3" t="s">
        <v>416</v>
      </c>
      <c r="D776" s="3" t="s">
        <v>69</v>
      </c>
      <c r="E776" s="42"/>
      <c r="F776" s="3" t="s">
        <v>655</v>
      </c>
      <c r="G776" s="3" t="s">
        <v>394</v>
      </c>
      <c r="H776" s="4">
        <v>3201105</v>
      </c>
      <c r="I776" s="3" t="s">
        <v>471</v>
      </c>
      <c r="J776" s="3" t="s">
        <v>364</v>
      </c>
      <c r="K776" s="4">
        <v>3197000</v>
      </c>
    </row>
    <row r="777" spans="2:11" s="3" customFormat="1" x14ac:dyDescent="0.3">
      <c r="B777" s="44">
        <v>45934</v>
      </c>
      <c r="C777" s="3" t="s">
        <v>416</v>
      </c>
      <c r="D777" s="3" t="s">
        <v>610</v>
      </c>
      <c r="E777" s="42"/>
      <c r="F777" s="3" t="s">
        <v>711</v>
      </c>
      <c r="G777" s="3" t="s">
        <v>381</v>
      </c>
      <c r="H777" s="4">
        <v>3201209</v>
      </c>
      <c r="I777" s="4" t="s">
        <v>685</v>
      </c>
      <c r="J777" s="4" t="s">
        <v>351</v>
      </c>
      <c r="K777" s="4">
        <v>3201001</v>
      </c>
    </row>
    <row r="778" spans="2:11" s="3" customFormat="1" x14ac:dyDescent="0.3">
      <c r="B778" s="44">
        <v>45934</v>
      </c>
      <c r="C778" s="3" t="s">
        <v>416</v>
      </c>
      <c r="D778" s="3" t="s">
        <v>610</v>
      </c>
      <c r="E778" s="42"/>
      <c r="F778" s="3" t="s">
        <v>685</v>
      </c>
      <c r="G778" s="3" t="s">
        <v>382</v>
      </c>
      <c r="H778" s="4">
        <v>3200804</v>
      </c>
      <c r="I778" s="4" t="s">
        <v>474</v>
      </c>
      <c r="J778" s="4" t="s">
        <v>458</v>
      </c>
      <c r="K778" s="4">
        <v>3200304</v>
      </c>
    </row>
    <row r="779" spans="2:11" s="3" customFormat="1" x14ac:dyDescent="0.3">
      <c r="B779" s="44">
        <v>45934</v>
      </c>
      <c r="C779" s="3" t="s">
        <v>416</v>
      </c>
      <c r="D779" s="3" t="s">
        <v>495</v>
      </c>
      <c r="E779" s="42"/>
      <c r="F779" s="3" t="s">
        <v>685</v>
      </c>
      <c r="G779" s="3" t="s">
        <v>197</v>
      </c>
      <c r="H779" s="4">
        <v>3353300</v>
      </c>
      <c r="I779" s="3" t="s">
        <v>685</v>
      </c>
      <c r="J779" s="3" t="s">
        <v>196</v>
      </c>
      <c r="K779" s="4">
        <v>3353102</v>
      </c>
    </row>
    <row r="780" spans="2:11" s="3" customFormat="1" x14ac:dyDescent="0.3">
      <c r="B780" s="44">
        <v>45934</v>
      </c>
      <c r="C780" s="3" t="s">
        <v>416</v>
      </c>
      <c r="D780" s="3" t="s">
        <v>56</v>
      </c>
      <c r="E780" s="42"/>
      <c r="F780" s="73" t="s">
        <v>474</v>
      </c>
      <c r="G780" s="73" t="s">
        <v>253</v>
      </c>
      <c r="H780" s="4">
        <v>3037109</v>
      </c>
      <c r="I780" s="4" t="s">
        <v>472</v>
      </c>
      <c r="J780" s="4" t="s">
        <v>248</v>
      </c>
      <c r="K780" s="4">
        <v>3207609</v>
      </c>
    </row>
    <row r="781" spans="2:11" s="3" customFormat="1" x14ac:dyDescent="0.3">
      <c r="B781" s="44">
        <v>45934</v>
      </c>
      <c r="C781" s="3" t="s">
        <v>416</v>
      </c>
      <c r="D781" s="3" t="s">
        <v>486</v>
      </c>
      <c r="E781" s="42"/>
      <c r="F781" s="3" t="s">
        <v>474</v>
      </c>
      <c r="G781" s="3" t="s">
        <v>103</v>
      </c>
      <c r="H781" s="4">
        <v>3353206</v>
      </c>
      <c r="I781" s="4" t="s">
        <v>652</v>
      </c>
      <c r="J781" s="4" t="s">
        <v>110</v>
      </c>
      <c r="K781" s="4">
        <v>3359106</v>
      </c>
    </row>
    <row r="782" spans="2:11" s="3" customFormat="1" x14ac:dyDescent="0.3">
      <c r="B782" s="44">
        <v>45934</v>
      </c>
      <c r="C782" s="3" t="s">
        <v>416</v>
      </c>
      <c r="D782" s="3" t="s">
        <v>590</v>
      </c>
      <c r="E782" s="42"/>
      <c r="F782" s="3" t="s">
        <v>474</v>
      </c>
      <c r="G782" s="3" t="s">
        <v>317</v>
      </c>
      <c r="H782" s="4">
        <v>3200700</v>
      </c>
      <c r="I782" s="4" t="s">
        <v>479</v>
      </c>
      <c r="J782" s="4" t="s">
        <v>284</v>
      </c>
      <c r="K782" s="4">
        <v>3210904</v>
      </c>
    </row>
    <row r="783" spans="2:11" s="3" customFormat="1" x14ac:dyDescent="0.3">
      <c r="B783" s="44">
        <v>45934</v>
      </c>
      <c r="C783" s="3" t="s">
        <v>416</v>
      </c>
      <c r="D783" s="3" t="s">
        <v>489</v>
      </c>
      <c r="E783" s="4"/>
      <c r="F783" s="4" t="s">
        <v>474</v>
      </c>
      <c r="G783" s="4" t="s">
        <v>130</v>
      </c>
      <c r="H783" s="4">
        <v>3352405</v>
      </c>
      <c r="I783" s="3" t="s">
        <v>678</v>
      </c>
      <c r="J783" s="3" t="s">
        <v>131</v>
      </c>
      <c r="K783" s="4">
        <v>3350605</v>
      </c>
    </row>
    <row r="784" spans="2:11" s="3" customFormat="1" x14ac:dyDescent="0.3">
      <c r="B784" s="44">
        <v>45934</v>
      </c>
      <c r="C784" s="3" t="s">
        <v>416</v>
      </c>
      <c r="D784" s="3" t="s">
        <v>68</v>
      </c>
      <c r="E784" s="42"/>
      <c r="F784" s="3" t="s">
        <v>474</v>
      </c>
      <c r="G784" s="3" t="s">
        <v>383</v>
      </c>
      <c r="H784" s="4">
        <v>3200502</v>
      </c>
      <c r="I784" s="4" t="s">
        <v>649</v>
      </c>
      <c r="J784" s="4" t="s">
        <v>456</v>
      </c>
      <c r="K784" s="4">
        <v>3545602</v>
      </c>
    </row>
    <row r="785" spans="1:43" s="3" customFormat="1" x14ac:dyDescent="0.3">
      <c r="B785" s="44">
        <v>45934</v>
      </c>
      <c r="C785" s="3" t="s">
        <v>416</v>
      </c>
      <c r="D785" s="3" t="s">
        <v>610</v>
      </c>
      <c r="E785" s="42"/>
      <c r="F785" s="3" t="s">
        <v>714</v>
      </c>
      <c r="G785" s="3" t="s">
        <v>352</v>
      </c>
      <c r="H785" s="4">
        <v>3197208</v>
      </c>
      <c r="I785" s="4" t="s">
        <v>666</v>
      </c>
      <c r="J785" s="4" t="s">
        <v>348</v>
      </c>
      <c r="K785" s="4">
        <v>3205903</v>
      </c>
    </row>
    <row r="786" spans="1:43" s="3" customFormat="1" x14ac:dyDescent="0.3">
      <c r="B786" s="44">
        <v>45934</v>
      </c>
      <c r="C786" s="3" t="s">
        <v>416</v>
      </c>
      <c r="D786" s="4" t="s">
        <v>614</v>
      </c>
      <c r="E786" s="42"/>
      <c r="F786" s="3" t="s">
        <v>714</v>
      </c>
      <c r="G786" s="3" t="s">
        <v>454</v>
      </c>
      <c r="H786" s="4">
        <v>3820300</v>
      </c>
      <c r="I786" s="4" t="s">
        <v>675</v>
      </c>
      <c r="J786" s="4" t="s">
        <v>403</v>
      </c>
      <c r="K786" s="4">
        <v>3198509</v>
      </c>
    </row>
    <row r="787" spans="1:43" s="3" customFormat="1" x14ac:dyDescent="0.3">
      <c r="B787" s="44">
        <v>45934</v>
      </c>
      <c r="C787" s="3" t="s">
        <v>416</v>
      </c>
      <c r="D787" s="3" t="s">
        <v>590</v>
      </c>
      <c r="E787" s="42"/>
      <c r="F787" s="4" t="s">
        <v>650</v>
      </c>
      <c r="G787" s="4" t="s">
        <v>277</v>
      </c>
      <c r="H787" s="4">
        <v>3088400</v>
      </c>
      <c r="I787" s="4" t="s">
        <v>471</v>
      </c>
      <c r="J787" s="4" t="s">
        <v>291</v>
      </c>
      <c r="K787" s="4">
        <v>3196709</v>
      </c>
    </row>
    <row r="788" spans="1:43" s="3" customFormat="1" x14ac:dyDescent="0.3">
      <c r="B788" s="44">
        <v>45934</v>
      </c>
      <c r="C788" s="3" t="s">
        <v>416</v>
      </c>
      <c r="D788" s="3" t="s">
        <v>610</v>
      </c>
      <c r="E788" s="42"/>
      <c r="F788" s="3" t="s">
        <v>650</v>
      </c>
      <c r="G788" s="3" t="s">
        <v>353</v>
      </c>
      <c r="H788" s="4">
        <v>3200200</v>
      </c>
      <c r="I788" s="4" t="s">
        <v>675</v>
      </c>
      <c r="J788" s="4" t="s">
        <v>450</v>
      </c>
      <c r="K788" s="4">
        <v>3198405</v>
      </c>
    </row>
    <row r="789" spans="1:43" s="3" customFormat="1" x14ac:dyDescent="0.3">
      <c r="B789" s="44">
        <v>45934</v>
      </c>
      <c r="C789" s="3" t="s">
        <v>416</v>
      </c>
      <c r="D789" s="3" t="s">
        <v>69</v>
      </c>
      <c r="E789" s="42"/>
      <c r="F789" s="3" t="s">
        <v>656</v>
      </c>
      <c r="G789" s="3" t="s">
        <v>361</v>
      </c>
      <c r="H789" s="4">
        <v>3200002</v>
      </c>
      <c r="I789" s="3" t="s">
        <v>663</v>
      </c>
      <c r="J789" s="3" t="s">
        <v>362</v>
      </c>
      <c r="K789" s="4">
        <v>3197406</v>
      </c>
    </row>
    <row r="790" spans="1:43" s="3" customFormat="1" x14ac:dyDescent="0.3">
      <c r="B790" s="44">
        <v>45934</v>
      </c>
      <c r="C790" s="3" t="s">
        <v>416</v>
      </c>
      <c r="D790" s="3" t="s">
        <v>59</v>
      </c>
      <c r="E790" s="42"/>
      <c r="F790" s="3" t="s">
        <v>710</v>
      </c>
      <c r="G790" s="3" t="s">
        <v>279</v>
      </c>
      <c r="H790" s="4">
        <v>3199706</v>
      </c>
      <c r="I790" s="4" t="s">
        <v>656</v>
      </c>
      <c r="J790" s="4" t="s">
        <v>278</v>
      </c>
      <c r="K790" s="4">
        <v>3199800</v>
      </c>
    </row>
    <row r="791" spans="1:43" s="3" customFormat="1" x14ac:dyDescent="0.3">
      <c r="B791" s="44">
        <v>45934</v>
      </c>
      <c r="C791" s="3" t="s">
        <v>416</v>
      </c>
      <c r="D791" s="3" t="s">
        <v>496</v>
      </c>
      <c r="E791" s="42"/>
      <c r="F791" s="3" t="s">
        <v>710</v>
      </c>
      <c r="G791" s="3" t="s">
        <v>462</v>
      </c>
      <c r="H791" s="4">
        <v>3352207</v>
      </c>
      <c r="I791" s="3" t="s">
        <v>650</v>
      </c>
      <c r="J791" s="3" t="s">
        <v>205</v>
      </c>
      <c r="K791" s="74">
        <v>3351906</v>
      </c>
    </row>
    <row r="792" spans="1:43" s="3" customFormat="1" x14ac:dyDescent="0.3">
      <c r="B792" s="44">
        <v>45934</v>
      </c>
      <c r="C792" s="3" t="s">
        <v>416</v>
      </c>
      <c r="D792" s="3" t="s">
        <v>499</v>
      </c>
      <c r="E792" s="42"/>
      <c r="F792" s="3" t="s">
        <v>710</v>
      </c>
      <c r="G792" s="3" t="s">
        <v>230</v>
      </c>
      <c r="H792" s="4">
        <v>3900609</v>
      </c>
      <c r="I792" s="3" t="s">
        <v>650</v>
      </c>
      <c r="J792" s="3" t="s">
        <v>571</v>
      </c>
      <c r="K792" s="4">
        <v>3900505</v>
      </c>
      <c r="M792" s="51"/>
    </row>
    <row r="793" spans="1:43" s="3" customFormat="1" x14ac:dyDescent="0.3">
      <c r="A793" s="4"/>
      <c r="B793" s="100">
        <v>45934</v>
      </c>
      <c r="C793" s="98" t="s">
        <v>553</v>
      </c>
      <c r="D793" s="4" t="s">
        <v>512</v>
      </c>
      <c r="E793" s="4"/>
      <c r="F793" s="73" t="s">
        <v>477</v>
      </c>
      <c r="G793" s="73" t="s">
        <v>477</v>
      </c>
      <c r="H793" s="73"/>
      <c r="I793" s="73" t="s">
        <v>533</v>
      </c>
      <c r="J793" s="73" t="s">
        <v>533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spans="1:43" s="3" customFormat="1" x14ac:dyDescent="0.3">
      <c r="B794" s="44">
        <v>45934</v>
      </c>
      <c r="C794" s="3" t="s">
        <v>416</v>
      </c>
      <c r="D794" s="3" t="s">
        <v>60</v>
      </c>
      <c r="E794" s="42"/>
      <c r="F794" s="3" t="s">
        <v>706</v>
      </c>
      <c r="G794" s="3" t="s">
        <v>299</v>
      </c>
      <c r="H794" s="4">
        <v>3199102</v>
      </c>
      <c r="I794" s="3" t="s">
        <v>473</v>
      </c>
      <c r="J794" s="3" t="s">
        <v>445</v>
      </c>
      <c r="K794" s="4">
        <v>3204102</v>
      </c>
    </row>
    <row r="795" spans="1:43" s="3" customFormat="1" x14ac:dyDescent="0.3">
      <c r="B795" s="44">
        <v>45934</v>
      </c>
      <c r="C795" s="3" t="s">
        <v>416</v>
      </c>
      <c r="D795" s="3" t="s">
        <v>504</v>
      </c>
      <c r="E795" s="42"/>
      <c r="F795" s="3" t="s">
        <v>645</v>
      </c>
      <c r="G795" s="3" t="s">
        <v>37</v>
      </c>
      <c r="H795" s="4">
        <v>3029903</v>
      </c>
      <c r="I795" s="4" t="s">
        <v>720</v>
      </c>
      <c r="J795" s="4" t="s">
        <v>13</v>
      </c>
      <c r="K795" s="4">
        <v>3125906</v>
      </c>
    </row>
    <row r="796" spans="1:43" s="3" customFormat="1" x14ac:dyDescent="0.3">
      <c r="B796" s="44">
        <v>45934</v>
      </c>
      <c r="C796" s="3" t="s">
        <v>416</v>
      </c>
      <c r="D796" s="3" t="s">
        <v>61</v>
      </c>
      <c r="E796" s="42"/>
      <c r="F796" s="4" t="s">
        <v>645</v>
      </c>
      <c r="G796" s="4" t="s">
        <v>309</v>
      </c>
      <c r="H796" s="4">
        <v>3082104</v>
      </c>
      <c r="I796" s="4" t="s">
        <v>477</v>
      </c>
      <c r="J796" s="4" t="s">
        <v>332</v>
      </c>
      <c r="K796" s="4">
        <v>3199206</v>
      </c>
    </row>
    <row r="797" spans="1:43" s="3" customFormat="1" x14ac:dyDescent="0.3">
      <c r="B797" s="44">
        <v>45934</v>
      </c>
      <c r="C797" s="3" t="s">
        <v>416</v>
      </c>
      <c r="D797" s="3" t="s">
        <v>487</v>
      </c>
      <c r="E797" s="4"/>
      <c r="F797" s="4" t="s">
        <v>645</v>
      </c>
      <c r="G797" s="4" t="s">
        <v>114</v>
      </c>
      <c r="H797" s="4">
        <v>3351000</v>
      </c>
      <c r="I797" s="4" t="s">
        <v>721</v>
      </c>
      <c r="J797" s="4" t="s">
        <v>124</v>
      </c>
      <c r="K797" s="4">
        <v>3267501</v>
      </c>
    </row>
    <row r="798" spans="1:43" s="3" customFormat="1" x14ac:dyDescent="0.3">
      <c r="B798" s="44">
        <v>45934</v>
      </c>
      <c r="C798" s="3" t="s">
        <v>416</v>
      </c>
      <c r="D798" s="3" t="s">
        <v>63</v>
      </c>
      <c r="E798" s="42"/>
      <c r="F798" s="104" t="s">
        <v>645</v>
      </c>
      <c r="G798" s="104" t="s">
        <v>333</v>
      </c>
      <c r="H798" s="74">
        <v>3198801</v>
      </c>
      <c r="I798" s="3" t="s">
        <v>683</v>
      </c>
      <c r="J798" s="3" t="s">
        <v>368</v>
      </c>
      <c r="K798" s="74">
        <v>3203009</v>
      </c>
    </row>
    <row r="799" spans="1:43" s="3" customFormat="1" x14ac:dyDescent="0.3">
      <c r="B799" s="44">
        <v>45934</v>
      </c>
      <c r="C799" s="3" t="s">
        <v>416</v>
      </c>
      <c r="D799" s="3" t="s">
        <v>488</v>
      </c>
      <c r="E799" s="42"/>
      <c r="F799" s="3" t="s">
        <v>645</v>
      </c>
      <c r="G799" s="3" t="s">
        <v>123</v>
      </c>
      <c r="H799" s="4">
        <v>3351104</v>
      </c>
      <c r="I799" s="4" t="s">
        <v>698</v>
      </c>
      <c r="J799" s="4" t="s">
        <v>561</v>
      </c>
      <c r="K799" s="4" t="s">
        <v>563</v>
      </c>
    </row>
    <row r="800" spans="1:43" s="3" customFormat="1" x14ac:dyDescent="0.3">
      <c r="B800" s="44">
        <v>45934</v>
      </c>
      <c r="C800" s="3" t="s">
        <v>416</v>
      </c>
      <c r="D800" s="3" t="s">
        <v>491</v>
      </c>
      <c r="E800" s="42"/>
      <c r="F800" s="3" t="s">
        <v>645</v>
      </c>
      <c r="G800" s="3" t="s">
        <v>152</v>
      </c>
      <c r="H800" s="4">
        <v>3351302</v>
      </c>
      <c r="I800" s="4" t="s">
        <v>709</v>
      </c>
      <c r="J800" s="4" t="s">
        <v>566</v>
      </c>
      <c r="K800" s="4">
        <v>3560703</v>
      </c>
    </row>
    <row r="801" spans="2:13" s="3" customFormat="1" x14ac:dyDescent="0.3">
      <c r="B801" s="44">
        <v>45934</v>
      </c>
      <c r="C801" s="3" t="s">
        <v>416</v>
      </c>
      <c r="D801" s="3" t="s">
        <v>496</v>
      </c>
      <c r="E801" s="42"/>
      <c r="F801" s="4" t="s">
        <v>716</v>
      </c>
      <c r="G801" s="4" t="s">
        <v>427</v>
      </c>
      <c r="H801" s="4">
        <v>3351500</v>
      </c>
      <c r="I801" s="4" t="s">
        <v>710</v>
      </c>
      <c r="J801" s="4" t="s">
        <v>206</v>
      </c>
      <c r="K801" s="4">
        <v>3352103</v>
      </c>
    </row>
    <row r="802" spans="2:13" s="3" customFormat="1" x14ac:dyDescent="0.3">
      <c r="B802" s="44">
        <v>45934</v>
      </c>
      <c r="C802" s="3" t="s">
        <v>416</v>
      </c>
      <c r="D802" s="3" t="s">
        <v>610</v>
      </c>
      <c r="E802" s="42"/>
      <c r="F802" s="3" t="s">
        <v>716</v>
      </c>
      <c r="G802" s="3" t="s">
        <v>433</v>
      </c>
      <c r="H802" s="4">
        <v>3198905</v>
      </c>
      <c r="I802" s="4" t="s">
        <v>646</v>
      </c>
      <c r="J802" s="4" t="s">
        <v>350</v>
      </c>
      <c r="K802" s="4">
        <v>3202802</v>
      </c>
    </row>
    <row r="803" spans="2:13" s="3" customFormat="1" x14ac:dyDescent="0.3">
      <c r="B803" s="44">
        <v>45934</v>
      </c>
      <c r="C803" s="3" t="s">
        <v>416</v>
      </c>
      <c r="D803" s="3" t="s">
        <v>497</v>
      </c>
      <c r="E803" s="42"/>
      <c r="F803" s="3" t="s">
        <v>678</v>
      </c>
      <c r="G803" s="3" t="s">
        <v>172</v>
      </c>
      <c r="H803" s="74">
        <v>3350709</v>
      </c>
      <c r="I803" s="4" t="s">
        <v>654</v>
      </c>
      <c r="J803" s="4" t="s">
        <v>216</v>
      </c>
      <c r="K803" s="4">
        <v>3349808</v>
      </c>
    </row>
    <row r="804" spans="2:13" s="3" customFormat="1" x14ac:dyDescent="0.3">
      <c r="B804" s="44">
        <v>45934</v>
      </c>
      <c r="C804" s="3" t="s">
        <v>416</v>
      </c>
      <c r="D804" s="3" t="s">
        <v>496</v>
      </c>
      <c r="E804" s="42"/>
      <c r="F804" s="3" t="s">
        <v>675</v>
      </c>
      <c r="G804" s="3" t="s">
        <v>198</v>
      </c>
      <c r="H804" s="4">
        <v>3350803</v>
      </c>
      <c r="I804" s="3" t="s">
        <v>671</v>
      </c>
      <c r="J804" s="3" t="s">
        <v>203</v>
      </c>
      <c r="K804" s="4">
        <v>3359304</v>
      </c>
    </row>
    <row r="805" spans="2:13" s="3" customFormat="1" x14ac:dyDescent="0.3">
      <c r="B805" s="44">
        <v>45934</v>
      </c>
      <c r="C805" s="3" t="s">
        <v>416</v>
      </c>
      <c r="D805" s="3" t="s">
        <v>590</v>
      </c>
      <c r="E805" s="42"/>
      <c r="F805" s="4" t="s">
        <v>691</v>
      </c>
      <c r="G805" s="4" t="s">
        <v>289</v>
      </c>
      <c r="H805" s="4">
        <v>3068804</v>
      </c>
      <c r="I805" s="3" t="s">
        <v>648</v>
      </c>
      <c r="J805" s="3" t="s">
        <v>449</v>
      </c>
      <c r="K805" s="4">
        <v>3961500</v>
      </c>
    </row>
    <row r="806" spans="2:13" s="3" customFormat="1" x14ac:dyDescent="0.3">
      <c r="B806" s="44">
        <v>45934</v>
      </c>
      <c r="C806" s="3" t="s">
        <v>416</v>
      </c>
      <c r="D806" s="3" t="s">
        <v>65</v>
      </c>
      <c r="E806" s="42"/>
      <c r="F806" s="15" t="s">
        <v>691</v>
      </c>
      <c r="G806" s="15" t="s">
        <v>327</v>
      </c>
      <c r="H806" s="74">
        <v>3198603</v>
      </c>
      <c r="I806" s="4" t="s">
        <v>693</v>
      </c>
      <c r="J806" s="4" t="s">
        <v>357</v>
      </c>
      <c r="K806" s="4">
        <v>3206704</v>
      </c>
    </row>
    <row r="807" spans="2:13" s="3" customFormat="1" x14ac:dyDescent="0.3">
      <c r="B807" s="44">
        <v>45934</v>
      </c>
      <c r="C807" s="3" t="s">
        <v>416</v>
      </c>
      <c r="D807" s="3" t="s">
        <v>500</v>
      </c>
      <c r="E807" s="42"/>
      <c r="F807" s="3" t="s">
        <v>691</v>
      </c>
      <c r="G807" s="3" t="s">
        <v>238</v>
      </c>
      <c r="H807" s="4">
        <v>3350105</v>
      </c>
      <c r="I807" s="4" t="s">
        <v>672</v>
      </c>
      <c r="J807" s="4" t="s">
        <v>187</v>
      </c>
      <c r="K807" s="4">
        <v>3354101</v>
      </c>
    </row>
    <row r="808" spans="2:13" s="3" customFormat="1" x14ac:dyDescent="0.3">
      <c r="B808" s="44">
        <v>45934</v>
      </c>
      <c r="C808" s="3" t="s">
        <v>416</v>
      </c>
      <c r="D808" s="3" t="s">
        <v>494</v>
      </c>
      <c r="E808" s="42"/>
      <c r="F808" s="3" t="s">
        <v>689</v>
      </c>
      <c r="G808" s="3" t="s">
        <v>189</v>
      </c>
      <c r="H808" s="4">
        <v>3350209</v>
      </c>
      <c r="I808" s="3" t="s">
        <v>692</v>
      </c>
      <c r="J808" s="3" t="s">
        <v>144</v>
      </c>
      <c r="K808" s="4">
        <v>3347904</v>
      </c>
    </row>
    <row r="809" spans="2:13" s="3" customFormat="1" x14ac:dyDescent="0.3">
      <c r="B809" s="44">
        <v>45934</v>
      </c>
      <c r="C809" s="3" t="s">
        <v>416</v>
      </c>
      <c r="D809" s="3" t="s">
        <v>498</v>
      </c>
      <c r="E809" s="42"/>
      <c r="F809" s="3" t="s">
        <v>689</v>
      </c>
      <c r="G809" s="3" t="s">
        <v>468</v>
      </c>
      <c r="H809" s="4">
        <v>3349902</v>
      </c>
      <c r="I809" s="3" t="s">
        <v>714</v>
      </c>
      <c r="J809" s="3" t="s">
        <v>222</v>
      </c>
      <c r="K809" s="4">
        <v>3348507</v>
      </c>
    </row>
    <row r="810" spans="2:13" s="3" customFormat="1" x14ac:dyDescent="0.3">
      <c r="B810" s="44">
        <v>45934</v>
      </c>
      <c r="C810" s="3" t="s">
        <v>416</v>
      </c>
      <c r="D810" s="3" t="s">
        <v>70</v>
      </c>
      <c r="E810" s="42"/>
      <c r="F810" s="3" t="s">
        <v>689</v>
      </c>
      <c r="G810" s="3" t="s">
        <v>404</v>
      </c>
      <c r="H810" s="53">
        <v>3196605</v>
      </c>
      <c r="I810" s="3" t="s">
        <v>475</v>
      </c>
      <c r="J810" s="3" t="s">
        <v>371</v>
      </c>
      <c r="K810" s="53">
        <v>3212006</v>
      </c>
    </row>
    <row r="811" spans="2:13" s="3" customFormat="1" x14ac:dyDescent="0.3">
      <c r="B811" s="44">
        <v>45934</v>
      </c>
      <c r="C811" s="3" t="s">
        <v>416</v>
      </c>
      <c r="D811" s="3" t="s">
        <v>501</v>
      </c>
      <c r="E811" s="42"/>
      <c r="F811" s="3" t="s">
        <v>689</v>
      </c>
      <c r="G811" s="3" t="s">
        <v>581</v>
      </c>
      <c r="H811" s="4">
        <v>4022804</v>
      </c>
      <c r="I811" s="3" t="s">
        <v>689</v>
      </c>
      <c r="J811" s="3" t="s">
        <v>580</v>
      </c>
      <c r="K811" s="4">
        <v>3350001</v>
      </c>
      <c r="M811" s="51"/>
    </row>
    <row r="812" spans="2:13" s="3" customFormat="1" x14ac:dyDescent="0.3">
      <c r="B812" s="44">
        <v>45934</v>
      </c>
      <c r="C812" s="3" t="s">
        <v>416</v>
      </c>
      <c r="D812" s="3" t="s">
        <v>490</v>
      </c>
      <c r="E812" s="4"/>
      <c r="F812" s="3" t="s">
        <v>654</v>
      </c>
      <c r="G812" s="3" t="s">
        <v>143</v>
      </c>
      <c r="H812" s="4">
        <v>3349704</v>
      </c>
      <c r="I812" s="4" t="s">
        <v>479</v>
      </c>
      <c r="J812" s="4" t="s">
        <v>166</v>
      </c>
      <c r="K812" s="4">
        <v>3361006</v>
      </c>
    </row>
    <row r="813" spans="2:13" s="3" customFormat="1" x14ac:dyDescent="0.3">
      <c r="B813" s="44">
        <v>45934</v>
      </c>
      <c r="C813" s="3" t="s">
        <v>416</v>
      </c>
      <c r="D813" s="3" t="s">
        <v>497</v>
      </c>
      <c r="E813" s="42"/>
      <c r="F813" s="3" t="s">
        <v>654</v>
      </c>
      <c r="G813" s="3" t="s">
        <v>438</v>
      </c>
      <c r="H813" s="74">
        <v>3906207</v>
      </c>
      <c r="I813" s="17" t="s">
        <v>657</v>
      </c>
      <c r="J813" s="17" t="s">
        <v>213</v>
      </c>
      <c r="K813" s="74">
        <v>3359502</v>
      </c>
    </row>
    <row r="814" spans="2:13" s="3" customFormat="1" x14ac:dyDescent="0.3">
      <c r="B814" s="44">
        <v>45934</v>
      </c>
      <c r="C814" s="3" t="s">
        <v>416</v>
      </c>
      <c r="D814" s="3" t="s">
        <v>489</v>
      </c>
      <c r="E814" s="4"/>
      <c r="F814" s="4" t="s">
        <v>712</v>
      </c>
      <c r="G814" s="4" t="s">
        <v>132</v>
      </c>
      <c r="H814" s="4">
        <v>3068304</v>
      </c>
      <c r="I814" s="4" t="s">
        <v>685</v>
      </c>
      <c r="J814" s="4" t="s">
        <v>160</v>
      </c>
      <c r="K814" s="4">
        <v>3353008</v>
      </c>
    </row>
    <row r="815" spans="2:13" s="3" customFormat="1" x14ac:dyDescent="0.3">
      <c r="B815" s="44">
        <v>45934</v>
      </c>
      <c r="C815" s="3" t="s">
        <v>416</v>
      </c>
      <c r="D815" s="3" t="s">
        <v>63</v>
      </c>
      <c r="E815" s="42"/>
      <c r="F815" s="104" t="s">
        <v>712</v>
      </c>
      <c r="G815" s="104" t="s">
        <v>334</v>
      </c>
      <c r="H815" s="74">
        <v>3198009</v>
      </c>
      <c r="I815" s="3" t="s">
        <v>680</v>
      </c>
      <c r="J815" s="3" t="s">
        <v>329</v>
      </c>
      <c r="K815" s="74">
        <v>3208108</v>
      </c>
    </row>
    <row r="816" spans="2:13" s="3" customFormat="1" x14ac:dyDescent="0.3">
      <c r="B816" s="44">
        <v>45934</v>
      </c>
      <c r="C816" s="3" t="s">
        <v>416</v>
      </c>
      <c r="D816" s="4" t="s">
        <v>614</v>
      </c>
      <c r="E816" s="42"/>
      <c r="F816" s="3" t="s">
        <v>713</v>
      </c>
      <c r="G816" s="3" t="s">
        <v>386</v>
      </c>
      <c r="H816" s="4">
        <v>3900807</v>
      </c>
      <c r="I816" s="4" t="s">
        <v>713</v>
      </c>
      <c r="J816" s="4" t="s">
        <v>623</v>
      </c>
      <c r="K816" s="4">
        <v>3819305</v>
      </c>
    </row>
    <row r="817" spans="2:13" s="3" customFormat="1" x14ac:dyDescent="0.3">
      <c r="B817" s="44">
        <v>45934</v>
      </c>
      <c r="C817" s="3" t="s">
        <v>416</v>
      </c>
      <c r="D817" s="3" t="s">
        <v>487</v>
      </c>
      <c r="E817" s="4"/>
      <c r="F817" s="3" t="s">
        <v>663</v>
      </c>
      <c r="G817" s="3" t="s">
        <v>419</v>
      </c>
      <c r="H817" s="4">
        <v>3349204</v>
      </c>
      <c r="I817" s="4" t="s">
        <v>657</v>
      </c>
      <c r="J817" s="4" t="s">
        <v>107</v>
      </c>
      <c r="K817" s="4">
        <v>3068408</v>
      </c>
    </row>
    <row r="818" spans="2:13" s="3" customFormat="1" x14ac:dyDescent="0.3">
      <c r="B818" s="44">
        <v>45934</v>
      </c>
      <c r="C818" s="3" t="s">
        <v>416</v>
      </c>
      <c r="D818" s="3" t="s">
        <v>65</v>
      </c>
      <c r="E818" s="42"/>
      <c r="F818" s="3" t="s">
        <v>663</v>
      </c>
      <c r="G818" s="3" t="s">
        <v>290</v>
      </c>
      <c r="H818" s="4">
        <v>3197500</v>
      </c>
      <c r="I818" s="4" t="s">
        <v>678</v>
      </c>
      <c r="J818" s="4" t="s">
        <v>452</v>
      </c>
      <c r="K818" s="4">
        <v>3198207</v>
      </c>
    </row>
    <row r="819" spans="2:13" s="3" customFormat="1" x14ac:dyDescent="0.3">
      <c r="B819" s="44">
        <v>45934</v>
      </c>
      <c r="C819" s="3" t="s">
        <v>416</v>
      </c>
      <c r="D819" s="3" t="s">
        <v>593</v>
      </c>
      <c r="E819" s="42"/>
      <c r="F819" s="3" t="s">
        <v>663</v>
      </c>
      <c r="G819" s="3" t="s">
        <v>396</v>
      </c>
      <c r="H819" s="4">
        <v>3197104</v>
      </c>
      <c r="I819" s="4" t="s">
        <v>693</v>
      </c>
      <c r="J819" s="4" t="s">
        <v>629</v>
      </c>
      <c r="K819" s="4">
        <v>3961708</v>
      </c>
    </row>
    <row r="820" spans="2:13" s="3" customFormat="1" x14ac:dyDescent="0.3">
      <c r="B820" s="44">
        <v>45934</v>
      </c>
      <c r="C820" s="3" t="s">
        <v>416</v>
      </c>
      <c r="D820" s="3" t="s">
        <v>504</v>
      </c>
      <c r="E820" s="42"/>
      <c r="F820" s="3" t="s">
        <v>471</v>
      </c>
      <c r="G820" s="3" t="s">
        <v>14</v>
      </c>
      <c r="H820" s="4">
        <v>3348601</v>
      </c>
      <c r="I820" s="3" t="s">
        <v>662</v>
      </c>
      <c r="J820" s="3" t="s">
        <v>99</v>
      </c>
      <c r="K820" s="4">
        <v>3125604</v>
      </c>
    </row>
    <row r="821" spans="2:13" s="3" customFormat="1" x14ac:dyDescent="0.3">
      <c r="B821" s="44">
        <v>45934</v>
      </c>
      <c r="C821" s="3" t="s">
        <v>416</v>
      </c>
      <c r="D821" s="3" t="s">
        <v>493</v>
      </c>
      <c r="E821" s="42"/>
      <c r="F821" s="3" t="s">
        <v>471</v>
      </c>
      <c r="G821" s="3" t="s">
        <v>174</v>
      </c>
      <c r="H821" s="4">
        <v>3348101</v>
      </c>
      <c r="I821" s="4" t="s">
        <v>479</v>
      </c>
      <c r="J821" s="4" t="s">
        <v>210</v>
      </c>
      <c r="K821" s="4">
        <v>3361100</v>
      </c>
    </row>
    <row r="822" spans="2:13" s="3" customFormat="1" x14ac:dyDescent="0.3">
      <c r="B822" s="44">
        <v>45934</v>
      </c>
      <c r="C822" s="3" t="s">
        <v>416</v>
      </c>
      <c r="D822" s="3" t="s">
        <v>62</v>
      </c>
      <c r="E822" s="42"/>
      <c r="F822" s="3" t="s">
        <v>471</v>
      </c>
      <c r="G822" s="3" t="s">
        <v>328</v>
      </c>
      <c r="H822" s="4">
        <v>3196803</v>
      </c>
      <c r="I822" s="4" t="s">
        <v>479</v>
      </c>
      <c r="J822" s="4" t="s">
        <v>319</v>
      </c>
      <c r="K822" s="4">
        <v>3210508</v>
      </c>
    </row>
    <row r="823" spans="2:13" s="3" customFormat="1" x14ac:dyDescent="0.3">
      <c r="B823" s="44">
        <v>45934</v>
      </c>
      <c r="C823" s="3" t="s">
        <v>416</v>
      </c>
      <c r="D823" s="3" t="s">
        <v>65</v>
      </c>
      <c r="E823" s="42"/>
      <c r="F823" s="3" t="s">
        <v>471</v>
      </c>
      <c r="G823" s="3" t="s">
        <v>363</v>
      </c>
      <c r="H823" s="4">
        <v>3196907</v>
      </c>
      <c r="I823" s="4" t="s">
        <v>676</v>
      </c>
      <c r="J823" s="4" t="s">
        <v>356</v>
      </c>
      <c r="K823" s="4">
        <v>3208608</v>
      </c>
    </row>
    <row r="824" spans="2:13" s="3" customFormat="1" x14ac:dyDescent="0.3">
      <c r="B824" s="44">
        <v>45934</v>
      </c>
      <c r="C824" s="3" t="s">
        <v>416</v>
      </c>
      <c r="D824" s="3" t="s">
        <v>493</v>
      </c>
      <c r="E824" s="42"/>
      <c r="F824" s="3" t="s">
        <v>471</v>
      </c>
      <c r="G824" s="3" t="s">
        <v>217</v>
      </c>
      <c r="H824" s="4">
        <v>3348309</v>
      </c>
      <c r="I824" s="4" t="s">
        <v>701</v>
      </c>
      <c r="J824" s="4" t="s">
        <v>171</v>
      </c>
      <c r="K824" s="4">
        <v>3355600</v>
      </c>
    </row>
    <row r="825" spans="2:13" s="3" customFormat="1" x14ac:dyDescent="0.3">
      <c r="B825" s="44">
        <v>45934</v>
      </c>
      <c r="C825" s="3" t="s">
        <v>416</v>
      </c>
      <c r="D825" s="3" t="s">
        <v>500</v>
      </c>
      <c r="E825" s="42"/>
      <c r="F825" s="3" t="s">
        <v>471</v>
      </c>
      <c r="G825" s="3" t="s">
        <v>467</v>
      </c>
      <c r="H825" s="4">
        <v>3819409</v>
      </c>
      <c r="I825" s="4" t="s">
        <v>701</v>
      </c>
      <c r="J825" s="4" t="s">
        <v>236</v>
      </c>
      <c r="K825" s="4">
        <v>3355704</v>
      </c>
    </row>
    <row r="826" spans="2:13" s="3" customFormat="1" x14ac:dyDescent="0.3">
      <c r="B826" s="44">
        <v>45934</v>
      </c>
      <c r="C826" s="3" t="s">
        <v>416</v>
      </c>
      <c r="D826" s="3" t="s">
        <v>64</v>
      </c>
      <c r="E826" s="42">
        <v>4370907</v>
      </c>
      <c r="F826" s="3" t="s">
        <v>692</v>
      </c>
      <c r="G826" s="3" t="s">
        <v>342</v>
      </c>
      <c r="H826" s="4">
        <v>3196501</v>
      </c>
      <c r="I826" s="4" t="s">
        <v>662</v>
      </c>
      <c r="J826" s="4" t="s">
        <v>372</v>
      </c>
      <c r="K826" s="4">
        <v>3207703</v>
      </c>
    </row>
    <row r="827" spans="2:13" s="3" customFormat="1" x14ac:dyDescent="0.3">
      <c r="B827" s="44">
        <v>45934</v>
      </c>
      <c r="C827" s="3" t="s">
        <v>416</v>
      </c>
      <c r="D827" s="3" t="s">
        <v>501</v>
      </c>
      <c r="E827" s="42"/>
      <c r="F827" s="3" t="s">
        <v>692</v>
      </c>
      <c r="G827" s="3" t="s">
        <v>582</v>
      </c>
      <c r="H827" s="53">
        <v>3900901</v>
      </c>
      <c r="I827" s="3" t="s">
        <v>682</v>
      </c>
      <c r="J827" s="3" t="s">
        <v>579</v>
      </c>
      <c r="K827" s="53">
        <v>3970007</v>
      </c>
      <c r="M827" s="51"/>
    </row>
    <row r="828" spans="2:13" s="3" customFormat="1" x14ac:dyDescent="0.3">
      <c r="B828" s="44">
        <v>45934</v>
      </c>
      <c r="C828" s="3" t="s">
        <v>416</v>
      </c>
      <c r="D828" s="3" t="s">
        <v>491</v>
      </c>
      <c r="E828" s="42"/>
      <c r="F828" s="3" t="s">
        <v>698</v>
      </c>
      <c r="G828" s="3" t="s">
        <v>567</v>
      </c>
      <c r="H828" s="4" t="s">
        <v>556</v>
      </c>
      <c r="I828" s="4" t="s">
        <v>645</v>
      </c>
      <c r="J828" s="4" t="s">
        <v>464</v>
      </c>
      <c r="K828" s="4">
        <v>3351406</v>
      </c>
    </row>
    <row r="829" spans="2:13" s="3" customFormat="1" x14ac:dyDescent="0.3">
      <c r="B829" s="44">
        <v>45934</v>
      </c>
      <c r="C829" s="3" t="s">
        <v>416</v>
      </c>
      <c r="D829" s="3" t="s">
        <v>60</v>
      </c>
      <c r="E829" s="42"/>
      <c r="F829" s="3" t="s">
        <v>698</v>
      </c>
      <c r="G829" s="3" t="s">
        <v>595</v>
      </c>
      <c r="H829" s="4" t="s">
        <v>563</v>
      </c>
      <c r="I829" s="3" t="s">
        <v>695</v>
      </c>
      <c r="J829" s="3" t="s">
        <v>296</v>
      </c>
      <c r="K829" s="4">
        <v>3203905</v>
      </c>
    </row>
    <row r="830" spans="2:13" s="3" customFormat="1" x14ac:dyDescent="0.3">
      <c r="B830" s="44">
        <v>45934</v>
      </c>
      <c r="C830" s="3" t="s">
        <v>416</v>
      </c>
      <c r="D830" s="3" t="s">
        <v>495</v>
      </c>
      <c r="E830" s="42"/>
      <c r="F830" s="3" t="s">
        <v>699</v>
      </c>
      <c r="G830" s="3" t="s">
        <v>569</v>
      </c>
      <c r="H830" s="4">
        <v>3125708</v>
      </c>
      <c r="I830" s="3" t="s">
        <v>673</v>
      </c>
      <c r="J830" s="3" t="s">
        <v>200</v>
      </c>
      <c r="K830" s="53">
        <v>3901004</v>
      </c>
    </row>
    <row r="831" spans="2:13" s="3" customFormat="1" x14ac:dyDescent="0.3">
      <c r="B831" s="44">
        <v>45934</v>
      </c>
      <c r="C831" s="3" t="s">
        <v>416</v>
      </c>
      <c r="D831" s="3" t="s">
        <v>590</v>
      </c>
      <c r="E831" s="42"/>
      <c r="F831" s="3" t="s">
        <v>699</v>
      </c>
      <c r="G831" s="3" t="s">
        <v>594</v>
      </c>
      <c r="H831" s="4">
        <v>3196407</v>
      </c>
      <c r="I831" s="4" t="s">
        <v>657</v>
      </c>
      <c r="J831" s="4" t="s">
        <v>321</v>
      </c>
      <c r="K831" s="4">
        <v>3209607</v>
      </c>
    </row>
    <row r="832" spans="2:13" s="3" customFormat="1" x14ac:dyDescent="0.3">
      <c r="B832" s="44">
        <v>45934</v>
      </c>
      <c r="C832" s="3" t="s">
        <v>416</v>
      </c>
      <c r="D832" s="4" t="s">
        <v>614</v>
      </c>
      <c r="E832" s="42"/>
      <c r="F832" s="3" t="s">
        <v>699</v>
      </c>
      <c r="G832" s="3" t="s">
        <v>624</v>
      </c>
      <c r="H832" s="4">
        <v>3196105</v>
      </c>
      <c r="I832" s="4" t="s">
        <v>674</v>
      </c>
      <c r="J832" s="4" t="s">
        <v>346</v>
      </c>
      <c r="K832" s="4">
        <v>3208900</v>
      </c>
    </row>
    <row r="833" spans="2:11" s="3" customFormat="1" x14ac:dyDescent="0.3">
      <c r="B833" s="44">
        <v>45934</v>
      </c>
      <c r="C833" s="3" t="s">
        <v>416</v>
      </c>
      <c r="D833" s="3" t="s">
        <v>486</v>
      </c>
      <c r="E833" s="42"/>
      <c r="F833" s="3" t="s">
        <v>681</v>
      </c>
      <c r="G833" s="3" t="s">
        <v>105</v>
      </c>
      <c r="H833" s="4">
        <v>3035809</v>
      </c>
      <c r="I833" s="4" t="s">
        <v>651</v>
      </c>
      <c r="J833" s="4" t="s">
        <v>97</v>
      </c>
      <c r="K833" s="4">
        <v>3362005</v>
      </c>
    </row>
    <row r="834" spans="2:11" s="3" customFormat="1" x14ac:dyDescent="0.3">
      <c r="B834" s="44">
        <v>45934</v>
      </c>
      <c r="C834" s="3" t="s">
        <v>416</v>
      </c>
      <c r="D834" s="3" t="s">
        <v>497</v>
      </c>
      <c r="E834" s="42"/>
      <c r="F834" s="3" t="s">
        <v>681</v>
      </c>
      <c r="G834" s="3" t="s">
        <v>175</v>
      </c>
      <c r="H834" s="74">
        <v>3347800</v>
      </c>
      <c r="I834" s="17" t="s">
        <v>653</v>
      </c>
      <c r="J834" s="17" t="s">
        <v>208</v>
      </c>
      <c r="K834" s="74">
        <v>3361308</v>
      </c>
    </row>
    <row r="835" spans="2:11" s="3" customFormat="1" x14ac:dyDescent="0.3">
      <c r="B835" s="44">
        <v>45934</v>
      </c>
      <c r="C835" s="3" t="s">
        <v>416</v>
      </c>
      <c r="D835" s="3" t="s">
        <v>69</v>
      </c>
      <c r="E835" s="42"/>
      <c r="F835" s="3" t="s">
        <v>681</v>
      </c>
      <c r="G835" s="3" t="s">
        <v>365</v>
      </c>
      <c r="H835" s="4">
        <v>3195804</v>
      </c>
      <c r="I835" s="3" t="s">
        <v>691</v>
      </c>
      <c r="J835" s="3" t="s">
        <v>395</v>
      </c>
      <c r="K835" s="4">
        <v>3197604</v>
      </c>
    </row>
    <row r="836" spans="2:11" s="3" customFormat="1" x14ac:dyDescent="0.3">
      <c r="B836" s="44">
        <v>45934</v>
      </c>
      <c r="C836" s="3" t="s">
        <v>416</v>
      </c>
      <c r="D836" s="3" t="s">
        <v>593</v>
      </c>
      <c r="E836" s="42"/>
      <c r="F836" s="3" t="s">
        <v>681</v>
      </c>
      <c r="G836" s="3" t="s">
        <v>397</v>
      </c>
      <c r="H836" s="4">
        <v>3195908</v>
      </c>
      <c r="I836" s="4" t="s">
        <v>701</v>
      </c>
      <c r="J836" s="4" t="s">
        <v>631</v>
      </c>
      <c r="K836" s="4">
        <v>4023209</v>
      </c>
    </row>
    <row r="837" spans="2:11" s="3" customFormat="1" x14ac:dyDescent="0.3">
      <c r="B837" s="44">
        <v>45934</v>
      </c>
      <c r="C837" s="3" t="s">
        <v>416</v>
      </c>
      <c r="D837" s="3" t="s">
        <v>64</v>
      </c>
      <c r="E837" s="42">
        <v>4370907</v>
      </c>
      <c r="F837" s="3" t="s">
        <v>670</v>
      </c>
      <c r="G837" s="3" t="s">
        <v>343</v>
      </c>
      <c r="H837" s="4">
        <v>3195606</v>
      </c>
      <c r="I837" s="4" t="s">
        <v>717</v>
      </c>
      <c r="J837" s="4" t="s">
        <v>432</v>
      </c>
      <c r="K837" s="4">
        <v>3195106</v>
      </c>
    </row>
    <row r="838" spans="2:11" s="3" customFormat="1" x14ac:dyDescent="0.3">
      <c r="B838" s="44">
        <v>45934</v>
      </c>
      <c r="C838" s="3" t="s">
        <v>416</v>
      </c>
      <c r="D838" s="3" t="s">
        <v>495</v>
      </c>
      <c r="E838" s="42"/>
      <c r="F838" s="3" t="s">
        <v>670</v>
      </c>
      <c r="G838" s="3" t="s">
        <v>224</v>
      </c>
      <c r="H838" s="4">
        <v>3347008</v>
      </c>
      <c r="I838" s="3" t="s">
        <v>712</v>
      </c>
      <c r="J838" s="3" t="s">
        <v>164</v>
      </c>
      <c r="K838" s="4">
        <v>3349402</v>
      </c>
    </row>
    <row r="839" spans="2:11" s="3" customFormat="1" x14ac:dyDescent="0.3">
      <c r="B839" s="44">
        <v>45934</v>
      </c>
      <c r="C839" s="3" t="s">
        <v>416</v>
      </c>
      <c r="D839" s="3" t="s">
        <v>64</v>
      </c>
      <c r="E839" s="42">
        <v>4370907</v>
      </c>
      <c r="F839" s="3" t="s">
        <v>673</v>
      </c>
      <c r="G839" s="3" t="s">
        <v>355</v>
      </c>
      <c r="H839" s="4">
        <v>3195002</v>
      </c>
      <c r="I839" s="4" t="s">
        <v>475</v>
      </c>
      <c r="J839" s="4" t="s">
        <v>310</v>
      </c>
      <c r="K839" s="4">
        <v>3212402</v>
      </c>
    </row>
    <row r="840" spans="2:11" s="3" customFormat="1" x14ac:dyDescent="0.3">
      <c r="B840" s="44">
        <v>45934</v>
      </c>
      <c r="C840" s="3" t="s">
        <v>416</v>
      </c>
      <c r="D840" s="4" t="s">
        <v>614</v>
      </c>
      <c r="E840" s="42"/>
      <c r="F840" s="3" t="s">
        <v>673</v>
      </c>
      <c r="G840" s="3" t="s">
        <v>455</v>
      </c>
      <c r="H840" s="4">
        <v>3961604</v>
      </c>
      <c r="I840" s="4" t="s">
        <v>710</v>
      </c>
      <c r="J840" s="4" t="s">
        <v>385</v>
      </c>
      <c r="K840" s="4">
        <v>3199602</v>
      </c>
    </row>
    <row r="841" spans="2:11" s="3" customFormat="1" x14ac:dyDescent="0.3">
      <c r="B841" s="44">
        <v>45934</v>
      </c>
      <c r="C841" s="3" t="s">
        <v>416</v>
      </c>
      <c r="D841" s="3" t="s">
        <v>67</v>
      </c>
      <c r="E841" s="42"/>
      <c r="F841" s="3" t="s">
        <v>717</v>
      </c>
      <c r="G841" s="3" t="s">
        <v>435</v>
      </c>
      <c r="H841" s="4">
        <v>3195200</v>
      </c>
      <c r="I841" s="4" t="s">
        <v>689</v>
      </c>
      <c r="J841" s="4" t="s">
        <v>341</v>
      </c>
      <c r="K841" s="4">
        <v>3197708</v>
      </c>
    </row>
    <row r="842" spans="2:11" s="3" customFormat="1" x14ac:dyDescent="0.3">
      <c r="B842" s="44">
        <v>45934</v>
      </c>
      <c r="C842" s="3" t="s">
        <v>416</v>
      </c>
      <c r="D842" s="3" t="s">
        <v>70</v>
      </c>
      <c r="E842" s="42"/>
      <c r="F842" s="3" t="s">
        <v>717</v>
      </c>
      <c r="G842" s="3" t="s">
        <v>434</v>
      </c>
      <c r="H842" s="4">
        <v>3195408</v>
      </c>
      <c r="I842" s="3" t="s">
        <v>662</v>
      </c>
      <c r="J842" s="3" t="s">
        <v>399</v>
      </c>
      <c r="K842" s="4">
        <v>3207401</v>
      </c>
    </row>
    <row r="843" spans="2:11" s="3" customFormat="1" x14ac:dyDescent="0.3">
      <c r="B843" s="44">
        <v>45934</v>
      </c>
      <c r="C843" s="3" t="s">
        <v>416</v>
      </c>
      <c r="D843" s="3" t="s">
        <v>489</v>
      </c>
      <c r="E843" s="4"/>
      <c r="F843" s="4" t="s">
        <v>679</v>
      </c>
      <c r="G843" s="4" t="s">
        <v>135</v>
      </c>
      <c r="H843" s="4">
        <v>3346603</v>
      </c>
      <c r="I843" s="4" t="s">
        <v>476</v>
      </c>
      <c r="J843" s="4" t="s">
        <v>128</v>
      </c>
      <c r="K843" s="4">
        <v>3357202</v>
      </c>
    </row>
    <row r="844" spans="2:11" s="3" customFormat="1" x14ac:dyDescent="0.3">
      <c r="B844" s="44">
        <v>45934</v>
      </c>
      <c r="C844" s="3" t="s">
        <v>416</v>
      </c>
      <c r="D844" s="3" t="s">
        <v>593</v>
      </c>
      <c r="E844" s="42"/>
      <c r="F844" s="3" t="s">
        <v>679</v>
      </c>
      <c r="G844" s="3" t="s">
        <v>633</v>
      </c>
      <c r="H844" s="4">
        <v>3194607</v>
      </c>
      <c r="I844" s="4" t="s">
        <v>694</v>
      </c>
      <c r="J844" s="4" t="s">
        <v>632</v>
      </c>
      <c r="K844" s="4">
        <v>4023303</v>
      </c>
    </row>
    <row r="845" spans="2:11" s="3" customFormat="1" x14ac:dyDescent="0.3">
      <c r="B845" s="44">
        <v>45934</v>
      </c>
      <c r="C845" s="3" t="s">
        <v>416</v>
      </c>
      <c r="D845" s="3" t="s">
        <v>58</v>
      </c>
      <c r="E845" s="42"/>
      <c r="F845" s="3" t="s">
        <v>721</v>
      </c>
      <c r="G845" s="3" t="s">
        <v>271</v>
      </c>
      <c r="H845" s="4">
        <v>3194701</v>
      </c>
      <c r="I845" s="3" t="s">
        <v>706</v>
      </c>
      <c r="J845" s="3" t="s">
        <v>269</v>
      </c>
      <c r="K845" s="4">
        <v>3069407</v>
      </c>
    </row>
    <row r="846" spans="2:11" s="3" customFormat="1" x14ac:dyDescent="0.3">
      <c r="B846" s="44">
        <v>45934</v>
      </c>
      <c r="C846" s="3" t="s">
        <v>416</v>
      </c>
      <c r="D846" s="3" t="s">
        <v>60</v>
      </c>
      <c r="E846" s="42"/>
      <c r="F846" s="3" t="s">
        <v>721</v>
      </c>
      <c r="G846" s="3" t="s">
        <v>300</v>
      </c>
      <c r="H846" s="4">
        <v>3194805</v>
      </c>
      <c r="I846" s="3" t="s">
        <v>668</v>
      </c>
      <c r="J846" s="3" t="s">
        <v>431</v>
      </c>
      <c r="K846" s="4">
        <v>3900703</v>
      </c>
    </row>
    <row r="847" spans="2:11" s="3" customFormat="1" x14ac:dyDescent="0.3">
      <c r="B847" s="44">
        <v>45934</v>
      </c>
      <c r="C847" s="3" t="s">
        <v>416</v>
      </c>
      <c r="D847" s="3" t="s">
        <v>56</v>
      </c>
      <c r="E847" s="42"/>
      <c r="F847" s="4" t="s">
        <v>688</v>
      </c>
      <c r="G847" s="4" t="s">
        <v>264</v>
      </c>
      <c r="H847" s="4">
        <v>3055603</v>
      </c>
      <c r="I847" s="3" t="s">
        <v>471</v>
      </c>
      <c r="J847" s="3" t="s">
        <v>254</v>
      </c>
      <c r="K847" s="4">
        <v>3068908</v>
      </c>
    </row>
    <row r="848" spans="2:11" s="3" customFormat="1" x14ac:dyDescent="0.3">
      <c r="B848" s="44">
        <v>45934</v>
      </c>
      <c r="C848" s="3" t="s">
        <v>416</v>
      </c>
      <c r="D848" s="3" t="s">
        <v>498</v>
      </c>
      <c r="E848" s="42"/>
      <c r="F848" s="3" t="s">
        <v>688</v>
      </c>
      <c r="G848" s="3" t="s">
        <v>146</v>
      </c>
      <c r="H848" s="53">
        <v>3346405</v>
      </c>
      <c r="I848" s="3" t="s">
        <v>475</v>
      </c>
      <c r="J848" s="3" t="s">
        <v>184</v>
      </c>
      <c r="K848" s="53">
        <v>3363004</v>
      </c>
    </row>
    <row r="849" spans="1:43" s="3" customFormat="1" x14ac:dyDescent="0.3">
      <c r="B849" s="44">
        <v>45934</v>
      </c>
      <c r="C849" s="3" t="s">
        <v>416</v>
      </c>
      <c r="D849" s="3" t="s">
        <v>67</v>
      </c>
      <c r="E849" s="42"/>
      <c r="F849" s="3" t="s">
        <v>688</v>
      </c>
      <c r="G849" s="3" t="s">
        <v>344</v>
      </c>
      <c r="H849" s="4">
        <v>3194909</v>
      </c>
      <c r="I849" s="4" t="s">
        <v>708</v>
      </c>
      <c r="J849" s="4" t="s">
        <v>339</v>
      </c>
      <c r="K849" s="4">
        <v>3204300</v>
      </c>
    </row>
    <row r="850" spans="1:43" s="3" customFormat="1" x14ac:dyDescent="0.3">
      <c r="B850" s="44">
        <v>45934</v>
      </c>
      <c r="C850" s="3" t="s">
        <v>416</v>
      </c>
      <c r="D850" s="3" t="s">
        <v>70</v>
      </c>
      <c r="E850" s="42"/>
      <c r="F850" s="3" t="s">
        <v>688</v>
      </c>
      <c r="G850" s="3" t="s">
        <v>460</v>
      </c>
      <c r="H850" s="4">
        <v>3194503</v>
      </c>
      <c r="I850" s="3" t="s">
        <v>692</v>
      </c>
      <c r="J850" s="3" t="s">
        <v>378</v>
      </c>
      <c r="K850" s="4">
        <v>3197802</v>
      </c>
    </row>
    <row r="851" spans="1:43" s="3" customFormat="1" x14ac:dyDescent="0.3">
      <c r="B851" s="44">
        <v>45934</v>
      </c>
      <c r="C851" s="3" t="s">
        <v>416</v>
      </c>
      <c r="D851" s="3" t="s">
        <v>487</v>
      </c>
      <c r="E851" s="4"/>
      <c r="F851" s="3" t="s">
        <v>647</v>
      </c>
      <c r="G851" s="3" t="s">
        <v>116</v>
      </c>
      <c r="H851" s="4">
        <v>3346009</v>
      </c>
      <c r="I851" s="4" t="s">
        <v>692</v>
      </c>
      <c r="J851" s="4" t="s">
        <v>115</v>
      </c>
      <c r="K851" s="4">
        <v>3068106</v>
      </c>
    </row>
    <row r="852" spans="1:43" s="3" customFormat="1" x14ac:dyDescent="0.3">
      <c r="B852" s="44">
        <v>45934</v>
      </c>
      <c r="C852" s="3" t="s">
        <v>416</v>
      </c>
      <c r="D852" s="3" t="s">
        <v>67</v>
      </c>
      <c r="E852" s="42"/>
      <c r="F852" s="3" t="s">
        <v>647</v>
      </c>
      <c r="G852" s="3" t="s">
        <v>345</v>
      </c>
      <c r="H852" s="4">
        <v>3194003</v>
      </c>
      <c r="I852" s="3" t="s">
        <v>570</v>
      </c>
      <c r="J852" s="3" t="s">
        <v>570</v>
      </c>
      <c r="K852" s="4" t="s">
        <v>556</v>
      </c>
    </row>
    <row r="853" spans="1:43" s="3" customFormat="1" x14ac:dyDescent="0.3">
      <c r="B853" s="44">
        <v>45934</v>
      </c>
      <c r="C853" s="3" t="s">
        <v>416</v>
      </c>
      <c r="D853" s="3" t="s">
        <v>592</v>
      </c>
      <c r="E853" s="42"/>
      <c r="F853" s="3" t="s">
        <v>647</v>
      </c>
      <c r="G853" s="3" t="s">
        <v>405</v>
      </c>
      <c r="H853" s="74">
        <v>3901108</v>
      </c>
      <c r="I853" s="3" t="s">
        <v>670</v>
      </c>
      <c r="J853" s="3" t="s">
        <v>636</v>
      </c>
      <c r="K853" s="74">
        <v>3195502</v>
      </c>
    </row>
    <row r="854" spans="1:43" s="3" customFormat="1" x14ac:dyDescent="0.3">
      <c r="B854" s="44">
        <v>45934</v>
      </c>
      <c r="C854" s="3" t="s">
        <v>416</v>
      </c>
      <c r="D854" s="3" t="s">
        <v>68</v>
      </c>
      <c r="E854" s="42"/>
      <c r="F854" s="3" t="s">
        <v>687</v>
      </c>
      <c r="G854" s="3" t="s">
        <v>391</v>
      </c>
      <c r="H854" s="4">
        <v>3193806</v>
      </c>
      <c r="I854" s="4" t="s">
        <v>652</v>
      </c>
      <c r="J854" s="4" t="s">
        <v>625</v>
      </c>
      <c r="K854" s="4">
        <v>3899803</v>
      </c>
    </row>
    <row r="855" spans="1:43" s="3" customFormat="1" x14ac:dyDescent="0.3">
      <c r="B855" s="44">
        <v>45934</v>
      </c>
      <c r="C855" s="3" t="s">
        <v>416</v>
      </c>
      <c r="D855" s="3" t="s">
        <v>499</v>
      </c>
      <c r="E855" s="42"/>
      <c r="F855" s="3" t="s">
        <v>687</v>
      </c>
      <c r="G855" s="3" t="s">
        <v>231</v>
      </c>
      <c r="H855" s="4">
        <v>3819503</v>
      </c>
      <c r="I855" s="3" t="s">
        <v>652</v>
      </c>
      <c r="J855" s="3" t="s">
        <v>573</v>
      </c>
      <c r="K855" s="4">
        <v>3818400</v>
      </c>
      <c r="M855" s="51"/>
    </row>
    <row r="856" spans="1:43" s="3" customFormat="1" x14ac:dyDescent="0.3">
      <c r="A856" s="4"/>
      <c r="B856" s="100">
        <v>45935</v>
      </c>
      <c r="C856" s="98" t="s">
        <v>553</v>
      </c>
      <c r="D856" s="4" t="s">
        <v>521</v>
      </c>
      <c r="E856" s="4"/>
      <c r="F856" s="73" t="s">
        <v>479</v>
      </c>
      <c r="G856" s="73" t="s">
        <v>479</v>
      </c>
      <c r="H856" s="73"/>
      <c r="I856" s="73" t="s">
        <v>535</v>
      </c>
      <c r="J856" s="73" t="s">
        <v>535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spans="1:43" s="3" customFormat="1" x14ac:dyDescent="0.3">
      <c r="A857" s="4"/>
      <c r="B857" s="100">
        <v>45935</v>
      </c>
      <c r="C857" s="98" t="s">
        <v>553</v>
      </c>
      <c r="D857" s="4" t="s">
        <v>521</v>
      </c>
      <c r="E857" s="4"/>
      <c r="F857" s="73" t="s">
        <v>472</v>
      </c>
      <c r="G857" s="73" t="s">
        <v>472</v>
      </c>
      <c r="H857" s="73"/>
      <c r="I857" s="73" t="s">
        <v>530</v>
      </c>
      <c r="J857" s="73" t="s">
        <v>530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spans="1:43" s="3" customFormat="1" x14ac:dyDescent="0.3">
      <c r="A858" s="4"/>
      <c r="B858" s="100">
        <v>45935</v>
      </c>
      <c r="C858" s="98" t="s">
        <v>553</v>
      </c>
      <c r="D858" s="4" t="s">
        <v>516</v>
      </c>
      <c r="E858" s="4"/>
      <c r="F858" s="73" t="s">
        <v>476</v>
      </c>
      <c r="G858" s="73" t="s">
        <v>476</v>
      </c>
      <c r="H858" s="73"/>
      <c r="I858" s="73" t="s">
        <v>517</v>
      </c>
      <c r="J858" s="73" t="s">
        <v>517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spans="1:43" s="3" customFormat="1" x14ac:dyDescent="0.3">
      <c r="A859" s="4"/>
      <c r="B859" s="100">
        <v>45935</v>
      </c>
      <c r="C859" s="98" t="s">
        <v>553</v>
      </c>
      <c r="D859" s="4" t="s">
        <v>521</v>
      </c>
      <c r="E859" s="4"/>
      <c r="F859" s="73" t="s">
        <v>536</v>
      </c>
      <c r="G859" s="73" t="s">
        <v>536</v>
      </c>
      <c r="H859" s="73"/>
      <c r="I859" s="73" t="s">
        <v>471</v>
      </c>
      <c r="J859" s="73" t="s">
        <v>471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spans="1:43" s="3" customFormat="1" x14ac:dyDescent="0.3">
      <c r="A860" s="4"/>
      <c r="B860" s="100">
        <v>45935</v>
      </c>
      <c r="C860" s="98" t="s">
        <v>553</v>
      </c>
      <c r="D860" s="4" t="s">
        <v>516</v>
      </c>
      <c r="E860" s="4"/>
      <c r="F860" s="73" t="s">
        <v>518</v>
      </c>
      <c r="G860" s="73" t="s">
        <v>518</v>
      </c>
      <c r="H860" s="73"/>
      <c r="I860" s="73" t="s">
        <v>474</v>
      </c>
      <c r="J860" s="73" t="s">
        <v>474</v>
      </c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spans="1:43" s="3" customFormat="1" x14ac:dyDescent="0.3">
      <c r="B861" s="44">
        <v>45941</v>
      </c>
      <c r="C861" s="3" t="s">
        <v>416</v>
      </c>
      <c r="D861" s="3" t="s">
        <v>490</v>
      </c>
      <c r="E861" s="4"/>
      <c r="F861" s="3" t="s">
        <v>475</v>
      </c>
      <c r="G861" s="3" t="s">
        <v>125</v>
      </c>
      <c r="H861" s="4">
        <v>3362807</v>
      </c>
      <c r="I861" s="4" t="s">
        <v>480</v>
      </c>
      <c r="J861" s="4" t="s">
        <v>420</v>
      </c>
      <c r="K861" s="4">
        <v>3360101</v>
      </c>
    </row>
    <row r="862" spans="1:43" s="3" customFormat="1" x14ac:dyDescent="0.3">
      <c r="B862" s="44">
        <v>45941</v>
      </c>
      <c r="C862" s="3" t="s">
        <v>416</v>
      </c>
      <c r="D862" s="3" t="s">
        <v>64</v>
      </c>
      <c r="E862" s="42">
        <v>4370907</v>
      </c>
      <c r="F862" s="3" t="s">
        <v>475</v>
      </c>
      <c r="G862" s="3" t="s">
        <v>310</v>
      </c>
      <c r="H862" s="4">
        <v>3212402</v>
      </c>
      <c r="I862" s="4" t="s">
        <v>671</v>
      </c>
      <c r="J862" s="4" t="s">
        <v>312</v>
      </c>
      <c r="K862" s="4">
        <v>3209107</v>
      </c>
    </row>
    <row r="863" spans="1:43" s="3" customFormat="1" x14ac:dyDescent="0.3">
      <c r="B863" s="44">
        <v>45941</v>
      </c>
      <c r="C863" s="3" t="s">
        <v>416</v>
      </c>
      <c r="D863" s="3" t="s">
        <v>494</v>
      </c>
      <c r="E863" s="42"/>
      <c r="F863" s="3" t="s">
        <v>475</v>
      </c>
      <c r="G863" s="3" t="s">
        <v>183</v>
      </c>
      <c r="H863" s="4">
        <v>3362901</v>
      </c>
      <c r="I863" s="3" t="s">
        <v>689</v>
      </c>
      <c r="J863" s="3" t="s">
        <v>189</v>
      </c>
      <c r="K863" s="4">
        <v>3350209</v>
      </c>
    </row>
    <row r="864" spans="1:43" s="3" customFormat="1" x14ac:dyDescent="0.3">
      <c r="B864" s="44">
        <v>45941</v>
      </c>
      <c r="C864" s="3" t="s">
        <v>416</v>
      </c>
      <c r="D864" s="3" t="s">
        <v>498</v>
      </c>
      <c r="E864" s="42"/>
      <c r="F864" s="3" t="s">
        <v>475</v>
      </c>
      <c r="G864" s="3" t="s">
        <v>184</v>
      </c>
      <c r="H864" s="53">
        <v>3363004</v>
      </c>
      <c r="I864" s="3" t="s">
        <v>472</v>
      </c>
      <c r="J864" s="3" t="s">
        <v>219</v>
      </c>
      <c r="K864" s="4">
        <v>3357608</v>
      </c>
    </row>
    <row r="865" spans="2:13" s="3" customFormat="1" x14ac:dyDescent="0.3">
      <c r="B865" s="44">
        <v>45941</v>
      </c>
      <c r="C865" s="3" t="s">
        <v>416</v>
      </c>
      <c r="D865" s="3" t="s">
        <v>70</v>
      </c>
      <c r="E865" s="42"/>
      <c r="F865" s="3" t="s">
        <v>475</v>
      </c>
      <c r="G865" s="3" t="s">
        <v>371</v>
      </c>
      <c r="H865" s="53">
        <v>3212006</v>
      </c>
      <c r="I865" s="3" t="s">
        <v>672</v>
      </c>
      <c r="J865" s="3" t="s">
        <v>401</v>
      </c>
      <c r="K865" s="4">
        <v>3202000</v>
      </c>
    </row>
    <row r="866" spans="2:13" s="3" customFormat="1" x14ac:dyDescent="0.3">
      <c r="B866" s="44">
        <v>45941</v>
      </c>
      <c r="C866" s="3" t="s">
        <v>416</v>
      </c>
      <c r="D866" s="3" t="s">
        <v>590</v>
      </c>
      <c r="E866" s="42"/>
      <c r="F866" s="3" t="s">
        <v>648</v>
      </c>
      <c r="G866" s="3" t="s">
        <v>449</v>
      </c>
      <c r="H866" s="4">
        <v>3961500</v>
      </c>
      <c r="I866" s="3" t="s">
        <v>676</v>
      </c>
      <c r="J866" s="3" t="s">
        <v>285</v>
      </c>
      <c r="K866" s="4">
        <v>3208504</v>
      </c>
    </row>
    <row r="867" spans="2:13" s="3" customFormat="1" x14ac:dyDescent="0.3">
      <c r="B867" s="44">
        <v>45941</v>
      </c>
      <c r="C867" s="3" t="s">
        <v>416</v>
      </c>
      <c r="D867" s="3" t="s">
        <v>68</v>
      </c>
      <c r="E867" s="42"/>
      <c r="F867" s="3" t="s">
        <v>649</v>
      </c>
      <c r="G867" s="3" t="s">
        <v>456</v>
      </c>
      <c r="H867" s="4">
        <v>3545602</v>
      </c>
      <c r="I867" s="4" t="s">
        <v>665</v>
      </c>
      <c r="J867" s="4" t="s">
        <v>627</v>
      </c>
      <c r="K867" s="4" t="s">
        <v>638</v>
      </c>
    </row>
    <row r="868" spans="2:13" s="3" customFormat="1" x14ac:dyDescent="0.3">
      <c r="B868" s="44">
        <v>45941</v>
      </c>
      <c r="C868" s="3" t="s">
        <v>416</v>
      </c>
      <c r="D868" s="3" t="s">
        <v>486</v>
      </c>
      <c r="E868" s="42"/>
      <c r="F868" s="4" t="s">
        <v>651</v>
      </c>
      <c r="G868" s="4" t="s">
        <v>97</v>
      </c>
      <c r="H868" s="4">
        <v>3362005</v>
      </c>
      <c r="I868" s="3" t="s">
        <v>474</v>
      </c>
      <c r="J868" s="3" t="s">
        <v>103</v>
      </c>
      <c r="K868" s="4">
        <v>3353206</v>
      </c>
    </row>
    <row r="869" spans="2:13" s="3" customFormat="1" x14ac:dyDescent="0.3">
      <c r="B869" s="44">
        <v>45941</v>
      </c>
      <c r="C869" s="3" t="s">
        <v>416</v>
      </c>
      <c r="D869" s="3" t="s">
        <v>68</v>
      </c>
      <c r="E869" s="42"/>
      <c r="F869" s="3" t="s">
        <v>651</v>
      </c>
      <c r="G869" s="3" t="s">
        <v>387</v>
      </c>
      <c r="H869" s="4">
        <v>3211403</v>
      </c>
      <c r="I869" s="4" t="s">
        <v>665</v>
      </c>
      <c r="J869" s="4" t="s">
        <v>457</v>
      </c>
      <c r="K869" s="4">
        <v>3818806</v>
      </c>
    </row>
    <row r="870" spans="2:13" s="3" customFormat="1" x14ac:dyDescent="0.3">
      <c r="B870" s="44">
        <v>45941</v>
      </c>
      <c r="C870" s="3" t="s">
        <v>416</v>
      </c>
      <c r="D870" s="3" t="s">
        <v>499</v>
      </c>
      <c r="E870" s="42"/>
      <c r="F870" s="3" t="s">
        <v>651</v>
      </c>
      <c r="G870" s="3" t="s">
        <v>226</v>
      </c>
      <c r="H870" s="4">
        <v>3361902</v>
      </c>
      <c r="I870" s="3" t="s">
        <v>650</v>
      </c>
      <c r="J870" s="3" t="s">
        <v>571</v>
      </c>
      <c r="K870" s="4">
        <v>3900505</v>
      </c>
      <c r="M870" s="51"/>
    </row>
    <row r="871" spans="2:13" s="3" customFormat="1" x14ac:dyDescent="0.3">
      <c r="B871" s="44">
        <v>45941</v>
      </c>
      <c r="C871" s="3" t="s">
        <v>416</v>
      </c>
      <c r="D871" s="3" t="s">
        <v>59</v>
      </c>
      <c r="E871" s="42"/>
      <c r="F871" s="4" t="s">
        <v>653</v>
      </c>
      <c r="G871" s="4" t="s">
        <v>272</v>
      </c>
      <c r="H871" s="4">
        <v>3211205</v>
      </c>
      <c r="I871" s="4" t="s">
        <v>655</v>
      </c>
      <c r="J871" s="4" t="s">
        <v>288</v>
      </c>
      <c r="K871" s="4">
        <v>3200908</v>
      </c>
    </row>
    <row r="872" spans="2:13" s="3" customFormat="1" x14ac:dyDescent="0.3">
      <c r="B872" s="44">
        <v>45941</v>
      </c>
      <c r="C872" s="3" t="s">
        <v>416</v>
      </c>
      <c r="D872" s="3" t="s">
        <v>497</v>
      </c>
      <c r="E872" s="42"/>
      <c r="F872" s="17" t="s">
        <v>653</v>
      </c>
      <c r="G872" s="17" t="s">
        <v>208</v>
      </c>
      <c r="H872" s="74">
        <v>3361308</v>
      </c>
      <c r="I872" s="3" t="s">
        <v>678</v>
      </c>
      <c r="J872" s="3" t="s">
        <v>172</v>
      </c>
      <c r="K872" s="74">
        <v>3350709</v>
      </c>
    </row>
    <row r="873" spans="2:13" s="3" customFormat="1" x14ac:dyDescent="0.3">
      <c r="B873" s="44">
        <v>45941</v>
      </c>
      <c r="C873" s="3" t="s">
        <v>416</v>
      </c>
      <c r="D873" s="3" t="s">
        <v>593</v>
      </c>
      <c r="E873" s="42"/>
      <c r="F873" s="3" t="s">
        <v>653</v>
      </c>
      <c r="G873" s="3" t="s">
        <v>459</v>
      </c>
      <c r="H873" s="4">
        <v>3211101</v>
      </c>
      <c r="I873" s="4" t="s">
        <v>679</v>
      </c>
      <c r="J873" s="4" t="s">
        <v>633</v>
      </c>
      <c r="K873" s="4">
        <v>3194607</v>
      </c>
    </row>
    <row r="874" spans="2:13" s="3" customFormat="1" x14ac:dyDescent="0.3">
      <c r="B874" s="44">
        <v>45941</v>
      </c>
      <c r="C874" s="3" t="s">
        <v>416</v>
      </c>
      <c r="D874" s="3" t="s">
        <v>504</v>
      </c>
      <c r="E874" s="42"/>
      <c r="F874" s="3" t="s">
        <v>479</v>
      </c>
      <c r="G874" s="3" t="s">
        <v>9</v>
      </c>
      <c r="H874" s="4">
        <v>3033405</v>
      </c>
      <c r="I874" s="3" t="s">
        <v>471</v>
      </c>
      <c r="J874" s="3" t="s">
        <v>14</v>
      </c>
      <c r="K874" s="4">
        <v>3348601</v>
      </c>
    </row>
    <row r="875" spans="2:13" s="3" customFormat="1" x14ac:dyDescent="0.3">
      <c r="B875" s="44">
        <v>45941</v>
      </c>
      <c r="C875" s="3" t="s">
        <v>416</v>
      </c>
      <c r="D875" s="3" t="s">
        <v>490</v>
      </c>
      <c r="E875" s="4"/>
      <c r="F875" s="3" t="s">
        <v>479</v>
      </c>
      <c r="G875" s="3" t="s">
        <v>136</v>
      </c>
      <c r="H875" s="4">
        <v>3360903</v>
      </c>
      <c r="I875" s="4" t="s">
        <v>653</v>
      </c>
      <c r="J875" s="4" t="s">
        <v>126</v>
      </c>
      <c r="K875" s="4">
        <v>3361402</v>
      </c>
    </row>
    <row r="876" spans="2:13" s="3" customFormat="1" x14ac:dyDescent="0.3">
      <c r="B876" s="44">
        <v>45941</v>
      </c>
      <c r="C876" s="3" t="s">
        <v>416</v>
      </c>
      <c r="D876" s="3" t="s">
        <v>590</v>
      </c>
      <c r="E876" s="42"/>
      <c r="F876" s="4" t="s">
        <v>479</v>
      </c>
      <c r="G876" s="4" t="s">
        <v>284</v>
      </c>
      <c r="H876" s="4">
        <v>3210904</v>
      </c>
      <c r="I876" s="3" t="s">
        <v>691</v>
      </c>
      <c r="J876" s="3" t="s">
        <v>289</v>
      </c>
      <c r="K876" s="4">
        <v>3068804</v>
      </c>
    </row>
    <row r="877" spans="2:13" s="3" customFormat="1" x14ac:dyDescent="0.3">
      <c r="B877" s="44">
        <v>45941</v>
      </c>
      <c r="C877" s="3" t="s">
        <v>416</v>
      </c>
      <c r="D877" s="3" t="s">
        <v>490</v>
      </c>
      <c r="E877" s="4"/>
      <c r="F877" s="3" t="s">
        <v>479</v>
      </c>
      <c r="G877" s="3" t="s">
        <v>166</v>
      </c>
      <c r="H877" s="4">
        <v>3361006</v>
      </c>
      <c r="I877" s="4" t="s">
        <v>476</v>
      </c>
      <c r="J877" s="4" t="s">
        <v>168</v>
      </c>
      <c r="K877" s="4">
        <v>3356505</v>
      </c>
    </row>
    <row r="878" spans="2:13" s="3" customFormat="1" x14ac:dyDescent="0.3">
      <c r="B878" s="44">
        <v>45941</v>
      </c>
      <c r="C878" s="3" t="s">
        <v>416</v>
      </c>
      <c r="D878" s="3" t="s">
        <v>62</v>
      </c>
      <c r="E878" s="42"/>
      <c r="F878" s="4" t="s">
        <v>479</v>
      </c>
      <c r="G878" s="4" t="s">
        <v>319</v>
      </c>
      <c r="H878" s="4">
        <v>3210508</v>
      </c>
      <c r="I878" s="4" t="s">
        <v>676</v>
      </c>
      <c r="J878" s="4" t="s">
        <v>286</v>
      </c>
      <c r="K878" s="4">
        <v>3019605</v>
      </c>
    </row>
    <row r="879" spans="2:13" s="3" customFormat="1" x14ac:dyDescent="0.3">
      <c r="B879" s="44">
        <v>45941</v>
      </c>
      <c r="C879" s="3" t="s">
        <v>416</v>
      </c>
      <c r="D879" s="3" t="s">
        <v>493</v>
      </c>
      <c r="E879" s="42"/>
      <c r="F879" s="3" t="s">
        <v>479</v>
      </c>
      <c r="G879" s="3" t="s">
        <v>210</v>
      </c>
      <c r="H879" s="4">
        <v>3361100</v>
      </c>
      <c r="I879" s="4" t="s">
        <v>479</v>
      </c>
      <c r="J879" s="4" t="s">
        <v>211</v>
      </c>
      <c r="K879" s="4">
        <v>3361204</v>
      </c>
    </row>
    <row r="880" spans="2:13" s="3" customFormat="1" x14ac:dyDescent="0.3">
      <c r="B880" s="44">
        <v>45941</v>
      </c>
      <c r="C880" s="3" t="s">
        <v>416</v>
      </c>
      <c r="D880" s="3" t="s">
        <v>65</v>
      </c>
      <c r="E880" s="42"/>
      <c r="F880" s="3" t="s">
        <v>479</v>
      </c>
      <c r="G880" s="3" t="s">
        <v>320</v>
      </c>
      <c r="H880" s="4">
        <v>3210602</v>
      </c>
      <c r="I880" s="4" t="s">
        <v>471</v>
      </c>
      <c r="J880" s="4" t="s">
        <v>363</v>
      </c>
      <c r="K880" s="4">
        <v>3196907</v>
      </c>
    </row>
    <row r="881" spans="2:13" s="3" customFormat="1" x14ac:dyDescent="0.3">
      <c r="B881" s="44">
        <v>45941</v>
      </c>
      <c r="C881" s="3" t="s">
        <v>416</v>
      </c>
      <c r="D881" s="3" t="s">
        <v>69</v>
      </c>
      <c r="E881" s="42"/>
      <c r="F881" s="3" t="s">
        <v>479</v>
      </c>
      <c r="G881" s="3" t="s">
        <v>392</v>
      </c>
      <c r="H881" s="53">
        <v>3210706</v>
      </c>
      <c r="I881" s="3" t="s">
        <v>681</v>
      </c>
      <c r="J881" s="3" t="s">
        <v>365</v>
      </c>
      <c r="K881" s="4">
        <v>3195804</v>
      </c>
    </row>
    <row r="882" spans="2:13" s="3" customFormat="1" x14ac:dyDescent="0.3">
      <c r="B882" s="44">
        <v>45941</v>
      </c>
      <c r="C882" s="3" t="s">
        <v>416</v>
      </c>
      <c r="D882" s="3" t="s">
        <v>486</v>
      </c>
      <c r="E882" s="42"/>
      <c r="F882" s="3" t="s">
        <v>480</v>
      </c>
      <c r="G882" s="3" t="s">
        <v>406</v>
      </c>
      <c r="H882" s="4">
        <v>3124501</v>
      </c>
      <c r="I882" s="3" t="s">
        <v>671</v>
      </c>
      <c r="J882" s="3" t="s">
        <v>108</v>
      </c>
      <c r="K882" s="4">
        <v>3359700</v>
      </c>
    </row>
    <row r="883" spans="2:13" s="3" customFormat="1" x14ac:dyDescent="0.3">
      <c r="B883" s="44">
        <v>45941</v>
      </c>
      <c r="C883" s="3" t="s">
        <v>416</v>
      </c>
      <c r="D883" s="3" t="s">
        <v>497</v>
      </c>
      <c r="E883" s="42"/>
      <c r="F883" s="17" t="s">
        <v>480</v>
      </c>
      <c r="G883" s="17" t="s">
        <v>428</v>
      </c>
      <c r="H883" s="74">
        <v>3360309</v>
      </c>
      <c r="I883" s="3" t="s">
        <v>681</v>
      </c>
      <c r="J883" s="3" t="s">
        <v>175</v>
      </c>
      <c r="K883" s="74">
        <v>3347800</v>
      </c>
    </row>
    <row r="884" spans="2:13" s="3" customFormat="1" x14ac:dyDescent="0.3">
      <c r="B884" s="44">
        <v>45941</v>
      </c>
      <c r="C884" s="3" t="s">
        <v>416</v>
      </c>
      <c r="D884" s="3" t="s">
        <v>56</v>
      </c>
      <c r="E884" s="42"/>
      <c r="F884" s="4" t="s">
        <v>661</v>
      </c>
      <c r="G884" s="4" t="s">
        <v>439</v>
      </c>
      <c r="H884" s="4">
        <v>3023701</v>
      </c>
      <c r="I884" s="3" t="s">
        <v>475</v>
      </c>
      <c r="J884" s="3" t="s">
        <v>256</v>
      </c>
      <c r="K884" s="4">
        <v>3068700</v>
      </c>
    </row>
    <row r="885" spans="2:13" s="3" customFormat="1" x14ac:dyDescent="0.3">
      <c r="B885" s="44">
        <v>45941</v>
      </c>
      <c r="C885" s="3" t="s">
        <v>416</v>
      </c>
      <c r="D885" s="3" t="s">
        <v>590</v>
      </c>
      <c r="E885" s="42"/>
      <c r="F885" s="4" t="s">
        <v>657</v>
      </c>
      <c r="G885" s="4" t="s">
        <v>321</v>
      </c>
      <c r="H885" s="4">
        <v>3209607</v>
      </c>
      <c r="I885" s="4" t="s">
        <v>693</v>
      </c>
      <c r="J885" s="4" t="s">
        <v>322</v>
      </c>
      <c r="K885" s="4">
        <v>3207005</v>
      </c>
    </row>
    <row r="886" spans="2:13" s="3" customFormat="1" x14ac:dyDescent="0.3">
      <c r="B886" s="44">
        <v>45941</v>
      </c>
      <c r="C886" s="3" t="s">
        <v>416</v>
      </c>
      <c r="D886" s="3" t="s">
        <v>497</v>
      </c>
      <c r="E886" s="42"/>
      <c r="F886" s="17" t="s">
        <v>657</v>
      </c>
      <c r="G886" s="17" t="s">
        <v>213</v>
      </c>
      <c r="H886" s="74">
        <v>3359502</v>
      </c>
      <c r="I886" s="17" t="s">
        <v>653</v>
      </c>
      <c r="J886" s="17" t="s">
        <v>209</v>
      </c>
      <c r="K886" s="74">
        <v>3360705</v>
      </c>
    </row>
    <row r="887" spans="2:13" s="3" customFormat="1" x14ac:dyDescent="0.3">
      <c r="B887" s="44">
        <v>45941</v>
      </c>
      <c r="C887" s="3" t="s">
        <v>416</v>
      </c>
      <c r="D887" s="3" t="s">
        <v>495</v>
      </c>
      <c r="E887" s="42"/>
      <c r="F887" s="3" t="s">
        <v>570</v>
      </c>
      <c r="G887" s="3" t="s">
        <v>570</v>
      </c>
      <c r="H887" s="4" t="s">
        <v>556</v>
      </c>
      <c r="I887" s="3" t="s">
        <v>670</v>
      </c>
      <c r="J887" s="3" t="s">
        <v>224</v>
      </c>
      <c r="K887" s="4">
        <v>3347008</v>
      </c>
    </row>
    <row r="888" spans="2:13" s="3" customFormat="1" x14ac:dyDescent="0.3">
      <c r="B888" s="44">
        <v>45941</v>
      </c>
      <c r="C888" s="3" t="s">
        <v>416</v>
      </c>
      <c r="D888" s="3" t="s">
        <v>67</v>
      </c>
      <c r="E888" s="42"/>
      <c r="F888" s="4" t="s">
        <v>570</v>
      </c>
      <c r="G888" s="4" t="s">
        <v>570</v>
      </c>
      <c r="H888" s="4" t="s">
        <v>556</v>
      </c>
      <c r="I888" s="3" t="s">
        <v>475</v>
      </c>
      <c r="J888" s="3" t="s">
        <v>336</v>
      </c>
      <c r="K888" s="4">
        <v>3211809</v>
      </c>
    </row>
    <row r="889" spans="2:13" s="3" customFormat="1" x14ac:dyDescent="0.3">
      <c r="B889" s="44">
        <v>45941</v>
      </c>
      <c r="C889" s="3" t="s">
        <v>416</v>
      </c>
      <c r="D889" s="3" t="s">
        <v>68</v>
      </c>
      <c r="E889" s="42"/>
      <c r="F889" s="3" t="s">
        <v>570</v>
      </c>
      <c r="G889" s="3" t="s">
        <v>570</v>
      </c>
      <c r="H889" s="4" t="s">
        <v>556</v>
      </c>
      <c r="I889" s="4" t="s">
        <v>671</v>
      </c>
      <c r="J889" s="4" t="s">
        <v>389</v>
      </c>
      <c r="K889" s="4">
        <v>3209201</v>
      </c>
    </row>
    <row r="890" spans="2:13" s="3" customFormat="1" x14ac:dyDescent="0.3">
      <c r="B890" s="44">
        <v>45941</v>
      </c>
      <c r="C890" s="3" t="s">
        <v>416</v>
      </c>
      <c r="D890" s="3" t="s">
        <v>60</v>
      </c>
      <c r="E890" s="42"/>
      <c r="F890" s="3" t="s">
        <v>667</v>
      </c>
      <c r="G890" s="3" t="s">
        <v>444</v>
      </c>
      <c r="H890" s="4">
        <v>3209909</v>
      </c>
      <c r="I890" s="3" t="s">
        <v>698</v>
      </c>
      <c r="J890" s="3" t="s">
        <v>595</v>
      </c>
      <c r="K890" s="32" t="s">
        <v>563</v>
      </c>
    </row>
    <row r="891" spans="2:13" s="3" customFormat="1" x14ac:dyDescent="0.3">
      <c r="B891" s="44">
        <v>45941</v>
      </c>
      <c r="C891" s="3" t="s">
        <v>416</v>
      </c>
      <c r="D891" s="3" t="s">
        <v>60</v>
      </c>
      <c r="E891" s="42"/>
      <c r="F891" s="3" t="s">
        <v>667</v>
      </c>
      <c r="G891" s="3" t="s">
        <v>294</v>
      </c>
      <c r="H891" s="4">
        <v>3209409</v>
      </c>
      <c r="I891" s="3" t="s">
        <v>707</v>
      </c>
      <c r="J891" s="3" t="s">
        <v>295</v>
      </c>
      <c r="K891" s="32">
        <v>3207505</v>
      </c>
    </row>
    <row r="892" spans="2:13" s="3" customFormat="1" x14ac:dyDescent="0.3">
      <c r="B892" s="44">
        <v>45941</v>
      </c>
      <c r="C892" s="3" t="s">
        <v>416</v>
      </c>
      <c r="D892" s="3" t="s">
        <v>504</v>
      </c>
      <c r="E892" s="42"/>
      <c r="F892" s="4" t="s">
        <v>671</v>
      </c>
      <c r="G892" s="4" t="s">
        <v>8</v>
      </c>
      <c r="H892" s="4">
        <v>3034008</v>
      </c>
      <c r="I892" s="4" t="s">
        <v>480</v>
      </c>
      <c r="J892" s="4" t="s">
        <v>505</v>
      </c>
      <c r="K892" s="4">
        <v>3033207</v>
      </c>
    </row>
    <row r="893" spans="2:13" s="3" customFormat="1" x14ac:dyDescent="0.3">
      <c r="B893" s="44">
        <v>45941</v>
      </c>
      <c r="C893" s="3" t="s">
        <v>416</v>
      </c>
      <c r="D893" s="3" t="s">
        <v>590</v>
      </c>
      <c r="E893" s="42"/>
      <c r="F893" s="4" t="s">
        <v>671</v>
      </c>
      <c r="G893" s="4" t="s">
        <v>311</v>
      </c>
      <c r="H893" s="4">
        <v>3209003</v>
      </c>
      <c r="I893" s="3" t="s">
        <v>699</v>
      </c>
      <c r="J893" s="3" t="s">
        <v>594</v>
      </c>
      <c r="K893" s="4">
        <v>3196407</v>
      </c>
    </row>
    <row r="894" spans="2:13" s="3" customFormat="1" x14ac:dyDescent="0.3">
      <c r="B894" s="44">
        <v>45941</v>
      </c>
      <c r="C894" s="3" t="s">
        <v>416</v>
      </c>
      <c r="D894" s="3" t="s">
        <v>496</v>
      </c>
      <c r="E894" s="42"/>
      <c r="F894" s="3" t="s">
        <v>671</v>
      </c>
      <c r="G894" s="3" t="s">
        <v>203</v>
      </c>
      <c r="H894" s="4">
        <v>3359304</v>
      </c>
      <c r="I894" s="3" t="s">
        <v>710</v>
      </c>
      <c r="J894" s="3" t="s">
        <v>462</v>
      </c>
      <c r="K894" s="4">
        <v>3352207</v>
      </c>
    </row>
    <row r="895" spans="2:13" s="3" customFormat="1" x14ac:dyDescent="0.3">
      <c r="B895" s="44">
        <v>45941</v>
      </c>
      <c r="C895" s="3" t="s">
        <v>416</v>
      </c>
      <c r="D895" s="3" t="s">
        <v>496</v>
      </c>
      <c r="E895" s="42"/>
      <c r="F895" s="3" t="s">
        <v>671</v>
      </c>
      <c r="G895" s="3" t="s">
        <v>227</v>
      </c>
      <c r="H895" s="4">
        <v>3359408</v>
      </c>
      <c r="I895" s="3" t="s">
        <v>675</v>
      </c>
      <c r="J895" s="3" t="s">
        <v>198</v>
      </c>
      <c r="K895" s="4">
        <v>3350803</v>
      </c>
    </row>
    <row r="896" spans="2:13" s="3" customFormat="1" x14ac:dyDescent="0.3">
      <c r="B896" s="44">
        <v>45941</v>
      </c>
      <c r="C896" s="3" t="s">
        <v>416</v>
      </c>
      <c r="D896" s="3" t="s">
        <v>499</v>
      </c>
      <c r="E896" s="42"/>
      <c r="F896" s="3" t="s">
        <v>671</v>
      </c>
      <c r="G896" s="3" t="s">
        <v>228</v>
      </c>
      <c r="H896" s="53">
        <v>3358607</v>
      </c>
      <c r="I896" s="3" t="s">
        <v>710</v>
      </c>
      <c r="J896" s="3" t="s">
        <v>230</v>
      </c>
      <c r="K896" s="4">
        <v>3900609</v>
      </c>
      <c r="M896" s="51"/>
    </row>
    <row r="897" spans="1:43" s="3" customFormat="1" x14ac:dyDescent="0.3">
      <c r="B897" s="44">
        <v>45941</v>
      </c>
      <c r="C897" s="3" t="s">
        <v>416</v>
      </c>
      <c r="D897" s="4" t="s">
        <v>614</v>
      </c>
      <c r="E897" s="42"/>
      <c r="F897" s="3" t="s">
        <v>674</v>
      </c>
      <c r="G897" s="3" t="s">
        <v>346</v>
      </c>
      <c r="H897" s="4">
        <v>3208900</v>
      </c>
      <c r="I897" s="4" t="s">
        <v>673</v>
      </c>
      <c r="J897" s="4" t="s">
        <v>455</v>
      </c>
      <c r="K897" s="4">
        <v>3961604</v>
      </c>
    </row>
    <row r="898" spans="1:43" s="3" customFormat="1" x14ac:dyDescent="0.3">
      <c r="B898" s="44">
        <v>45941</v>
      </c>
      <c r="C898" s="3" t="s">
        <v>416</v>
      </c>
      <c r="D898" s="3" t="s">
        <v>490</v>
      </c>
      <c r="E898" s="4"/>
      <c r="F898" s="3" t="s">
        <v>676</v>
      </c>
      <c r="G898" s="3" t="s">
        <v>138</v>
      </c>
      <c r="H898" s="4">
        <v>3067805</v>
      </c>
      <c r="I898" s="4" t="s">
        <v>654</v>
      </c>
      <c r="J898" s="4" t="s">
        <v>143</v>
      </c>
      <c r="K898" s="4">
        <v>3349704</v>
      </c>
    </row>
    <row r="899" spans="1:43" s="3" customFormat="1" x14ac:dyDescent="0.3">
      <c r="B899" s="44">
        <v>45941</v>
      </c>
      <c r="C899" s="3" t="s">
        <v>416</v>
      </c>
      <c r="D899" s="3" t="s">
        <v>65</v>
      </c>
      <c r="E899" s="42"/>
      <c r="F899" s="3" t="s">
        <v>676</v>
      </c>
      <c r="G899" s="3" t="s">
        <v>356</v>
      </c>
      <c r="H899" s="4">
        <v>3208608</v>
      </c>
      <c r="I899" s="4" t="s">
        <v>718</v>
      </c>
      <c r="J899" s="4" t="s">
        <v>359</v>
      </c>
      <c r="K899" s="4">
        <v>3204602</v>
      </c>
    </row>
    <row r="900" spans="1:43" s="3" customFormat="1" x14ac:dyDescent="0.3">
      <c r="B900" s="44">
        <v>45941</v>
      </c>
      <c r="C900" s="3" t="s">
        <v>416</v>
      </c>
      <c r="D900" s="3" t="s">
        <v>500</v>
      </c>
      <c r="E900" s="42"/>
      <c r="F900" s="3" t="s">
        <v>676</v>
      </c>
      <c r="G900" s="3" t="s">
        <v>577</v>
      </c>
      <c r="H900" s="4" t="s">
        <v>556</v>
      </c>
      <c r="I900" s="4" t="s">
        <v>476</v>
      </c>
      <c r="J900" s="4" t="s">
        <v>575</v>
      </c>
      <c r="K900" s="4">
        <v>3900005</v>
      </c>
    </row>
    <row r="901" spans="1:43" s="3" customFormat="1" x14ac:dyDescent="0.3">
      <c r="B901" s="44">
        <v>45941</v>
      </c>
      <c r="C901" s="3" t="s">
        <v>416</v>
      </c>
      <c r="D901" s="3" t="s">
        <v>593</v>
      </c>
      <c r="E901" s="42"/>
      <c r="F901" s="3" t="s">
        <v>676</v>
      </c>
      <c r="G901" s="3" t="s">
        <v>639</v>
      </c>
      <c r="H901" s="4">
        <v>3776805</v>
      </c>
      <c r="I901" s="15" t="s">
        <v>570</v>
      </c>
      <c r="J901" s="15" t="s">
        <v>570</v>
      </c>
      <c r="K901" s="74" t="s">
        <v>556</v>
      </c>
    </row>
    <row r="902" spans="1:43" s="3" customFormat="1" x14ac:dyDescent="0.3">
      <c r="A902" s="4"/>
      <c r="B902" s="99">
        <v>45941</v>
      </c>
      <c r="C902" s="98" t="s">
        <v>553</v>
      </c>
      <c r="D902" s="4" t="s">
        <v>514</v>
      </c>
      <c r="E902" s="4"/>
      <c r="F902" s="73" t="s">
        <v>539</v>
      </c>
      <c r="G902" s="73" t="s">
        <v>539</v>
      </c>
      <c r="H902" s="73"/>
      <c r="I902" s="73" t="s">
        <v>479</v>
      </c>
      <c r="J902" s="73" t="s">
        <v>479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spans="1:43" s="3" customFormat="1" x14ac:dyDescent="0.3">
      <c r="B903" s="44">
        <v>45941</v>
      </c>
      <c r="C903" s="3" t="s">
        <v>416</v>
      </c>
      <c r="D903" s="3" t="s">
        <v>486</v>
      </c>
      <c r="E903" s="42"/>
      <c r="F903" s="4" t="s">
        <v>680</v>
      </c>
      <c r="G903" s="4" t="s">
        <v>98</v>
      </c>
      <c r="H903" s="4">
        <v>3358909</v>
      </c>
      <c r="I903" s="4" t="s">
        <v>646</v>
      </c>
      <c r="J903" s="4" t="s">
        <v>102</v>
      </c>
      <c r="K903" s="4">
        <v>3125406</v>
      </c>
    </row>
    <row r="904" spans="1:43" s="3" customFormat="1" x14ac:dyDescent="0.3">
      <c r="B904" s="44">
        <v>45941</v>
      </c>
      <c r="C904" s="3" t="s">
        <v>416</v>
      </c>
      <c r="D904" s="3" t="s">
        <v>57</v>
      </c>
      <c r="E904" s="42"/>
      <c r="F904" s="4" t="s">
        <v>680</v>
      </c>
      <c r="G904" s="4" t="s">
        <v>266</v>
      </c>
      <c r="H904" s="4">
        <v>3208306</v>
      </c>
      <c r="I904" s="32" t="s">
        <v>709</v>
      </c>
      <c r="J904" s="32" t="s">
        <v>268</v>
      </c>
      <c r="K904" s="15">
        <v>3203103</v>
      </c>
    </row>
    <row r="905" spans="1:43" s="3" customFormat="1" x14ac:dyDescent="0.3">
      <c r="B905" s="44">
        <v>45941</v>
      </c>
      <c r="C905" s="3" t="s">
        <v>416</v>
      </c>
      <c r="D905" s="3" t="s">
        <v>63</v>
      </c>
      <c r="E905" s="42"/>
      <c r="F905" s="3" t="s">
        <v>680</v>
      </c>
      <c r="G905" s="3" t="s">
        <v>329</v>
      </c>
      <c r="H905" s="74">
        <v>3208108</v>
      </c>
      <c r="I905" s="3" t="s">
        <v>684</v>
      </c>
      <c r="J905" s="3" t="s">
        <v>369</v>
      </c>
      <c r="K905" s="74">
        <v>3202708</v>
      </c>
    </row>
    <row r="906" spans="1:43" s="3" customFormat="1" x14ac:dyDescent="0.3">
      <c r="B906" s="44">
        <v>45941</v>
      </c>
      <c r="C906" s="3" t="s">
        <v>416</v>
      </c>
      <c r="D906" s="3" t="s">
        <v>491</v>
      </c>
      <c r="E906" s="42"/>
      <c r="F906" s="4" t="s">
        <v>680</v>
      </c>
      <c r="G906" s="4" t="s">
        <v>177</v>
      </c>
      <c r="H906" s="4">
        <v>3899709</v>
      </c>
      <c r="I906" s="3" t="s">
        <v>698</v>
      </c>
      <c r="J906" s="3" t="s">
        <v>567</v>
      </c>
      <c r="K906" s="4" t="s">
        <v>556</v>
      </c>
    </row>
    <row r="907" spans="1:43" s="3" customFormat="1" x14ac:dyDescent="0.3">
      <c r="B907" s="44">
        <v>45941</v>
      </c>
      <c r="C907" s="3" t="s">
        <v>416</v>
      </c>
      <c r="D907" s="3" t="s">
        <v>486</v>
      </c>
      <c r="E907" s="42"/>
      <c r="F907" s="4" t="s">
        <v>652</v>
      </c>
      <c r="G907" s="4" t="s">
        <v>110</v>
      </c>
      <c r="H907" s="4">
        <v>3359106</v>
      </c>
      <c r="I907" s="3" t="s">
        <v>676</v>
      </c>
      <c r="J907" s="3" t="s">
        <v>109</v>
      </c>
      <c r="K907" s="4">
        <v>3067701</v>
      </c>
    </row>
    <row r="908" spans="1:43" s="3" customFormat="1" x14ac:dyDescent="0.3">
      <c r="B908" s="44">
        <v>45941</v>
      </c>
      <c r="C908" s="3" t="s">
        <v>416</v>
      </c>
      <c r="D908" s="3" t="s">
        <v>610</v>
      </c>
      <c r="E908" s="42"/>
      <c r="F908" s="3" t="s">
        <v>652</v>
      </c>
      <c r="G908" s="3" t="s">
        <v>347</v>
      </c>
      <c r="H908" s="4">
        <v>3818504</v>
      </c>
      <c r="I908" s="4" t="s">
        <v>716</v>
      </c>
      <c r="J908" s="4" t="s">
        <v>433</v>
      </c>
      <c r="K908" s="4">
        <v>3198905</v>
      </c>
    </row>
    <row r="909" spans="1:43" s="3" customFormat="1" x14ac:dyDescent="0.3">
      <c r="B909" s="44">
        <v>45941</v>
      </c>
      <c r="C909" s="3" t="s">
        <v>416</v>
      </c>
      <c r="D909" s="3" t="s">
        <v>68</v>
      </c>
      <c r="E909" s="42"/>
      <c r="F909" s="3" t="s">
        <v>652</v>
      </c>
      <c r="G909" s="3" t="s">
        <v>625</v>
      </c>
      <c r="H909" s="4">
        <v>3899803</v>
      </c>
      <c r="I909" s="4" t="s">
        <v>474</v>
      </c>
      <c r="J909" s="4" t="s">
        <v>383</v>
      </c>
      <c r="K909" s="4">
        <v>3200502</v>
      </c>
    </row>
    <row r="910" spans="1:43" s="3" customFormat="1" x14ac:dyDescent="0.3">
      <c r="B910" s="44">
        <v>45941</v>
      </c>
      <c r="C910" s="3" t="s">
        <v>416</v>
      </c>
      <c r="D910" s="3" t="s">
        <v>499</v>
      </c>
      <c r="E910" s="42"/>
      <c r="F910" s="3" t="s">
        <v>652</v>
      </c>
      <c r="G910" s="3" t="s">
        <v>573</v>
      </c>
      <c r="H910" s="4">
        <v>3818400</v>
      </c>
      <c r="I910" s="3" t="s">
        <v>723</v>
      </c>
      <c r="J910" s="3" t="s">
        <v>599</v>
      </c>
      <c r="K910" s="4" t="s">
        <v>556</v>
      </c>
      <c r="M910" s="3" t="s">
        <v>573</v>
      </c>
      <c r="N910" s="3" t="s">
        <v>580</v>
      </c>
    </row>
    <row r="911" spans="1:43" s="3" customFormat="1" x14ac:dyDescent="0.3">
      <c r="B911" s="44">
        <v>45941</v>
      </c>
      <c r="C911" s="3" t="s">
        <v>416</v>
      </c>
      <c r="D911" s="3" t="s">
        <v>68</v>
      </c>
      <c r="E911" s="42"/>
      <c r="F911" s="3" t="s">
        <v>686</v>
      </c>
      <c r="G911" s="3" t="s">
        <v>626</v>
      </c>
      <c r="H911" s="4" t="s">
        <v>637</v>
      </c>
      <c r="I911" s="15" t="s">
        <v>664</v>
      </c>
      <c r="J911" s="15" t="s">
        <v>388</v>
      </c>
      <c r="K911" s="74">
        <v>3165306</v>
      </c>
    </row>
    <row r="912" spans="1:43" s="3" customFormat="1" x14ac:dyDescent="0.3">
      <c r="B912" s="44">
        <v>45941</v>
      </c>
      <c r="C912" s="3" t="s">
        <v>416</v>
      </c>
      <c r="D912" s="3" t="s">
        <v>504</v>
      </c>
      <c r="E912" s="42"/>
      <c r="F912" s="3" t="s">
        <v>662</v>
      </c>
      <c r="G912" s="3" t="s">
        <v>99</v>
      </c>
      <c r="H912" s="4">
        <v>3125604</v>
      </c>
      <c r="I912" s="3" t="s">
        <v>645</v>
      </c>
      <c r="J912" s="3" t="s">
        <v>37</v>
      </c>
      <c r="K912" s="4">
        <v>3029903</v>
      </c>
    </row>
    <row r="913" spans="2:13" s="3" customFormat="1" x14ac:dyDescent="0.3">
      <c r="B913" s="44">
        <v>45941</v>
      </c>
      <c r="C913" s="3" t="s">
        <v>416</v>
      </c>
      <c r="D913" s="3" t="s">
        <v>64</v>
      </c>
      <c r="E913" s="42">
        <v>4370907</v>
      </c>
      <c r="F913" s="3" t="s">
        <v>662</v>
      </c>
      <c r="G913" s="3" t="s">
        <v>372</v>
      </c>
      <c r="H913" s="4">
        <v>3207703</v>
      </c>
      <c r="I913" s="4" t="s">
        <v>670</v>
      </c>
      <c r="J913" s="4" t="s">
        <v>343</v>
      </c>
      <c r="K913" s="4">
        <v>3195606</v>
      </c>
    </row>
    <row r="914" spans="2:13" s="3" customFormat="1" x14ac:dyDescent="0.3">
      <c r="B914" s="44">
        <v>45941</v>
      </c>
      <c r="C914" s="3" t="s">
        <v>416</v>
      </c>
      <c r="D914" s="3" t="s">
        <v>494</v>
      </c>
      <c r="E914" s="42"/>
      <c r="F914" s="4" t="s">
        <v>662</v>
      </c>
      <c r="G914" s="4" t="s">
        <v>242</v>
      </c>
      <c r="H914" s="4">
        <v>3358107</v>
      </c>
      <c r="I914" s="3" t="s">
        <v>694</v>
      </c>
      <c r="J914" s="3" t="s">
        <v>188</v>
      </c>
      <c r="K914" s="4">
        <v>3353508</v>
      </c>
    </row>
    <row r="915" spans="2:13" s="3" customFormat="1" x14ac:dyDescent="0.3">
      <c r="B915" s="44">
        <v>45941</v>
      </c>
      <c r="C915" s="3" t="s">
        <v>416</v>
      </c>
      <c r="D915" s="3" t="s">
        <v>70</v>
      </c>
      <c r="E915" s="42"/>
      <c r="F915" s="3" t="s">
        <v>662</v>
      </c>
      <c r="G915" s="3" t="s">
        <v>399</v>
      </c>
      <c r="H915" s="4">
        <v>3207401</v>
      </c>
      <c r="I915" s="3" t="s">
        <v>688</v>
      </c>
      <c r="J915" s="3" t="s">
        <v>379</v>
      </c>
      <c r="K915" s="4">
        <v>3194409</v>
      </c>
    </row>
    <row r="916" spans="2:13" s="3" customFormat="1" x14ac:dyDescent="0.3">
      <c r="B916" s="44">
        <v>45941</v>
      </c>
      <c r="C916" s="3" t="s">
        <v>416</v>
      </c>
      <c r="D916" s="3" t="s">
        <v>501</v>
      </c>
      <c r="E916" s="42"/>
      <c r="F916" s="3" t="s">
        <v>662</v>
      </c>
      <c r="G916" s="3" t="s">
        <v>243</v>
      </c>
      <c r="H916" s="4">
        <v>3899907</v>
      </c>
      <c r="I916" s="3" t="s">
        <v>475</v>
      </c>
      <c r="J916" s="3" t="s">
        <v>241</v>
      </c>
      <c r="K916" s="4">
        <v>3362401</v>
      </c>
      <c r="M916" s="51"/>
    </row>
    <row r="917" spans="2:13" s="3" customFormat="1" x14ac:dyDescent="0.3">
      <c r="B917" s="44">
        <v>45941</v>
      </c>
      <c r="C917" s="3" t="s">
        <v>416</v>
      </c>
      <c r="D917" s="3" t="s">
        <v>592</v>
      </c>
      <c r="E917" s="42"/>
      <c r="F917" s="3" t="s">
        <v>662</v>
      </c>
      <c r="G917" s="3" t="s">
        <v>634</v>
      </c>
      <c r="H917" s="74">
        <v>4023105</v>
      </c>
      <c r="I917" s="3" t="s">
        <v>647</v>
      </c>
      <c r="J917" s="3" t="s">
        <v>405</v>
      </c>
      <c r="K917" s="74">
        <v>3901108</v>
      </c>
    </row>
    <row r="918" spans="2:13" s="3" customFormat="1" x14ac:dyDescent="0.3">
      <c r="B918" s="44">
        <v>45941</v>
      </c>
      <c r="C918" s="3" t="s">
        <v>416</v>
      </c>
      <c r="D918" s="3" t="s">
        <v>56</v>
      </c>
      <c r="E918" s="42"/>
      <c r="F918" s="4" t="s">
        <v>472</v>
      </c>
      <c r="G918" s="4" t="s">
        <v>248</v>
      </c>
      <c r="H918" s="4">
        <v>3207609</v>
      </c>
      <c r="I918" s="4" t="s">
        <v>688</v>
      </c>
      <c r="J918" s="4" t="s">
        <v>264</v>
      </c>
      <c r="K918" s="4">
        <v>3055603</v>
      </c>
    </row>
    <row r="919" spans="2:13" s="3" customFormat="1" x14ac:dyDescent="0.3">
      <c r="B919" s="44">
        <v>45941</v>
      </c>
      <c r="C919" s="3" t="s">
        <v>416</v>
      </c>
      <c r="D919" s="3" t="s">
        <v>590</v>
      </c>
      <c r="E919" s="42"/>
      <c r="F919" s="4" t="s">
        <v>472</v>
      </c>
      <c r="G919" s="4" t="s">
        <v>315</v>
      </c>
      <c r="H919" s="4">
        <v>3455307</v>
      </c>
      <c r="I919" s="3" t="s">
        <v>650</v>
      </c>
      <c r="J919" s="3" t="s">
        <v>277</v>
      </c>
      <c r="K919" s="4">
        <v>3088400</v>
      </c>
    </row>
    <row r="920" spans="2:13" s="3" customFormat="1" x14ac:dyDescent="0.3">
      <c r="B920" s="44">
        <v>45941</v>
      </c>
      <c r="C920" s="3" t="s">
        <v>416</v>
      </c>
      <c r="D920" s="3" t="s">
        <v>67</v>
      </c>
      <c r="E920" s="42"/>
      <c r="F920" s="4" t="s">
        <v>472</v>
      </c>
      <c r="G920" s="4" t="s">
        <v>338</v>
      </c>
      <c r="H920" s="4">
        <v>3207307</v>
      </c>
      <c r="I920" s="3" t="s">
        <v>688</v>
      </c>
      <c r="J920" s="3" t="s">
        <v>344</v>
      </c>
      <c r="K920" s="4">
        <v>3194909</v>
      </c>
    </row>
    <row r="921" spans="2:13" s="3" customFormat="1" x14ac:dyDescent="0.3">
      <c r="B921" s="44">
        <v>45941</v>
      </c>
      <c r="C921" s="3" t="s">
        <v>416</v>
      </c>
      <c r="D921" s="3" t="s">
        <v>494</v>
      </c>
      <c r="E921" s="42"/>
      <c r="F921" s="4" t="s">
        <v>472</v>
      </c>
      <c r="G921" s="4" t="s">
        <v>185</v>
      </c>
      <c r="H921" s="4">
        <v>3357806</v>
      </c>
      <c r="I921" s="3" t="s">
        <v>694</v>
      </c>
      <c r="J921" s="3" t="s">
        <v>221</v>
      </c>
      <c r="K921" s="4">
        <v>3353404</v>
      </c>
    </row>
    <row r="922" spans="2:13" s="3" customFormat="1" x14ac:dyDescent="0.3">
      <c r="B922" s="44">
        <v>45941</v>
      </c>
      <c r="C922" s="3" t="s">
        <v>416</v>
      </c>
      <c r="D922" s="3" t="s">
        <v>494</v>
      </c>
      <c r="E922" s="42"/>
      <c r="F922" s="4" t="s">
        <v>472</v>
      </c>
      <c r="G922" s="4" t="s">
        <v>186</v>
      </c>
      <c r="H922" s="4">
        <v>3357702</v>
      </c>
      <c r="I922" s="4" t="s">
        <v>708</v>
      </c>
      <c r="J922" s="4" t="s">
        <v>141</v>
      </c>
      <c r="K922" s="4">
        <v>3125802</v>
      </c>
    </row>
    <row r="923" spans="2:13" s="3" customFormat="1" x14ac:dyDescent="0.3">
      <c r="B923" s="44">
        <v>45941</v>
      </c>
      <c r="C923" s="3" t="s">
        <v>416</v>
      </c>
      <c r="D923" s="3" t="s">
        <v>70</v>
      </c>
      <c r="E923" s="42"/>
      <c r="F923" s="3" t="s">
        <v>472</v>
      </c>
      <c r="G923" s="3" t="s">
        <v>400</v>
      </c>
      <c r="H923" s="4">
        <v>3818608</v>
      </c>
      <c r="I923" s="3" t="s">
        <v>688</v>
      </c>
      <c r="J923" s="3" t="s">
        <v>460</v>
      </c>
      <c r="K923" s="4">
        <v>3194503</v>
      </c>
    </row>
    <row r="924" spans="2:13" s="3" customFormat="1" x14ac:dyDescent="0.3">
      <c r="B924" s="44">
        <v>45941</v>
      </c>
      <c r="C924" s="3" t="s">
        <v>416</v>
      </c>
      <c r="D924" s="3" t="s">
        <v>65</v>
      </c>
      <c r="E924" s="42"/>
      <c r="F924" s="3" t="s">
        <v>693</v>
      </c>
      <c r="G924" s="3" t="s">
        <v>357</v>
      </c>
      <c r="H924" s="4">
        <v>3206704</v>
      </c>
      <c r="I924" s="4" t="s">
        <v>653</v>
      </c>
      <c r="J924" s="4" t="s">
        <v>451</v>
      </c>
      <c r="K924" s="4">
        <v>3211309</v>
      </c>
    </row>
    <row r="925" spans="2:13" s="3" customFormat="1" x14ac:dyDescent="0.3">
      <c r="B925" s="44">
        <v>45941</v>
      </c>
      <c r="C925" s="3" t="s">
        <v>416</v>
      </c>
      <c r="D925" s="3" t="s">
        <v>593</v>
      </c>
      <c r="E925" s="42"/>
      <c r="F925" s="3" t="s">
        <v>693</v>
      </c>
      <c r="G925" s="3" t="s">
        <v>629</v>
      </c>
      <c r="H925" s="4">
        <v>3961708</v>
      </c>
      <c r="I925" s="4" t="s">
        <v>479</v>
      </c>
      <c r="J925" s="4" t="s">
        <v>628</v>
      </c>
      <c r="K925" s="4" t="s">
        <v>642</v>
      </c>
    </row>
    <row r="926" spans="2:13" s="3" customFormat="1" x14ac:dyDescent="0.3">
      <c r="B926" s="44">
        <v>45941</v>
      </c>
      <c r="C926" s="3" t="s">
        <v>416</v>
      </c>
      <c r="D926" s="3" t="s">
        <v>504</v>
      </c>
      <c r="E926" s="42"/>
      <c r="F926" s="4" t="s">
        <v>476</v>
      </c>
      <c r="G926" s="4" t="s">
        <v>100</v>
      </c>
      <c r="H926" s="4">
        <v>3125302</v>
      </c>
      <c r="I926" s="3" t="s">
        <v>666</v>
      </c>
      <c r="J926" s="3" t="s">
        <v>12</v>
      </c>
      <c r="K926" s="4">
        <v>3034206</v>
      </c>
    </row>
    <row r="927" spans="2:13" s="3" customFormat="1" x14ac:dyDescent="0.3">
      <c r="B927" s="44">
        <v>45941</v>
      </c>
      <c r="C927" s="3" t="s">
        <v>416</v>
      </c>
      <c r="D927" s="3" t="s">
        <v>57</v>
      </c>
      <c r="E927" s="42"/>
      <c r="F927" s="32" t="s">
        <v>476</v>
      </c>
      <c r="G927" s="32" t="s">
        <v>249</v>
      </c>
      <c r="H927" s="15">
        <v>3038202</v>
      </c>
      <c r="I927" s="3" t="s">
        <v>667</v>
      </c>
      <c r="J927" s="3" t="s">
        <v>257</v>
      </c>
      <c r="K927" s="4">
        <v>3209805</v>
      </c>
    </row>
    <row r="928" spans="2:13" s="3" customFormat="1" x14ac:dyDescent="0.3">
      <c r="B928" s="44">
        <v>45941</v>
      </c>
      <c r="C928" s="3" t="s">
        <v>416</v>
      </c>
      <c r="D928" s="3" t="s">
        <v>489</v>
      </c>
      <c r="E928" s="4"/>
      <c r="F928" s="4" t="s">
        <v>476</v>
      </c>
      <c r="G928" s="4" t="s">
        <v>128</v>
      </c>
      <c r="H928" s="4">
        <v>3357202</v>
      </c>
      <c r="I928" s="4" t="s">
        <v>712</v>
      </c>
      <c r="J928" s="4" t="s">
        <v>132</v>
      </c>
      <c r="K928" s="4">
        <v>3068304</v>
      </c>
    </row>
    <row r="929" spans="1:43" s="3" customFormat="1" x14ac:dyDescent="0.3">
      <c r="B929" s="44">
        <v>45941</v>
      </c>
      <c r="C929" s="3" t="s">
        <v>416</v>
      </c>
      <c r="D929" s="3" t="s">
        <v>59</v>
      </c>
      <c r="E929" s="42"/>
      <c r="F929" s="3" t="s">
        <v>476</v>
      </c>
      <c r="G929" s="3" t="s">
        <v>274</v>
      </c>
      <c r="H929" s="4">
        <v>3206902</v>
      </c>
      <c r="I929" s="3" t="s">
        <v>710</v>
      </c>
      <c r="J929" s="3" t="s">
        <v>279</v>
      </c>
      <c r="K929" s="4">
        <v>3199706</v>
      </c>
    </row>
    <row r="930" spans="1:43" s="3" customFormat="1" x14ac:dyDescent="0.3">
      <c r="B930" s="44">
        <v>45941</v>
      </c>
      <c r="C930" s="3" t="s">
        <v>416</v>
      </c>
      <c r="D930" s="3" t="s">
        <v>493</v>
      </c>
      <c r="E930" s="42"/>
      <c r="F930" s="3" t="s">
        <v>476</v>
      </c>
      <c r="G930" s="3" t="s">
        <v>169</v>
      </c>
      <c r="H930" s="4">
        <v>3356609</v>
      </c>
      <c r="I930" s="4" t="s">
        <v>471</v>
      </c>
      <c r="J930" s="4" t="s">
        <v>217</v>
      </c>
      <c r="K930" s="4">
        <v>3348309</v>
      </c>
    </row>
    <row r="931" spans="1:43" s="3" customFormat="1" x14ac:dyDescent="0.3">
      <c r="B931" s="44">
        <v>45941</v>
      </c>
      <c r="C931" s="3" t="s">
        <v>416</v>
      </c>
      <c r="D931" s="3" t="s">
        <v>493</v>
      </c>
      <c r="E931" s="42"/>
      <c r="F931" s="3" t="s">
        <v>476</v>
      </c>
      <c r="G931" s="3" t="s">
        <v>170</v>
      </c>
      <c r="H931" s="4">
        <v>3356703</v>
      </c>
      <c r="I931" s="4" t="s">
        <v>676</v>
      </c>
      <c r="J931" s="4" t="s">
        <v>214</v>
      </c>
      <c r="K931" s="4">
        <v>3358805</v>
      </c>
    </row>
    <row r="932" spans="1:43" s="3" customFormat="1" x14ac:dyDescent="0.3">
      <c r="B932" s="44">
        <v>45941</v>
      </c>
      <c r="C932" s="3" t="s">
        <v>416</v>
      </c>
      <c r="D932" s="3" t="s">
        <v>593</v>
      </c>
      <c r="E932" s="42"/>
      <c r="F932" s="3" t="s">
        <v>476</v>
      </c>
      <c r="G932" s="3" t="s">
        <v>630</v>
      </c>
      <c r="H932" s="4">
        <v>3206308</v>
      </c>
      <c r="I932" s="4" t="s">
        <v>661</v>
      </c>
      <c r="J932" s="4" t="s">
        <v>640</v>
      </c>
      <c r="K932" s="4">
        <v>3210102</v>
      </c>
    </row>
    <row r="933" spans="1:43" s="3" customFormat="1" x14ac:dyDescent="0.3">
      <c r="A933" s="4"/>
      <c r="B933" s="100">
        <v>45941</v>
      </c>
      <c r="C933" s="98" t="s">
        <v>553</v>
      </c>
      <c r="D933" s="4" t="s">
        <v>508</v>
      </c>
      <c r="E933" s="4"/>
      <c r="F933" s="73" t="s">
        <v>534</v>
      </c>
      <c r="G933" s="73" t="s">
        <v>524</v>
      </c>
      <c r="H933" s="73"/>
      <c r="I933" s="73" t="s">
        <v>475</v>
      </c>
      <c r="J933" s="73" t="s">
        <v>475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spans="1:43" s="3" customFormat="1" x14ac:dyDescent="0.3">
      <c r="B934" s="44">
        <v>45941</v>
      </c>
      <c r="C934" s="3" t="s">
        <v>416</v>
      </c>
      <c r="D934" s="3" t="s">
        <v>57</v>
      </c>
      <c r="E934" s="42"/>
      <c r="F934" s="4" t="s">
        <v>666</v>
      </c>
      <c r="G934" s="4" t="s">
        <v>259</v>
      </c>
      <c r="H934" s="4">
        <v>3205809</v>
      </c>
      <c r="I934" s="15" t="s">
        <v>703</v>
      </c>
      <c r="J934" s="15" t="s">
        <v>585</v>
      </c>
      <c r="K934" s="74" t="s">
        <v>556</v>
      </c>
    </row>
    <row r="935" spans="1:43" s="3" customFormat="1" x14ac:dyDescent="0.3">
      <c r="B935" s="44">
        <v>45941</v>
      </c>
      <c r="C935" s="3" t="s">
        <v>416</v>
      </c>
      <c r="D935" s="3" t="s">
        <v>610</v>
      </c>
      <c r="E935" s="42"/>
      <c r="F935" s="3" t="s">
        <v>666</v>
      </c>
      <c r="G935" s="3" t="s">
        <v>348</v>
      </c>
      <c r="H935" s="4">
        <v>3205903</v>
      </c>
      <c r="I935" s="4" t="s">
        <v>685</v>
      </c>
      <c r="J935" s="4" t="s">
        <v>382</v>
      </c>
      <c r="K935" s="4">
        <v>3200804</v>
      </c>
    </row>
    <row r="936" spans="1:43" s="3" customFormat="1" x14ac:dyDescent="0.3">
      <c r="B936" s="44">
        <v>45941</v>
      </c>
      <c r="C936" s="3" t="s">
        <v>416</v>
      </c>
      <c r="D936" s="3" t="s">
        <v>495</v>
      </c>
      <c r="E936" s="42"/>
      <c r="F936" s="3" t="s">
        <v>666</v>
      </c>
      <c r="G936" s="3" t="s">
        <v>192</v>
      </c>
      <c r="H936" s="53">
        <v>3357004</v>
      </c>
      <c r="I936" s="3" t="s">
        <v>685</v>
      </c>
      <c r="J936" s="3" t="s">
        <v>197</v>
      </c>
      <c r="K936" s="4">
        <v>3353300</v>
      </c>
    </row>
    <row r="937" spans="1:43" s="3" customFormat="1" x14ac:dyDescent="0.3">
      <c r="B937" s="44">
        <v>45941</v>
      </c>
      <c r="C937" s="3" t="s">
        <v>416</v>
      </c>
      <c r="D937" s="3" t="s">
        <v>57</v>
      </c>
      <c r="E937" s="42"/>
      <c r="F937" s="73" t="s">
        <v>478</v>
      </c>
      <c r="G937" s="73" t="s">
        <v>260</v>
      </c>
      <c r="H937" s="15">
        <v>3205705</v>
      </c>
      <c r="I937" s="3" t="s">
        <v>682</v>
      </c>
      <c r="J937" s="3" t="s">
        <v>584</v>
      </c>
      <c r="K937" s="4">
        <v>3069303</v>
      </c>
    </row>
    <row r="938" spans="1:43" s="3" customFormat="1" x14ac:dyDescent="0.3">
      <c r="B938" s="44">
        <v>45941</v>
      </c>
      <c r="C938" s="3" t="s">
        <v>416</v>
      </c>
      <c r="D938" s="3" t="s">
        <v>61</v>
      </c>
      <c r="E938" s="42"/>
      <c r="F938" s="4" t="s">
        <v>478</v>
      </c>
      <c r="G938" s="4" t="s">
        <v>330</v>
      </c>
      <c r="H938" s="4">
        <v>3205309</v>
      </c>
      <c r="I938" s="106" t="s">
        <v>659</v>
      </c>
      <c r="J938" s="106" t="s">
        <v>367</v>
      </c>
      <c r="K938" s="106">
        <v>3208806</v>
      </c>
    </row>
    <row r="939" spans="1:43" s="3" customFormat="1" x14ac:dyDescent="0.3">
      <c r="B939" s="44">
        <v>45941</v>
      </c>
      <c r="C939" s="3" t="s">
        <v>416</v>
      </c>
      <c r="D939" s="3" t="s">
        <v>63</v>
      </c>
      <c r="E939" s="42"/>
      <c r="F939" s="3" t="s">
        <v>478</v>
      </c>
      <c r="G939" s="3" t="s">
        <v>331</v>
      </c>
      <c r="H939" s="74">
        <v>3205403</v>
      </c>
      <c r="I939" s="104" t="s">
        <v>645</v>
      </c>
      <c r="J939" s="104" t="s">
        <v>333</v>
      </c>
      <c r="K939" s="74">
        <v>3198801</v>
      </c>
    </row>
    <row r="940" spans="1:43" s="3" customFormat="1" x14ac:dyDescent="0.3">
      <c r="B940" s="44">
        <v>45941</v>
      </c>
      <c r="C940" s="3" t="s">
        <v>416</v>
      </c>
      <c r="D940" s="3" t="s">
        <v>66</v>
      </c>
      <c r="E940" s="42"/>
      <c r="F940" s="3" t="s">
        <v>478</v>
      </c>
      <c r="G940" s="3" t="s">
        <v>604</v>
      </c>
      <c r="H940" s="74">
        <v>3205507</v>
      </c>
      <c r="I940" s="104" t="s">
        <v>680</v>
      </c>
      <c r="J940" s="104" t="s">
        <v>603</v>
      </c>
      <c r="K940" s="74">
        <v>3945400</v>
      </c>
    </row>
    <row r="941" spans="1:43" s="3" customFormat="1" x14ac:dyDescent="0.3">
      <c r="B941" s="44">
        <v>45941</v>
      </c>
      <c r="C941" s="3" t="s">
        <v>416</v>
      </c>
      <c r="D941" s="3" t="s">
        <v>58</v>
      </c>
      <c r="E941" s="42"/>
      <c r="F941" s="3" t="s">
        <v>690</v>
      </c>
      <c r="G941" s="3" t="s">
        <v>303</v>
      </c>
      <c r="H941" s="4">
        <v>3205101</v>
      </c>
      <c r="I941" s="3" t="s">
        <v>703</v>
      </c>
      <c r="J941" s="3" t="s">
        <v>586</v>
      </c>
      <c r="K941" s="32" t="s">
        <v>588</v>
      </c>
    </row>
    <row r="942" spans="1:43" s="3" customFormat="1" x14ac:dyDescent="0.3">
      <c r="B942" s="44">
        <v>45941</v>
      </c>
      <c r="C942" s="3" t="s">
        <v>416</v>
      </c>
      <c r="D942" s="3" t="s">
        <v>489</v>
      </c>
      <c r="E942" s="4"/>
      <c r="F942" s="4" t="s">
        <v>682</v>
      </c>
      <c r="G942" s="4" t="s">
        <v>564</v>
      </c>
      <c r="H942" s="4">
        <v>3969804</v>
      </c>
      <c r="I942" s="4" t="s">
        <v>679</v>
      </c>
      <c r="J942" s="4" t="s">
        <v>135</v>
      </c>
      <c r="K942" s="4">
        <v>3346603</v>
      </c>
    </row>
    <row r="943" spans="1:43" s="3" customFormat="1" x14ac:dyDescent="0.3">
      <c r="B943" s="44">
        <v>45941</v>
      </c>
      <c r="C943" s="3" t="s">
        <v>416</v>
      </c>
      <c r="D943" s="4" t="s">
        <v>614</v>
      </c>
      <c r="E943" s="42"/>
      <c r="F943" s="3" t="s">
        <v>682</v>
      </c>
      <c r="G943" s="3" t="s">
        <v>622</v>
      </c>
      <c r="H943" s="4">
        <v>3969502</v>
      </c>
      <c r="I943" s="4" t="s">
        <v>714</v>
      </c>
      <c r="J943" s="4" t="s">
        <v>454</v>
      </c>
      <c r="K943" s="4">
        <v>3820300</v>
      </c>
    </row>
    <row r="944" spans="1:43" s="3" customFormat="1" x14ac:dyDescent="0.3">
      <c r="B944" s="44">
        <v>45941</v>
      </c>
      <c r="C944" s="3" t="s">
        <v>416</v>
      </c>
      <c r="D944" s="3" t="s">
        <v>501</v>
      </c>
      <c r="E944" s="42"/>
      <c r="F944" s="3" t="s">
        <v>682</v>
      </c>
      <c r="G944" s="3" t="s">
        <v>579</v>
      </c>
      <c r="H944" s="53">
        <v>3970007</v>
      </c>
      <c r="I944" s="3" t="s">
        <v>472</v>
      </c>
      <c r="J944" s="3" t="s">
        <v>578</v>
      </c>
      <c r="K944" s="4">
        <v>4022700</v>
      </c>
      <c r="M944" s="51"/>
    </row>
    <row r="945" spans="1:43" s="3" customFormat="1" x14ac:dyDescent="0.3">
      <c r="B945" s="44">
        <v>45941</v>
      </c>
      <c r="C945" s="3" t="s">
        <v>416</v>
      </c>
      <c r="D945" s="3" t="s">
        <v>592</v>
      </c>
      <c r="E945" s="42"/>
      <c r="F945" s="3" t="s">
        <v>682</v>
      </c>
      <c r="G945" s="3" t="s">
        <v>635</v>
      </c>
      <c r="H945" s="74">
        <v>3969700</v>
      </c>
      <c r="I945" s="3" t="s">
        <v>570</v>
      </c>
      <c r="J945" s="3" t="s">
        <v>570</v>
      </c>
      <c r="K945" s="4" t="s">
        <v>556</v>
      </c>
    </row>
    <row r="946" spans="1:43" s="3" customFormat="1" x14ac:dyDescent="0.3">
      <c r="B946" s="44">
        <v>45941</v>
      </c>
      <c r="C946" s="3" t="s">
        <v>416</v>
      </c>
      <c r="D946" s="3" t="s">
        <v>62</v>
      </c>
      <c r="E946" s="42"/>
      <c r="F946" s="3" t="s">
        <v>700</v>
      </c>
      <c r="G946" s="3" t="s">
        <v>442</v>
      </c>
      <c r="H946" s="4">
        <v>3205007</v>
      </c>
      <c r="I946" s="3" t="s">
        <v>694</v>
      </c>
      <c r="J946" s="3" t="s">
        <v>340</v>
      </c>
      <c r="K946" s="4">
        <v>3201803</v>
      </c>
    </row>
    <row r="947" spans="1:43" s="3" customFormat="1" x14ac:dyDescent="0.3">
      <c r="B947" s="44">
        <v>45941</v>
      </c>
      <c r="C947" s="3" t="s">
        <v>416</v>
      </c>
      <c r="D947" s="3" t="s">
        <v>493</v>
      </c>
      <c r="E947" s="42"/>
      <c r="F947" s="3" t="s">
        <v>701</v>
      </c>
      <c r="G947" s="3" t="s">
        <v>171</v>
      </c>
      <c r="H947" s="4">
        <v>3355600</v>
      </c>
      <c r="I947" s="4" t="s">
        <v>480</v>
      </c>
      <c r="J947" s="4" t="s">
        <v>423</v>
      </c>
      <c r="K947" s="4">
        <v>3360403</v>
      </c>
    </row>
    <row r="948" spans="1:43" s="3" customFormat="1" x14ac:dyDescent="0.3">
      <c r="B948" s="44">
        <v>45941</v>
      </c>
      <c r="C948" s="3" t="s">
        <v>416</v>
      </c>
      <c r="D948" s="3" t="s">
        <v>62</v>
      </c>
      <c r="E948" s="42"/>
      <c r="F948" s="3" t="s">
        <v>701</v>
      </c>
      <c r="G948" s="3" t="s">
        <v>360</v>
      </c>
      <c r="H948" s="4">
        <v>3203801</v>
      </c>
      <c r="I948" s="3" t="s">
        <v>471</v>
      </c>
      <c r="J948" s="3" t="s">
        <v>328</v>
      </c>
      <c r="K948" s="4">
        <v>3196803</v>
      </c>
    </row>
    <row r="949" spans="1:43" s="3" customFormat="1" x14ac:dyDescent="0.3">
      <c r="B949" s="44">
        <v>45941</v>
      </c>
      <c r="C949" s="3" t="s">
        <v>416</v>
      </c>
      <c r="D949" s="3" t="s">
        <v>500</v>
      </c>
      <c r="E949" s="42"/>
      <c r="F949" s="3" t="s">
        <v>701</v>
      </c>
      <c r="G949" s="3" t="s">
        <v>236</v>
      </c>
      <c r="H949" s="4">
        <v>3355704</v>
      </c>
      <c r="I949" s="4" t="s">
        <v>657</v>
      </c>
      <c r="J949" s="4" t="s">
        <v>574</v>
      </c>
      <c r="K949" s="4">
        <v>3359606</v>
      </c>
    </row>
    <row r="950" spans="1:43" s="3" customFormat="1" x14ac:dyDescent="0.3">
      <c r="B950" s="44">
        <v>45941</v>
      </c>
      <c r="C950" s="3" t="s">
        <v>416</v>
      </c>
      <c r="D950" s="3" t="s">
        <v>593</v>
      </c>
      <c r="E950" s="42"/>
      <c r="F950" s="3" t="s">
        <v>701</v>
      </c>
      <c r="G950" s="3" t="s">
        <v>631</v>
      </c>
      <c r="H950" s="4">
        <v>4023209</v>
      </c>
      <c r="I950" s="4" t="s">
        <v>663</v>
      </c>
      <c r="J950" s="4" t="s">
        <v>396</v>
      </c>
      <c r="K950" s="4">
        <v>3197104</v>
      </c>
    </row>
    <row r="951" spans="1:43" s="3" customFormat="1" x14ac:dyDescent="0.3">
      <c r="B951" s="44">
        <v>45941</v>
      </c>
      <c r="C951" s="3" t="s">
        <v>416</v>
      </c>
      <c r="D951" s="3" t="s">
        <v>491</v>
      </c>
      <c r="E951" s="42"/>
      <c r="F951" s="4" t="s">
        <v>702</v>
      </c>
      <c r="G951" s="4" t="s">
        <v>180</v>
      </c>
      <c r="H951" s="4">
        <v>3355308</v>
      </c>
      <c r="I951" s="3" t="s">
        <v>478</v>
      </c>
      <c r="J951" s="3" t="s">
        <v>463</v>
      </c>
      <c r="K951" s="74">
        <v>3125500</v>
      </c>
    </row>
    <row r="952" spans="1:43" s="3" customFormat="1" x14ac:dyDescent="0.3">
      <c r="B952" s="44">
        <v>45941</v>
      </c>
      <c r="C952" s="3" t="s">
        <v>416</v>
      </c>
      <c r="D952" s="3" t="s">
        <v>487</v>
      </c>
      <c r="E952" s="4"/>
      <c r="F952" s="3" t="s">
        <v>695</v>
      </c>
      <c r="G952" s="3" t="s">
        <v>101</v>
      </c>
      <c r="H952" s="4">
        <v>3067305</v>
      </c>
      <c r="I952" s="3" t="s">
        <v>663</v>
      </c>
      <c r="J952" s="3" t="s">
        <v>419</v>
      </c>
      <c r="K952" s="4">
        <v>3349204</v>
      </c>
    </row>
    <row r="953" spans="1:43" s="3" customFormat="1" x14ac:dyDescent="0.3">
      <c r="B953" s="44">
        <v>45941</v>
      </c>
      <c r="C953" s="3" t="s">
        <v>416</v>
      </c>
      <c r="D953" s="3" t="s">
        <v>60</v>
      </c>
      <c r="E953" s="42"/>
      <c r="F953" s="3" t="s">
        <v>695</v>
      </c>
      <c r="G953" s="3" t="s">
        <v>296</v>
      </c>
      <c r="H953" s="4">
        <v>3203905</v>
      </c>
      <c r="I953" s="3" t="s">
        <v>706</v>
      </c>
      <c r="J953" s="3" t="s">
        <v>299</v>
      </c>
      <c r="K953" s="32">
        <v>3199102</v>
      </c>
    </row>
    <row r="954" spans="1:43" s="3" customFormat="1" x14ac:dyDescent="0.3">
      <c r="B954" s="44">
        <v>45941</v>
      </c>
      <c r="C954" s="3" t="s">
        <v>416</v>
      </c>
      <c r="D954" s="3" t="s">
        <v>488</v>
      </c>
      <c r="E954" s="42"/>
      <c r="F954" s="4" t="s">
        <v>695</v>
      </c>
      <c r="G954" s="4" t="s">
        <v>147</v>
      </c>
      <c r="H954" s="4">
        <v>3067409</v>
      </c>
      <c r="I954" s="3" t="s">
        <v>680</v>
      </c>
      <c r="J954" s="3" t="s">
        <v>117</v>
      </c>
      <c r="K954" s="4">
        <v>3359002</v>
      </c>
    </row>
    <row r="955" spans="1:43" s="3" customFormat="1" x14ac:dyDescent="0.3">
      <c r="A955" s="4"/>
      <c r="B955" s="100">
        <v>45941</v>
      </c>
      <c r="C955" s="98" t="s">
        <v>553</v>
      </c>
      <c r="D955" s="4" t="s">
        <v>508</v>
      </c>
      <c r="E955" s="4"/>
      <c r="F955" s="73" t="s">
        <v>473</v>
      </c>
      <c r="G955" s="73" t="s">
        <v>473</v>
      </c>
      <c r="H955" s="73"/>
      <c r="I955" s="73" t="s">
        <v>554</v>
      </c>
      <c r="J955" s="73" t="s">
        <v>9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spans="1:43" s="3" customFormat="1" x14ac:dyDescent="0.3">
      <c r="B956" s="44">
        <v>45941</v>
      </c>
      <c r="C956" s="3" t="s">
        <v>416</v>
      </c>
      <c r="D956" s="3" t="s">
        <v>60</v>
      </c>
      <c r="E956" s="42"/>
      <c r="F956" s="3" t="s">
        <v>473</v>
      </c>
      <c r="G956" s="3" t="s">
        <v>445</v>
      </c>
      <c r="H956" s="4">
        <v>3204102</v>
      </c>
      <c r="I956" s="3" t="s">
        <v>473</v>
      </c>
      <c r="J956" s="3" t="s">
        <v>298</v>
      </c>
      <c r="K956" s="32">
        <v>3817807</v>
      </c>
    </row>
    <row r="957" spans="1:43" s="3" customFormat="1" x14ac:dyDescent="0.3">
      <c r="B957" s="44">
        <v>45941</v>
      </c>
      <c r="C957" s="3" t="s">
        <v>416</v>
      </c>
      <c r="D957" s="3" t="s">
        <v>60</v>
      </c>
      <c r="E957" s="42"/>
      <c r="F957" s="3" t="s">
        <v>473</v>
      </c>
      <c r="G957" s="3" t="s">
        <v>446</v>
      </c>
      <c r="H957" s="4">
        <v>3204206</v>
      </c>
      <c r="I957" s="3" t="s">
        <v>721</v>
      </c>
      <c r="J957" s="3" t="s">
        <v>300</v>
      </c>
      <c r="K957" s="32">
        <v>3194805</v>
      </c>
    </row>
    <row r="958" spans="1:43" s="3" customFormat="1" x14ac:dyDescent="0.3">
      <c r="B958" s="44">
        <v>45941</v>
      </c>
      <c r="C958" s="3" t="s">
        <v>416</v>
      </c>
      <c r="D958" s="3" t="s">
        <v>67</v>
      </c>
      <c r="E958" s="42"/>
      <c r="F958" s="4" t="s">
        <v>708</v>
      </c>
      <c r="G958" s="4" t="s">
        <v>339</v>
      </c>
      <c r="H958" s="4">
        <v>3204300</v>
      </c>
      <c r="I958" s="4" t="s">
        <v>662</v>
      </c>
      <c r="J958" s="4" t="s">
        <v>373</v>
      </c>
      <c r="K958" s="4">
        <v>3207807</v>
      </c>
    </row>
    <row r="959" spans="1:43" s="3" customFormat="1" x14ac:dyDescent="0.3">
      <c r="B959" s="44">
        <v>45941</v>
      </c>
      <c r="C959" s="3" t="s">
        <v>416</v>
      </c>
      <c r="D959" s="3" t="s">
        <v>488</v>
      </c>
      <c r="E959" s="42"/>
      <c r="F959" s="3" t="s">
        <v>703</v>
      </c>
      <c r="G959" s="3" t="s">
        <v>560</v>
      </c>
      <c r="H959" s="4" t="s">
        <v>562</v>
      </c>
      <c r="I959" s="3" t="s">
        <v>645</v>
      </c>
      <c r="J959" s="3" t="s">
        <v>123</v>
      </c>
      <c r="K959" s="4">
        <v>3351104</v>
      </c>
    </row>
    <row r="960" spans="1:43" s="3" customFormat="1" x14ac:dyDescent="0.3">
      <c r="B960" s="44">
        <v>45941</v>
      </c>
      <c r="C960" s="3" t="s">
        <v>416</v>
      </c>
      <c r="D960" s="3" t="s">
        <v>66</v>
      </c>
      <c r="E960" s="42"/>
      <c r="F960" s="3" t="s">
        <v>703</v>
      </c>
      <c r="G960" s="3" t="s">
        <v>606</v>
      </c>
      <c r="H960" s="74" t="s">
        <v>588</v>
      </c>
      <c r="I960" s="3" t="s">
        <v>696</v>
      </c>
      <c r="J960" s="3" t="s">
        <v>609</v>
      </c>
      <c r="K960" s="74">
        <v>3900401</v>
      </c>
    </row>
    <row r="961" spans="2:11" s="3" customFormat="1" x14ac:dyDescent="0.3">
      <c r="B961" s="44">
        <v>45941</v>
      </c>
      <c r="C961" s="3" t="s">
        <v>416</v>
      </c>
      <c r="D961" s="3" t="s">
        <v>58</v>
      </c>
      <c r="E961" s="42"/>
      <c r="F961" s="3" t="s">
        <v>683</v>
      </c>
      <c r="G961" s="3" t="s">
        <v>305</v>
      </c>
      <c r="H961" s="4">
        <v>3202906</v>
      </c>
      <c r="I961" s="3" t="s">
        <v>721</v>
      </c>
      <c r="J961" s="3" t="s">
        <v>271</v>
      </c>
      <c r="K961" s="32">
        <v>3194701</v>
      </c>
    </row>
    <row r="962" spans="2:11" s="3" customFormat="1" x14ac:dyDescent="0.3">
      <c r="B962" s="44">
        <v>45941</v>
      </c>
      <c r="C962" s="3" t="s">
        <v>416</v>
      </c>
      <c r="D962" s="3" t="s">
        <v>63</v>
      </c>
      <c r="E962" s="42"/>
      <c r="F962" s="3" t="s">
        <v>683</v>
      </c>
      <c r="G962" s="3" t="s">
        <v>368</v>
      </c>
      <c r="H962" s="74">
        <v>3203009</v>
      </c>
      <c r="I962" s="104" t="s">
        <v>712</v>
      </c>
      <c r="J962" s="104" t="s">
        <v>334</v>
      </c>
      <c r="K962" s="74">
        <v>3198009</v>
      </c>
    </row>
    <row r="963" spans="2:11" s="3" customFormat="1" x14ac:dyDescent="0.3">
      <c r="B963" s="44">
        <v>45941</v>
      </c>
      <c r="C963" s="3" t="s">
        <v>416</v>
      </c>
      <c r="D963" s="3" t="s">
        <v>487</v>
      </c>
      <c r="E963" s="4"/>
      <c r="F963" s="3" t="s">
        <v>709</v>
      </c>
      <c r="G963" s="3" t="s">
        <v>111</v>
      </c>
      <c r="H963" s="4">
        <v>3354601</v>
      </c>
      <c r="I963" s="3" t="s">
        <v>647</v>
      </c>
      <c r="J963" s="3" t="s">
        <v>116</v>
      </c>
      <c r="K963" s="4">
        <v>3346009</v>
      </c>
    </row>
    <row r="964" spans="2:11" s="3" customFormat="1" x14ac:dyDescent="0.3">
      <c r="B964" s="44">
        <v>45941</v>
      </c>
      <c r="C964" s="3" t="s">
        <v>416</v>
      </c>
      <c r="D964" s="3" t="s">
        <v>491</v>
      </c>
      <c r="E964" s="42"/>
      <c r="F964" s="4" t="s">
        <v>709</v>
      </c>
      <c r="G964" s="4" t="s">
        <v>566</v>
      </c>
      <c r="H964" s="4">
        <v>3560703</v>
      </c>
      <c r="I964" s="3" t="s">
        <v>695</v>
      </c>
      <c r="J964" s="3" t="s">
        <v>148</v>
      </c>
      <c r="K964" s="4">
        <v>3355402</v>
      </c>
    </row>
    <row r="965" spans="2:11" s="3" customFormat="1" x14ac:dyDescent="0.3">
      <c r="B965" s="44">
        <v>45941</v>
      </c>
      <c r="C965" s="3" t="s">
        <v>416</v>
      </c>
      <c r="D965" s="3" t="s">
        <v>66</v>
      </c>
      <c r="E965" s="42"/>
      <c r="F965" s="3" t="s">
        <v>709</v>
      </c>
      <c r="G965" s="3" t="s">
        <v>607</v>
      </c>
      <c r="H965" s="4">
        <v>3596309</v>
      </c>
      <c r="I965" s="3" t="s">
        <v>690</v>
      </c>
      <c r="J965" s="3" t="s">
        <v>605</v>
      </c>
      <c r="K965" s="74">
        <v>3900109</v>
      </c>
    </row>
    <row r="966" spans="2:11" s="3" customFormat="1" x14ac:dyDescent="0.3">
      <c r="B966" s="44">
        <v>45941</v>
      </c>
      <c r="C966" s="3" t="s">
        <v>416</v>
      </c>
      <c r="D966" s="3" t="s">
        <v>61</v>
      </c>
      <c r="E966" s="42"/>
      <c r="F966" s="3" t="s">
        <v>684</v>
      </c>
      <c r="G966" s="3" t="s">
        <v>306</v>
      </c>
      <c r="H966" s="4">
        <v>3202604</v>
      </c>
      <c r="I966" s="3" t="s">
        <v>690</v>
      </c>
      <c r="J966" s="3" t="s">
        <v>304</v>
      </c>
      <c r="K966" s="4">
        <v>3204404</v>
      </c>
    </row>
    <row r="967" spans="2:11" s="3" customFormat="1" x14ac:dyDescent="0.3">
      <c r="B967" s="44">
        <v>45941</v>
      </c>
      <c r="C967" s="3" t="s">
        <v>416</v>
      </c>
      <c r="D967" s="3" t="s">
        <v>491</v>
      </c>
      <c r="E967" s="42"/>
      <c r="F967" s="3" t="s">
        <v>684</v>
      </c>
      <c r="G967" s="3" t="s">
        <v>149</v>
      </c>
      <c r="H967" s="4">
        <v>3354507</v>
      </c>
      <c r="I967" s="3" t="s">
        <v>697</v>
      </c>
      <c r="J967" s="3" t="s">
        <v>150</v>
      </c>
      <c r="K967" s="4">
        <v>3353706</v>
      </c>
    </row>
    <row r="968" spans="2:11" s="3" customFormat="1" x14ac:dyDescent="0.3">
      <c r="B968" s="44">
        <v>45941</v>
      </c>
      <c r="C968" s="3" t="s">
        <v>416</v>
      </c>
      <c r="D968" s="3" t="s">
        <v>66</v>
      </c>
      <c r="E968" s="42"/>
      <c r="F968" s="3" t="s">
        <v>684</v>
      </c>
      <c r="G968" s="3" t="s">
        <v>608</v>
      </c>
      <c r="H968" s="74">
        <v>3819107</v>
      </c>
      <c r="I968" s="104" t="s">
        <v>659</v>
      </c>
      <c r="J968" s="104" t="s">
        <v>602</v>
      </c>
      <c r="K968" s="74">
        <v>4023001</v>
      </c>
    </row>
    <row r="969" spans="2:11" s="3" customFormat="1" x14ac:dyDescent="0.3">
      <c r="B969" s="44">
        <v>45941</v>
      </c>
      <c r="C969" s="3" t="s">
        <v>416</v>
      </c>
      <c r="D969" s="3" t="s">
        <v>491</v>
      </c>
      <c r="E969" s="42"/>
      <c r="F969" s="104" t="s">
        <v>684</v>
      </c>
      <c r="G969" s="104" t="s">
        <v>182</v>
      </c>
      <c r="H969" s="53">
        <v>3900203</v>
      </c>
      <c r="I969" s="3" t="s">
        <v>645</v>
      </c>
      <c r="J969" s="3" t="s">
        <v>152</v>
      </c>
      <c r="K969" s="4">
        <v>3351302</v>
      </c>
    </row>
    <row r="970" spans="2:11" s="3" customFormat="1" x14ac:dyDescent="0.3">
      <c r="B970" s="44">
        <v>45941</v>
      </c>
      <c r="C970" s="3" t="s">
        <v>416</v>
      </c>
      <c r="D970" s="3" t="s">
        <v>56</v>
      </c>
      <c r="E970" s="42"/>
      <c r="F970" s="3" t="s">
        <v>646</v>
      </c>
      <c r="G970" s="3" t="s">
        <v>251</v>
      </c>
      <c r="H970" s="4">
        <v>3036704</v>
      </c>
      <c r="I970" s="3" t="s">
        <v>690</v>
      </c>
      <c r="J970" s="3" t="s">
        <v>250</v>
      </c>
      <c r="K970" s="4">
        <v>3070100</v>
      </c>
    </row>
    <row r="971" spans="2:11" s="3" customFormat="1" x14ac:dyDescent="0.3">
      <c r="B971" s="44">
        <v>45941</v>
      </c>
      <c r="C971" s="3" t="s">
        <v>416</v>
      </c>
      <c r="D971" s="3" t="s">
        <v>59</v>
      </c>
      <c r="E971" s="42"/>
      <c r="F971" s="3" t="s">
        <v>646</v>
      </c>
      <c r="G971" s="3" t="s">
        <v>275</v>
      </c>
      <c r="H971" s="4">
        <v>3202406</v>
      </c>
      <c r="I971" s="3" t="s">
        <v>661</v>
      </c>
      <c r="J971" s="3" t="s">
        <v>641</v>
      </c>
      <c r="K971" s="4">
        <v>3055707</v>
      </c>
    </row>
    <row r="972" spans="2:11" s="3" customFormat="1" x14ac:dyDescent="0.3">
      <c r="B972" s="44">
        <v>45941</v>
      </c>
      <c r="C972" s="3" t="s">
        <v>416</v>
      </c>
      <c r="D972" s="3" t="s">
        <v>492</v>
      </c>
      <c r="E972" s="42"/>
      <c r="F972" s="4" t="s">
        <v>646</v>
      </c>
      <c r="G972" s="4" t="s">
        <v>194</v>
      </c>
      <c r="H972" s="4">
        <v>3354205</v>
      </c>
      <c r="I972" s="4" t="s">
        <v>648</v>
      </c>
      <c r="J972" s="4" t="s">
        <v>201</v>
      </c>
      <c r="K972" s="4">
        <v>3362203</v>
      </c>
    </row>
    <row r="973" spans="2:11" s="3" customFormat="1" x14ac:dyDescent="0.3">
      <c r="B973" s="44">
        <v>45941</v>
      </c>
      <c r="C973" s="3" t="s">
        <v>416</v>
      </c>
      <c r="D973" s="3" t="s">
        <v>610</v>
      </c>
      <c r="E973" s="42"/>
      <c r="F973" s="3" t="s">
        <v>646</v>
      </c>
      <c r="G973" s="3" t="s">
        <v>350</v>
      </c>
      <c r="H973" s="4">
        <v>3202802</v>
      </c>
      <c r="I973" s="4" t="s">
        <v>714</v>
      </c>
      <c r="J973" s="4" t="s">
        <v>352</v>
      </c>
      <c r="K973" s="4">
        <v>3197208</v>
      </c>
    </row>
    <row r="974" spans="2:11" s="3" customFormat="1" x14ac:dyDescent="0.3">
      <c r="B974" s="44">
        <v>45941</v>
      </c>
      <c r="C974" s="3" t="s">
        <v>416</v>
      </c>
      <c r="D974" s="3" t="s">
        <v>56</v>
      </c>
      <c r="E974" s="42"/>
      <c r="F974" s="4" t="s">
        <v>696</v>
      </c>
      <c r="G974" s="4" t="s">
        <v>261</v>
      </c>
      <c r="H974" s="4">
        <v>3202302</v>
      </c>
      <c r="I974" s="73" t="s">
        <v>474</v>
      </c>
      <c r="J974" s="73" t="s">
        <v>253</v>
      </c>
      <c r="K974" s="4">
        <v>3037109</v>
      </c>
    </row>
    <row r="975" spans="2:11" s="3" customFormat="1" x14ac:dyDescent="0.3">
      <c r="B975" s="44">
        <v>45941</v>
      </c>
      <c r="C975" s="3" t="s">
        <v>416</v>
      </c>
      <c r="D975" s="3" t="s">
        <v>61</v>
      </c>
      <c r="E975" s="42"/>
      <c r="F975" s="3" t="s">
        <v>696</v>
      </c>
      <c r="G975" s="3" t="s">
        <v>307</v>
      </c>
      <c r="H975" s="4">
        <v>3201907</v>
      </c>
      <c r="I975" s="73" t="s">
        <v>680</v>
      </c>
      <c r="J975" s="73" t="s">
        <v>302</v>
      </c>
      <c r="K975" s="4">
        <v>3208400</v>
      </c>
    </row>
    <row r="976" spans="2:11" s="3" customFormat="1" x14ac:dyDescent="0.3">
      <c r="B976" s="44">
        <v>45941</v>
      </c>
      <c r="C976" s="3" t="s">
        <v>416</v>
      </c>
      <c r="D976" s="3" t="s">
        <v>500</v>
      </c>
      <c r="E976" s="42"/>
      <c r="F976" s="3" t="s">
        <v>672</v>
      </c>
      <c r="G976" s="3" t="s">
        <v>187</v>
      </c>
      <c r="H976" s="4">
        <v>3354101</v>
      </c>
      <c r="I976" s="4" t="s">
        <v>471</v>
      </c>
      <c r="J976" s="4" t="s">
        <v>467</v>
      </c>
      <c r="K976" s="4">
        <v>3819409</v>
      </c>
    </row>
    <row r="977" spans="2:11" s="3" customFormat="1" x14ac:dyDescent="0.3">
      <c r="B977" s="44">
        <v>45941</v>
      </c>
      <c r="C977" s="3" t="s">
        <v>416</v>
      </c>
      <c r="D977" s="3" t="s">
        <v>64</v>
      </c>
      <c r="E977" s="42">
        <v>4370907</v>
      </c>
      <c r="F977" s="3" t="s">
        <v>672</v>
      </c>
      <c r="G977" s="3" t="s">
        <v>316</v>
      </c>
      <c r="H977" s="4">
        <v>3069105</v>
      </c>
      <c r="I977" s="4" t="s">
        <v>669</v>
      </c>
      <c r="J977" s="4" t="s">
        <v>337</v>
      </c>
      <c r="K977" s="4">
        <v>3209305</v>
      </c>
    </row>
    <row r="978" spans="2:11" s="3" customFormat="1" x14ac:dyDescent="0.3">
      <c r="B978" s="44">
        <v>45941</v>
      </c>
      <c r="C978" s="3" t="s">
        <v>416</v>
      </c>
      <c r="D978" s="3" t="s">
        <v>67</v>
      </c>
      <c r="E978" s="42"/>
      <c r="F978" s="3" t="s">
        <v>672</v>
      </c>
      <c r="G978" s="3" t="s">
        <v>375</v>
      </c>
      <c r="H978" s="4">
        <v>3069209</v>
      </c>
      <c r="I978" s="3" t="s">
        <v>647</v>
      </c>
      <c r="J978" s="3" t="s">
        <v>345</v>
      </c>
      <c r="K978" s="4">
        <v>3194003</v>
      </c>
    </row>
    <row r="979" spans="2:11" s="3" customFormat="1" x14ac:dyDescent="0.3">
      <c r="B979" s="44">
        <v>45941</v>
      </c>
      <c r="C979" s="3" t="s">
        <v>416</v>
      </c>
      <c r="D979" s="3" t="s">
        <v>488</v>
      </c>
      <c r="E979" s="42"/>
      <c r="F979" s="4" t="s">
        <v>697</v>
      </c>
      <c r="G979" s="4" t="s">
        <v>122</v>
      </c>
      <c r="H979" s="4">
        <v>3353800</v>
      </c>
      <c r="I979" s="4" t="s">
        <v>684</v>
      </c>
      <c r="J979" s="4" t="s">
        <v>121</v>
      </c>
      <c r="K979" s="4">
        <v>3354309</v>
      </c>
    </row>
    <row r="980" spans="2:11" s="3" customFormat="1" x14ac:dyDescent="0.3">
      <c r="B980" s="44">
        <v>45941</v>
      </c>
      <c r="C980" s="3" t="s">
        <v>416</v>
      </c>
      <c r="D980" s="3" t="s">
        <v>58</v>
      </c>
      <c r="E980" s="42"/>
      <c r="F980" s="3" t="s">
        <v>697</v>
      </c>
      <c r="G980" s="3" t="s">
        <v>262</v>
      </c>
      <c r="H980" s="4">
        <v>3055405</v>
      </c>
      <c r="I980" s="3" t="s">
        <v>702</v>
      </c>
      <c r="J980" s="3" t="s">
        <v>447</v>
      </c>
      <c r="K980" s="32">
        <v>3055207</v>
      </c>
    </row>
    <row r="981" spans="2:11" s="3" customFormat="1" x14ac:dyDescent="0.3">
      <c r="B981" s="44">
        <v>45941</v>
      </c>
      <c r="C981" s="3" t="s">
        <v>416</v>
      </c>
      <c r="D981" s="3" t="s">
        <v>63</v>
      </c>
      <c r="E981" s="42"/>
      <c r="F981" s="3" t="s">
        <v>697</v>
      </c>
      <c r="G981" s="3" t="s">
        <v>448</v>
      </c>
      <c r="H981" s="4">
        <v>3036808</v>
      </c>
      <c r="I981" s="3" t="s">
        <v>658</v>
      </c>
      <c r="J981" s="3" t="s">
        <v>366</v>
      </c>
      <c r="K981" s="74">
        <v>3210404</v>
      </c>
    </row>
    <row r="982" spans="2:11" s="3" customFormat="1" x14ac:dyDescent="0.3">
      <c r="B982" s="44">
        <v>45941</v>
      </c>
      <c r="C982" s="3" t="s">
        <v>416</v>
      </c>
      <c r="D982" s="3" t="s">
        <v>504</v>
      </c>
      <c r="E982" s="42"/>
      <c r="F982" s="4" t="s">
        <v>694</v>
      </c>
      <c r="G982" s="4" t="s">
        <v>112</v>
      </c>
      <c r="H982" s="4">
        <v>3353602</v>
      </c>
      <c r="I982" s="3" t="s">
        <v>475</v>
      </c>
      <c r="J982" s="3" t="s">
        <v>15</v>
      </c>
      <c r="K982" s="4">
        <v>3029601</v>
      </c>
    </row>
    <row r="983" spans="2:11" s="3" customFormat="1" x14ac:dyDescent="0.3">
      <c r="B983" s="44">
        <v>45941</v>
      </c>
      <c r="C983" s="3" t="s">
        <v>416</v>
      </c>
      <c r="D983" s="3" t="s">
        <v>69</v>
      </c>
      <c r="E983" s="42"/>
      <c r="F983" s="3" t="s">
        <v>694</v>
      </c>
      <c r="G983" s="3" t="s">
        <v>376</v>
      </c>
      <c r="H983" s="53">
        <v>3201303</v>
      </c>
      <c r="I983" s="3" t="s">
        <v>657</v>
      </c>
      <c r="J983" s="3" t="s">
        <v>393</v>
      </c>
      <c r="K983" s="4">
        <v>3209701</v>
      </c>
    </row>
    <row r="984" spans="2:11" s="3" customFormat="1" x14ac:dyDescent="0.3">
      <c r="B984" s="44">
        <v>45941</v>
      </c>
      <c r="C984" s="3" t="s">
        <v>416</v>
      </c>
      <c r="D984" s="3" t="s">
        <v>69</v>
      </c>
      <c r="E984" s="42"/>
      <c r="F984" s="3" t="s">
        <v>694</v>
      </c>
      <c r="G984" s="3" t="s">
        <v>402</v>
      </c>
      <c r="H984" s="4">
        <v>3201407</v>
      </c>
      <c r="I984" s="3" t="s">
        <v>656</v>
      </c>
      <c r="J984" s="3" t="s">
        <v>361</v>
      </c>
      <c r="K984" s="4">
        <v>3200002</v>
      </c>
    </row>
    <row r="985" spans="2:11" s="3" customFormat="1" x14ac:dyDescent="0.3">
      <c r="B985" s="44">
        <v>45941</v>
      </c>
      <c r="C985" s="3" t="s">
        <v>416</v>
      </c>
      <c r="D985" s="3" t="s">
        <v>593</v>
      </c>
      <c r="E985" s="42"/>
      <c r="F985" s="3" t="s">
        <v>694</v>
      </c>
      <c r="G985" s="3" t="s">
        <v>632</v>
      </c>
      <c r="H985" s="4">
        <v>4023303</v>
      </c>
      <c r="I985" s="4" t="s">
        <v>681</v>
      </c>
      <c r="J985" s="4" t="s">
        <v>397</v>
      </c>
      <c r="K985" s="4">
        <v>3195908</v>
      </c>
    </row>
    <row r="986" spans="2:11" s="3" customFormat="1" x14ac:dyDescent="0.3">
      <c r="B986" s="44">
        <v>45941</v>
      </c>
      <c r="C986" s="3" t="s">
        <v>416</v>
      </c>
      <c r="D986" s="3" t="s">
        <v>62</v>
      </c>
      <c r="E986" s="42"/>
      <c r="F986" s="4" t="s">
        <v>677</v>
      </c>
      <c r="G986" s="4" t="s">
        <v>324</v>
      </c>
      <c r="H986" s="4">
        <v>3201605</v>
      </c>
      <c r="I986" s="3" t="s">
        <v>476</v>
      </c>
      <c r="J986" s="3" t="s">
        <v>287</v>
      </c>
      <c r="K986" s="4">
        <v>3206600</v>
      </c>
    </row>
    <row r="987" spans="2:11" s="3" customFormat="1" x14ac:dyDescent="0.3">
      <c r="B987" s="44">
        <v>45941</v>
      </c>
      <c r="C987" s="3" t="s">
        <v>416</v>
      </c>
      <c r="D987" s="3" t="s">
        <v>65</v>
      </c>
      <c r="E987" s="42"/>
      <c r="F987" s="3" t="s">
        <v>655</v>
      </c>
      <c r="G987" s="3" t="s">
        <v>325</v>
      </c>
      <c r="H987" s="4">
        <v>3201501</v>
      </c>
      <c r="I987" s="15" t="s">
        <v>691</v>
      </c>
      <c r="J987" s="15" t="s">
        <v>327</v>
      </c>
      <c r="K987" s="74">
        <v>3198603</v>
      </c>
    </row>
    <row r="988" spans="2:11" s="3" customFormat="1" x14ac:dyDescent="0.3">
      <c r="B988" s="44">
        <v>45941</v>
      </c>
      <c r="C988" s="3" t="s">
        <v>416</v>
      </c>
      <c r="D988" s="3" t="s">
        <v>489</v>
      </c>
      <c r="E988" s="4"/>
      <c r="F988" s="4" t="s">
        <v>685</v>
      </c>
      <c r="G988" s="4" t="s">
        <v>160</v>
      </c>
      <c r="H988" s="4">
        <v>3353008</v>
      </c>
      <c r="I988" s="4" t="s">
        <v>474</v>
      </c>
      <c r="J988" s="4" t="s">
        <v>130</v>
      </c>
      <c r="K988" s="4">
        <v>3352405</v>
      </c>
    </row>
    <row r="989" spans="2:11" s="3" customFormat="1" x14ac:dyDescent="0.3">
      <c r="B989" s="44">
        <v>45941</v>
      </c>
      <c r="C989" s="3" t="s">
        <v>416</v>
      </c>
      <c r="D989" s="3" t="s">
        <v>610</v>
      </c>
      <c r="E989" s="42"/>
      <c r="F989" s="3" t="s">
        <v>685</v>
      </c>
      <c r="G989" s="3" t="s">
        <v>351</v>
      </c>
      <c r="H989" s="4">
        <v>3201001</v>
      </c>
      <c r="I989" s="4" t="s">
        <v>650</v>
      </c>
      <c r="J989" s="4" t="s">
        <v>353</v>
      </c>
      <c r="K989" s="4">
        <v>3200200</v>
      </c>
    </row>
    <row r="990" spans="2:11" s="3" customFormat="1" x14ac:dyDescent="0.3">
      <c r="B990" s="44">
        <v>45941</v>
      </c>
      <c r="C990" s="3" t="s">
        <v>416</v>
      </c>
      <c r="D990" s="3" t="s">
        <v>495</v>
      </c>
      <c r="E990" s="42"/>
      <c r="F990" s="3" t="s">
        <v>685</v>
      </c>
      <c r="G990" s="3" t="s">
        <v>196</v>
      </c>
      <c r="H990" s="4">
        <v>3353102</v>
      </c>
      <c r="I990" s="3" t="s">
        <v>666</v>
      </c>
      <c r="J990" s="3" t="s">
        <v>193</v>
      </c>
      <c r="K990" s="4">
        <v>3357108</v>
      </c>
    </row>
    <row r="991" spans="2:11" s="3" customFormat="1" x14ac:dyDescent="0.3">
      <c r="B991" s="44">
        <v>45941</v>
      </c>
      <c r="C991" s="3" t="s">
        <v>416</v>
      </c>
      <c r="D991" s="3" t="s">
        <v>610</v>
      </c>
      <c r="E991" s="42"/>
      <c r="F991" s="3" t="s">
        <v>474</v>
      </c>
      <c r="G991" s="3" t="s">
        <v>458</v>
      </c>
      <c r="H991" s="4">
        <v>3200304</v>
      </c>
      <c r="I991" s="4" t="s">
        <v>711</v>
      </c>
      <c r="J991" s="4" t="s">
        <v>381</v>
      </c>
      <c r="K991" s="4">
        <v>3201209</v>
      </c>
    </row>
    <row r="992" spans="2:11" s="3" customFormat="1" x14ac:dyDescent="0.3">
      <c r="B992" s="44">
        <v>45941</v>
      </c>
      <c r="C992" s="3" t="s">
        <v>416</v>
      </c>
      <c r="D992" s="3" t="s">
        <v>492</v>
      </c>
      <c r="E992" s="42"/>
      <c r="F992" s="3" t="s">
        <v>474</v>
      </c>
      <c r="G992" s="3" t="s">
        <v>161</v>
      </c>
      <c r="H992" s="4">
        <v>3352509</v>
      </c>
      <c r="I992" s="3" t="s">
        <v>719</v>
      </c>
      <c r="J992" s="3" t="s">
        <v>155</v>
      </c>
      <c r="K992" s="4">
        <v>3361600</v>
      </c>
    </row>
    <row r="993" spans="1:43" s="3" customFormat="1" x14ac:dyDescent="0.3">
      <c r="B993" s="44">
        <v>45941</v>
      </c>
      <c r="C993" s="3" t="s">
        <v>416</v>
      </c>
      <c r="D993" s="3" t="s">
        <v>496</v>
      </c>
      <c r="E993" s="42"/>
      <c r="F993" s="4" t="s">
        <v>474</v>
      </c>
      <c r="G993" s="4" t="s">
        <v>426</v>
      </c>
      <c r="H993" s="4">
        <v>3352603</v>
      </c>
      <c r="I993" s="3" t="s">
        <v>716</v>
      </c>
      <c r="J993" s="3" t="s">
        <v>427</v>
      </c>
      <c r="K993" s="4">
        <v>3351500</v>
      </c>
    </row>
    <row r="994" spans="1:43" s="3" customFormat="1" x14ac:dyDescent="0.3">
      <c r="B994" s="44">
        <v>45941</v>
      </c>
      <c r="C994" s="3" t="s">
        <v>416</v>
      </c>
      <c r="D994" s="3" t="s">
        <v>499</v>
      </c>
      <c r="E994" s="42"/>
      <c r="F994" s="3" t="s">
        <v>474</v>
      </c>
      <c r="G994" s="3" t="s">
        <v>597</v>
      </c>
      <c r="H994" s="4">
        <v>3352707</v>
      </c>
      <c r="I994" s="3" t="s">
        <v>665</v>
      </c>
      <c r="J994" s="3" t="s">
        <v>461</v>
      </c>
      <c r="K994" s="4">
        <v>3818702</v>
      </c>
    </row>
    <row r="995" spans="1:43" s="3" customFormat="1" x14ac:dyDescent="0.3">
      <c r="A995" s="4"/>
      <c r="B995" s="100">
        <v>45941</v>
      </c>
      <c r="C995" s="98" t="s">
        <v>553</v>
      </c>
      <c r="D995" s="4" t="s">
        <v>508</v>
      </c>
      <c r="E995" s="4"/>
      <c r="F995" s="73" t="s">
        <v>532</v>
      </c>
      <c r="G995" s="73" t="s">
        <v>532</v>
      </c>
      <c r="H995" s="73"/>
      <c r="I995" s="73" t="s">
        <v>476</v>
      </c>
      <c r="J995" s="73" t="s">
        <v>476</v>
      </c>
      <c r="K995" s="4"/>
      <c r="L995" s="31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spans="1:43" s="3" customFormat="1" x14ac:dyDescent="0.3">
      <c r="B996" s="44">
        <v>45941</v>
      </c>
      <c r="C996" s="3" t="s">
        <v>416</v>
      </c>
      <c r="D996" s="3" t="s">
        <v>492</v>
      </c>
      <c r="E996" s="42"/>
      <c r="F996" s="3" t="s">
        <v>714</v>
      </c>
      <c r="G996" s="3" t="s">
        <v>162</v>
      </c>
      <c r="H996" s="4">
        <v>3348903</v>
      </c>
      <c r="I996" s="3" t="s">
        <v>646</v>
      </c>
      <c r="J996" s="3" t="s">
        <v>159</v>
      </c>
      <c r="K996" s="4">
        <v>3354403</v>
      </c>
    </row>
    <row r="997" spans="1:43" s="3" customFormat="1" x14ac:dyDescent="0.3">
      <c r="B997" s="44">
        <v>45941</v>
      </c>
      <c r="C997" s="3" t="s">
        <v>416</v>
      </c>
      <c r="D997" s="3" t="s">
        <v>498</v>
      </c>
      <c r="E997" s="42"/>
      <c r="F997" s="3" t="s">
        <v>714</v>
      </c>
      <c r="G997" s="3" t="s">
        <v>222</v>
      </c>
      <c r="H997" s="4">
        <v>3348507</v>
      </c>
      <c r="I997" s="3" t="s">
        <v>694</v>
      </c>
      <c r="J997" s="3" t="s">
        <v>245</v>
      </c>
      <c r="K997" s="4">
        <v>3352905</v>
      </c>
    </row>
    <row r="998" spans="1:43" s="3" customFormat="1" x14ac:dyDescent="0.3">
      <c r="B998" s="44">
        <v>45941</v>
      </c>
      <c r="C998" s="3" t="s">
        <v>416</v>
      </c>
      <c r="D998" s="3" t="s">
        <v>489</v>
      </c>
      <c r="E998" s="4"/>
      <c r="F998" s="3" t="s">
        <v>650</v>
      </c>
      <c r="G998" s="3" t="s">
        <v>163</v>
      </c>
      <c r="H998" s="4">
        <v>3351802</v>
      </c>
      <c r="I998" s="3" t="s">
        <v>662</v>
      </c>
      <c r="J998" s="3" t="s">
        <v>139</v>
      </c>
      <c r="K998" s="4">
        <v>3358305</v>
      </c>
    </row>
    <row r="999" spans="1:43" s="3" customFormat="1" x14ac:dyDescent="0.3">
      <c r="B999" s="44">
        <v>45941</v>
      </c>
      <c r="C999" s="3" t="s">
        <v>416</v>
      </c>
      <c r="D999" s="3" t="s">
        <v>496</v>
      </c>
      <c r="E999" s="42"/>
      <c r="F999" s="3" t="s">
        <v>650</v>
      </c>
      <c r="G999" s="3" t="s">
        <v>205</v>
      </c>
      <c r="H999" s="74">
        <v>3351906</v>
      </c>
      <c r="I999" s="3" t="s">
        <v>651</v>
      </c>
      <c r="J999" s="3" t="s">
        <v>202</v>
      </c>
      <c r="K999" s="74">
        <v>3361808</v>
      </c>
    </row>
    <row r="1000" spans="1:43" s="3" customFormat="1" x14ac:dyDescent="0.3">
      <c r="B1000" s="44">
        <v>45941</v>
      </c>
      <c r="C1000" s="3" t="s">
        <v>416</v>
      </c>
      <c r="D1000" s="3" t="s">
        <v>68</v>
      </c>
      <c r="E1000" s="42"/>
      <c r="F1000" s="3" t="s">
        <v>650</v>
      </c>
      <c r="G1000" s="3" t="s">
        <v>390</v>
      </c>
      <c r="H1000" s="4">
        <v>3544509</v>
      </c>
      <c r="I1000" s="4" t="s">
        <v>687</v>
      </c>
      <c r="J1000" s="4" t="s">
        <v>391</v>
      </c>
      <c r="K1000" s="4">
        <v>3193806</v>
      </c>
    </row>
    <row r="1001" spans="1:43" s="3" customFormat="1" x14ac:dyDescent="0.3">
      <c r="B1001" s="44">
        <v>45941</v>
      </c>
      <c r="C1001" s="3" t="s">
        <v>416</v>
      </c>
      <c r="D1001" s="3" t="s">
        <v>59</v>
      </c>
      <c r="E1001" s="42"/>
      <c r="F1001" s="4" t="s">
        <v>656</v>
      </c>
      <c r="G1001" s="4" t="s">
        <v>278</v>
      </c>
      <c r="H1001" s="4">
        <v>3199800</v>
      </c>
      <c r="I1001" s="3" t="s">
        <v>662</v>
      </c>
      <c r="J1001" s="3" t="s">
        <v>314</v>
      </c>
      <c r="K1001" s="4">
        <v>3208004</v>
      </c>
    </row>
    <row r="1002" spans="1:43" s="3" customFormat="1" x14ac:dyDescent="0.3">
      <c r="B1002" s="44">
        <v>45941</v>
      </c>
      <c r="C1002" s="3" t="s">
        <v>416</v>
      </c>
      <c r="D1002" s="3" t="s">
        <v>65</v>
      </c>
      <c r="E1002" s="42"/>
      <c r="F1002" s="3" t="s">
        <v>656</v>
      </c>
      <c r="G1002" s="3" t="s">
        <v>326</v>
      </c>
      <c r="H1002" s="4">
        <v>3199904</v>
      </c>
      <c r="I1002" s="4" t="s">
        <v>663</v>
      </c>
      <c r="J1002" s="4" t="s">
        <v>290</v>
      </c>
      <c r="K1002" s="4">
        <v>3197500</v>
      </c>
    </row>
    <row r="1003" spans="1:43" s="3" customFormat="1" x14ac:dyDescent="0.3">
      <c r="B1003" s="44">
        <v>45941</v>
      </c>
      <c r="C1003" s="3" t="s">
        <v>416</v>
      </c>
      <c r="D1003" s="3" t="s">
        <v>67</v>
      </c>
      <c r="E1003" s="42"/>
      <c r="F1003" s="4" t="s">
        <v>715</v>
      </c>
      <c r="G1003" s="4" t="s">
        <v>377</v>
      </c>
      <c r="H1003" s="4">
        <v>3200106</v>
      </c>
      <c r="I1003" s="3" t="s">
        <v>717</v>
      </c>
      <c r="J1003" s="3" t="s">
        <v>435</v>
      </c>
      <c r="K1003" s="4">
        <v>3195200</v>
      </c>
    </row>
    <row r="1004" spans="1:43" s="3" customFormat="1" x14ac:dyDescent="0.3">
      <c r="A1004" s="4"/>
      <c r="B1004" s="99">
        <v>45941</v>
      </c>
      <c r="C1004" s="98" t="s">
        <v>553</v>
      </c>
      <c r="D1004" s="4" t="s">
        <v>506</v>
      </c>
      <c r="E1004" s="4"/>
      <c r="F1004" s="73" t="s">
        <v>537</v>
      </c>
      <c r="G1004" s="73" t="s">
        <v>537</v>
      </c>
      <c r="H1004" s="73"/>
      <c r="I1004" s="73" t="s">
        <v>480</v>
      </c>
      <c r="J1004" s="73" t="s">
        <v>480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</row>
    <row r="1005" spans="1:43" s="3" customFormat="1" x14ac:dyDescent="0.3">
      <c r="B1005" s="44">
        <v>45941</v>
      </c>
      <c r="C1005" s="3" t="s">
        <v>416</v>
      </c>
      <c r="D1005" s="3" t="s">
        <v>487</v>
      </c>
      <c r="E1005" s="4"/>
      <c r="F1005" s="4" t="s">
        <v>710</v>
      </c>
      <c r="G1005" s="4" t="s">
        <v>113</v>
      </c>
      <c r="H1005" s="4">
        <v>3352009</v>
      </c>
      <c r="I1005" s="4" t="s">
        <v>657</v>
      </c>
      <c r="J1005" s="4" t="s">
        <v>107</v>
      </c>
      <c r="K1005" s="4">
        <v>3068408</v>
      </c>
    </row>
    <row r="1006" spans="1:43" s="3" customFormat="1" x14ac:dyDescent="0.3">
      <c r="B1006" s="44">
        <v>45941</v>
      </c>
      <c r="C1006" s="3" t="s">
        <v>416</v>
      </c>
      <c r="D1006" s="3" t="s">
        <v>64</v>
      </c>
      <c r="E1006" s="42">
        <v>4370907</v>
      </c>
      <c r="F1006" s="3" t="s">
        <v>710</v>
      </c>
      <c r="G1006" s="3" t="s">
        <v>354</v>
      </c>
      <c r="H1006" s="4">
        <v>3199404</v>
      </c>
      <c r="I1006" s="4" t="s">
        <v>692</v>
      </c>
      <c r="J1006" s="4" t="s">
        <v>342</v>
      </c>
      <c r="K1006" s="4">
        <v>3196501</v>
      </c>
    </row>
    <row r="1007" spans="1:43" s="3" customFormat="1" x14ac:dyDescent="0.3">
      <c r="B1007" s="44">
        <v>45941</v>
      </c>
      <c r="C1007" s="3" t="s">
        <v>416</v>
      </c>
      <c r="D1007" s="3" t="s">
        <v>496</v>
      </c>
      <c r="E1007" s="42"/>
      <c r="F1007" s="4" t="s">
        <v>710</v>
      </c>
      <c r="G1007" s="4" t="s">
        <v>206</v>
      </c>
      <c r="H1007" s="4">
        <v>3352103</v>
      </c>
      <c r="I1007" s="4" t="s">
        <v>665</v>
      </c>
      <c r="J1007" s="4" t="s">
        <v>204</v>
      </c>
      <c r="K1007" s="4">
        <v>3357400</v>
      </c>
    </row>
    <row r="1008" spans="1:43" s="3" customFormat="1" x14ac:dyDescent="0.3">
      <c r="B1008" s="44">
        <v>45941</v>
      </c>
      <c r="C1008" s="3" t="s">
        <v>416</v>
      </c>
      <c r="D1008" s="4" t="s">
        <v>614</v>
      </c>
      <c r="E1008" s="42"/>
      <c r="F1008" s="3" t="s">
        <v>710</v>
      </c>
      <c r="G1008" s="3" t="s">
        <v>384</v>
      </c>
      <c r="H1008" s="4">
        <v>3199508</v>
      </c>
      <c r="I1008" s="4" t="s">
        <v>666</v>
      </c>
      <c r="J1008" s="4" t="s">
        <v>453</v>
      </c>
      <c r="K1008" s="4">
        <v>3206006</v>
      </c>
    </row>
    <row r="1009" spans="2:13" s="3" customFormat="1" x14ac:dyDescent="0.3">
      <c r="B1009" s="44">
        <v>45941</v>
      </c>
      <c r="C1009" s="3" t="s">
        <v>416</v>
      </c>
      <c r="D1009" s="4" t="s">
        <v>614</v>
      </c>
      <c r="E1009" s="42"/>
      <c r="F1009" s="3" t="s">
        <v>710</v>
      </c>
      <c r="G1009" s="3" t="s">
        <v>385</v>
      </c>
      <c r="H1009" s="4">
        <v>3199602</v>
      </c>
      <c r="I1009" s="4" t="s">
        <v>646</v>
      </c>
      <c r="J1009" s="4" t="s">
        <v>380</v>
      </c>
      <c r="K1009" s="4">
        <v>3202208</v>
      </c>
    </row>
    <row r="1010" spans="2:13" s="3" customFormat="1" x14ac:dyDescent="0.3">
      <c r="B1010" s="44">
        <v>45941</v>
      </c>
      <c r="C1010" s="3" t="s">
        <v>416</v>
      </c>
      <c r="D1010" s="3" t="s">
        <v>61</v>
      </c>
      <c r="E1010" s="42"/>
      <c r="F1010" s="4" t="s">
        <v>477</v>
      </c>
      <c r="G1010" s="4" t="s">
        <v>308</v>
      </c>
      <c r="H1010" s="4">
        <v>3199300</v>
      </c>
      <c r="I1010" s="3" t="s">
        <v>645</v>
      </c>
      <c r="J1010" s="3" t="s">
        <v>309</v>
      </c>
      <c r="K1010" s="4">
        <v>3082104</v>
      </c>
    </row>
    <row r="1011" spans="2:13" s="3" customFormat="1" x14ac:dyDescent="0.3">
      <c r="B1011" s="44">
        <v>45941</v>
      </c>
      <c r="C1011" s="3" t="s">
        <v>416</v>
      </c>
      <c r="D1011" s="3" t="s">
        <v>61</v>
      </c>
      <c r="E1011" s="42"/>
      <c r="F1011" s="4" t="s">
        <v>477</v>
      </c>
      <c r="G1011" s="4" t="s">
        <v>332</v>
      </c>
      <c r="H1011" s="4">
        <v>3199206</v>
      </c>
      <c r="I1011" s="4" t="s">
        <v>658</v>
      </c>
      <c r="J1011" s="4" t="s">
        <v>301</v>
      </c>
      <c r="K1011" s="4">
        <v>3210300</v>
      </c>
    </row>
    <row r="1012" spans="2:13" s="3" customFormat="1" x14ac:dyDescent="0.3">
      <c r="B1012" s="44">
        <v>45941</v>
      </c>
      <c r="C1012" s="3" t="s">
        <v>416</v>
      </c>
      <c r="D1012" s="3" t="s">
        <v>58</v>
      </c>
      <c r="E1012" s="42"/>
      <c r="F1012" s="3" t="s">
        <v>706</v>
      </c>
      <c r="G1012" s="3" t="s">
        <v>269</v>
      </c>
      <c r="H1012" s="4">
        <v>3069407</v>
      </c>
      <c r="I1012" s="32" t="s">
        <v>478</v>
      </c>
      <c r="J1012" s="32" t="s">
        <v>267</v>
      </c>
      <c r="K1012" s="15">
        <v>3205205</v>
      </c>
    </row>
    <row r="1013" spans="2:13" s="3" customFormat="1" x14ac:dyDescent="0.3">
      <c r="B1013" s="44">
        <v>45941</v>
      </c>
      <c r="C1013" s="3" t="s">
        <v>416</v>
      </c>
      <c r="D1013" s="3" t="s">
        <v>57</v>
      </c>
      <c r="E1013" s="42"/>
      <c r="F1013" s="3" t="s">
        <v>645</v>
      </c>
      <c r="G1013" s="3" t="s">
        <v>263</v>
      </c>
      <c r="H1013" s="4">
        <v>3198707</v>
      </c>
      <c r="I1013" s="3" t="s">
        <v>693</v>
      </c>
      <c r="J1013" s="3" t="s">
        <v>258</v>
      </c>
      <c r="K1013" s="4">
        <v>3207109</v>
      </c>
    </row>
    <row r="1014" spans="2:13" s="3" customFormat="1" x14ac:dyDescent="0.3">
      <c r="B1014" s="44">
        <v>45941</v>
      </c>
      <c r="C1014" s="3" t="s">
        <v>416</v>
      </c>
      <c r="D1014" s="3" t="s">
        <v>486</v>
      </c>
      <c r="E1014" s="42"/>
      <c r="F1014" s="4" t="s">
        <v>645</v>
      </c>
      <c r="G1014" s="4" t="s">
        <v>104</v>
      </c>
      <c r="H1014" s="4">
        <v>3036308</v>
      </c>
      <c r="I1014" s="3" t="s">
        <v>682</v>
      </c>
      <c r="J1014" s="3" t="s">
        <v>559</v>
      </c>
      <c r="K1014" s="4">
        <v>3969200</v>
      </c>
    </row>
    <row r="1015" spans="2:13" s="3" customFormat="1" x14ac:dyDescent="0.3">
      <c r="B1015" s="44">
        <v>45941</v>
      </c>
      <c r="C1015" s="3" t="s">
        <v>416</v>
      </c>
      <c r="D1015" s="3" t="s">
        <v>488</v>
      </c>
      <c r="E1015" s="42"/>
      <c r="F1015" s="4" t="s">
        <v>645</v>
      </c>
      <c r="G1015" s="4" t="s">
        <v>151</v>
      </c>
      <c r="H1015" s="4">
        <v>3351208</v>
      </c>
      <c r="I1015" s="3" t="s">
        <v>690</v>
      </c>
      <c r="J1015" s="3" t="s">
        <v>118</v>
      </c>
      <c r="K1015" s="4">
        <v>3356005</v>
      </c>
    </row>
    <row r="1016" spans="2:13" s="3" customFormat="1" x14ac:dyDescent="0.3">
      <c r="B1016" s="44">
        <v>45941</v>
      </c>
      <c r="C1016" s="3" t="s">
        <v>416</v>
      </c>
      <c r="D1016" s="3" t="s">
        <v>491</v>
      </c>
      <c r="E1016" s="42"/>
      <c r="F1016" s="4" t="s">
        <v>645</v>
      </c>
      <c r="G1016" s="4" t="s">
        <v>464</v>
      </c>
      <c r="H1016" s="4">
        <v>3351406</v>
      </c>
      <c r="I1016" s="3" t="s">
        <v>690</v>
      </c>
      <c r="J1016" s="3" t="s">
        <v>179</v>
      </c>
      <c r="K1016" s="4">
        <v>3818900</v>
      </c>
    </row>
    <row r="1017" spans="2:13" s="3" customFormat="1" x14ac:dyDescent="0.3">
      <c r="B1017" s="44">
        <v>45941</v>
      </c>
      <c r="C1017" s="3" t="s">
        <v>416</v>
      </c>
      <c r="D1017" s="3" t="s">
        <v>489</v>
      </c>
      <c r="E1017" s="4"/>
      <c r="F1017" s="3" t="s">
        <v>678</v>
      </c>
      <c r="G1017" s="3" t="s">
        <v>131</v>
      </c>
      <c r="H1017" s="4">
        <v>3350605</v>
      </c>
      <c r="I1017" s="3" t="s">
        <v>672</v>
      </c>
      <c r="J1017" s="3" t="s">
        <v>129</v>
      </c>
      <c r="K1017" s="4">
        <v>3067503</v>
      </c>
    </row>
    <row r="1018" spans="2:13" s="3" customFormat="1" x14ac:dyDescent="0.3">
      <c r="B1018" s="44">
        <v>45941</v>
      </c>
      <c r="C1018" s="3" t="s">
        <v>416</v>
      </c>
      <c r="D1018" s="3" t="s">
        <v>65</v>
      </c>
      <c r="E1018" s="42"/>
      <c r="F1018" s="3" t="s">
        <v>678</v>
      </c>
      <c r="G1018" s="3" t="s">
        <v>452</v>
      </c>
      <c r="H1018" s="4">
        <v>3198207</v>
      </c>
      <c r="I1018" s="4" t="s">
        <v>476</v>
      </c>
      <c r="J1018" s="4" t="s">
        <v>358</v>
      </c>
      <c r="K1018" s="4">
        <v>3206402</v>
      </c>
    </row>
    <row r="1019" spans="2:13" s="3" customFormat="1" x14ac:dyDescent="0.3">
      <c r="B1019" s="44">
        <v>45941</v>
      </c>
      <c r="C1019" s="3" t="s">
        <v>416</v>
      </c>
      <c r="D1019" s="3" t="s">
        <v>610</v>
      </c>
      <c r="E1019" s="42"/>
      <c r="F1019" s="3" t="s">
        <v>675</v>
      </c>
      <c r="G1019" s="3" t="s">
        <v>450</v>
      </c>
      <c r="H1019" s="4">
        <v>3198405</v>
      </c>
      <c r="I1019" s="4" t="s">
        <v>682</v>
      </c>
      <c r="J1019" s="4" t="s">
        <v>611</v>
      </c>
      <c r="K1019" s="4">
        <v>3204800</v>
      </c>
    </row>
    <row r="1020" spans="2:13" s="3" customFormat="1" x14ac:dyDescent="0.3">
      <c r="B1020" s="44">
        <v>45941</v>
      </c>
      <c r="C1020" s="3" t="s">
        <v>416</v>
      </c>
      <c r="D1020" s="3" t="s">
        <v>499</v>
      </c>
      <c r="E1020" s="42"/>
      <c r="F1020" s="3" t="s">
        <v>675</v>
      </c>
      <c r="G1020" s="3" t="s">
        <v>572</v>
      </c>
      <c r="H1020" s="53">
        <v>3350303</v>
      </c>
      <c r="I1020" s="3" t="s">
        <v>687</v>
      </c>
      <c r="J1020" s="3" t="s">
        <v>231</v>
      </c>
      <c r="K1020" s="4">
        <v>3819503</v>
      </c>
      <c r="M1020" s="51"/>
    </row>
    <row r="1021" spans="2:13" s="3" customFormat="1" x14ac:dyDescent="0.3">
      <c r="B1021" s="44">
        <v>45941</v>
      </c>
      <c r="C1021" s="3" t="s">
        <v>416</v>
      </c>
      <c r="D1021" s="4" t="s">
        <v>614</v>
      </c>
      <c r="E1021" s="42"/>
      <c r="F1021" s="3" t="s">
        <v>675</v>
      </c>
      <c r="G1021" s="3" t="s">
        <v>403</v>
      </c>
      <c r="H1021" s="4">
        <v>3198509</v>
      </c>
      <c r="I1021" s="4" t="s">
        <v>713</v>
      </c>
      <c r="J1021" s="4" t="s">
        <v>386</v>
      </c>
      <c r="K1021" s="4">
        <v>3900807</v>
      </c>
    </row>
    <row r="1022" spans="2:13" s="3" customFormat="1" x14ac:dyDescent="0.3">
      <c r="B1022" s="44">
        <v>45941</v>
      </c>
      <c r="C1022" s="3" t="s">
        <v>416</v>
      </c>
      <c r="D1022" s="3" t="s">
        <v>490</v>
      </c>
      <c r="E1022" s="4"/>
      <c r="F1022" s="3" t="s">
        <v>691</v>
      </c>
      <c r="G1022" s="3" t="s">
        <v>142</v>
      </c>
      <c r="H1022" s="4">
        <v>3350501</v>
      </c>
      <c r="I1022" s="4" t="s">
        <v>660</v>
      </c>
      <c r="J1022" s="4" t="s">
        <v>137</v>
      </c>
      <c r="K1022" s="4">
        <v>3359908</v>
      </c>
    </row>
    <row r="1023" spans="2:13" s="3" customFormat="1" x14ac:dyDescent="0.3">
      <c r="B1023" s="44">
        <v>45941</v>
      </c>
      <c r="C1023" s="3" t="s">
        <v>416</v>
      </c>
      <c r="D1023" s="3" t="s">
        <v>497</v>
      </c>
      <c r="E1023" s="42"/>
      <c r="F1023" s="17" t="s">
        <v>691</v>
      </c>
      <c r="G1023" s="17" t="s">
        <v>215</v>
      </c>
      <c r="H1023" s="74">
        <v>3350407</v>
      </c>
      <c r="I1023" s="3" t="s">
        <v>654</v>
      </c>
      <c r="J1023" s="3" t="s">
        <v>438</v>
      </c>
      <c r="K1023" s="74">
        <v>3906207</v>
      </c>
    </row>
    <row r="1024" spans="2:13" s="3" customFormat="1" x14ac:dyDescent="0.3">
      <c r="B1024" s="44">
        <v>45941</v>
      </c>
      <c r="C1024" s="3" t="s">
        <v>416</v>
      </c>
      <c r="D1024" s="3" t="s">
        <v>67</v>
      </c>
      <c r="E1024" s="42"/>
      <c r="F1024" s="3" t="s">
        <v>689</v>
      </c>
      <c r="G1024" s="3" t="s">
        <v>341</v>
      </c>
      <c r="H1024" s="4">
        <v>3197708</v>
      </c>
      <c r="I1024" s="3" t="s">
        <v>472</v>
      </c>
      <c r="J1024" s="3" t="s">
        <v>374</v>
      </c>
      <c r="K1024" s="4">
        <v>3207203</v>
      </c>
    </row>
    <row r="1025" spans="1:43" s="3" customFormat="1" x14ac:dyDescent="0.3">
      <c r="B1025" s="44">
        <v>45941</v>
      </c>
      <c r="C1025" s="3" t="s">
        <v>416</v>
      </c>
      <c r="D1025" s="3" t="s">
        <v>70</v>
      </c>
      <c r="E1025" s="42"/>
      <c r="F1025" s="3" t="s">
        <v>689</v>
      </c>
      <c r="G1025" s="3" t="s">
        <v>404</v>
      </c>
      <c r="H1025" s="53">
        <v>3196605</v>
      </c>
      <c r="I1025" s="3" t="s">
        <v>475</v>
      </c>
      <c r="J1025" s="3" t="s">
        <v>370</v>
      </c>
      <c r="K1025" s="4">
        <v>3211903</v>
      </c>
    </row>
    <row r="1026" spans="1:43" s="3" customFormat="1" x14ac:dyDescent="0.3">
      <c r="B1026" s="44">
        <v>45941</v>
      </c>
      <c r="C1026" s="3" t="s">
        <v>416</v>
      </c>
      <c r="D1026" s="3" t="s">
        <v>501</v>
      </c>
      <c r="E1026" s="42"/>
      <c r="F1026" s="3" t="s">
        <v>689</v>
      </c>
      <c r="G1026" s="3" t="s">
        <v>580</v>
      </c>
      <c r="H1026" s="4">
        <v>3350001</v>
      </c>
      <c r="I1026" s="3" t="s">
        <v>722</v>
      </c>
      <c r="J1026" s="3" t="s">
        <v>600</v>
      </c>
      <c r="K1026" s="4" t="s">
        <v>556</v>
      </c>
      <c r="M1026" s="3" t="s">
        <v>573</v>
      </c>
      <c r="N1026" s="3" t="s">
        <v>580</v>
      </c>
    </row>
    <row r="1027" spans="1:43" s="3" customFormat="1" x14ac:dyDescent="0.3">
      <c r="B1027" s="44">
        <v>45941</v>
      </c>
      <c r="C1027" s="3" t="s">
        <v>416</v>
      </c>
      <c r="D1027" s="3" t="s">
        <v>60</v>
      </c>
      <c r="E1027" s="42"/>
      <c r="F1027" s="3" t="s">
        <v>668</v>
      </c>
      <c r="G1027" s="3" t="s">
        <v>431</v>
      </c>
      <c r="H1027" s="4">
        <v>3900703</v>
      </c>
      <c r="I1027" s="32" t="s">
        <v>705</v>
      </c>
      <c r="J1027" s="32" t="s">
        <v>293</v>
      </c>
      <c r="K1027" s="15">
        <v>3211705</v>
      </c>
    </row>
    <row r="1028" spans="1:43" s="3" customFormat="1" x14ac:dyDescent="0.3">
      <c r="A1028" s="4"/>
      <c r="B1028" s="100">
        <v>45941</v>
      </c>
      <c r="C1028" s="98" t="s">
        <v>553</v>
      </c>
      <c r="D1028" s="4" t="s">
        <v>508</v>
      </c>
      <c r="E1028" s="4"/>
      <c r="F1028" s="73" t="s">
        <v>510</v>
      </c>
      <c r="G1028" s="73" t="s">
        <v>510</v>
      </c>
      <c r="H1028" s="73"/>
      <c r="I1028" s="73" t="s">
        <v>478</v>
      </c>
      <c r="J1028" s="73" t="s">
        <v>478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</row>
    <row r="1029" spans="1:43" s="3" customFormat="1" x14ac:dyDescent="0.3">
      <c r="B1029" s="44">
        <v>45941</v>
      </c>
      <c r="C1029" s="3" t="s">
        <v>416</v>
      </c>
      <c r="D1029" s="3" t="s">
        <v>497</v>
      </c>
      <c r="E1029" s="42"/>
      <c r="F1029" s="3" t="s">
        <v>654</v>
      </c>
      <c r="G1029" s="3" t="s">
        <v>216</v>
      </c>
      <c r="H1029" s="4">
        <v>3349808</v>
      </c>
      <c r="I1029" s="17" t="s">
        <v>660</v>
      </c>
      <c r="J1029" s="17" t="s">
        <v>212</v>
      </c>
      <c r="K1029" s="74">
        <v>3360007</v>
      </c>
    </row>
    <row r="1030" spans="1:43" s="3" customFormat="1" x14ac:dyDescent="0.3">
      <c r="B1030" s="44">
        <v>45941</v>
      </c>
      <c r="C1030" s="3" t="s">
        <v>416</v>
      </c>
      <c r="D1030" s="3" t="s">
        <v>500</v>
      </c>
      <c r="E1030" s="42"/>
      <c r="F1030" s="3" t="s">
        <v>654</v>
      </c>
      <c r="G1030" s="3" t="s">
        <v>576</v>
      </c>
      <c r="H1030" s="4">
        <v>4009003</v>
      </c>
      <c r="I1030" s="4" t="s">
        <v>691</v>
      </c>
      <c r="J1030" s="4" t="s">
        <v>238</v>
      </c>
      <c r="K1030" s="4">
        <v>3350105</v>
      </c>
    </row>
    <row r="1031" spans="1:43" s="3" customFormat="1" x14ac:dyDescent="0.3">
      <c r="B1031" s="44">
        <v>45941</v>
      </c>
      <c r="C1031" s="3" t="s">
        <v>416</v>
      </c>
      <c r="D1031" s="3" t="s">
        <v>58</v>
      </c>
      <c r="E1031" s="42"/>
      <c r="F1031" s="3" t="s">
        <v>712</v>
      </c>
      <c r="G1031" s="3" t="s">
        <v>270</v>
      </c>
      <c r="H1031" s="4">
        <v>3069605</v>
      </c>
      <c r="I1031" s="3" t="s">
        <v>704</v>
      </c>
      <c r="J1031" s="3" t="s">
        <v>297</v>
      </c>
      <c r="K1031" s="32">
        <v>3204008</v>
      </c>
    </row>
    <row r="1032" spans="1:43" s="3" customFormat="1" x14ac:dyDescent="0.3">
      <c r="B1032" s="44">
        <v>45941</v>
      </c>
      <c r="C1032" s="3" t="s">
        <v>416</v>
      </c>
      <c r="D1032" s="3" t="s">
        <v>495</v>
      </c>
      <c r="E1032" s="42"/>
      <c r="F1032" s="3" t="s">
        <v>712</v>
      </c>
      <c r="G1032" s="3" t="s">
        <v>164</v>
      </c>
      <c r="H1032" s="4">
        <v>3349402</v>
      </c>
      <c r="I1032" s="3" t="s">
        <v>699</v>
      </c>
      <c r="J1032" s="3" t="s">
        <v>569</v>
      </c>
      <c r="K1032" s="4">
        <v>3125708</v>
      </c>
    </row>
    <row r="1033" spans="1:43" s="3" customFormat="1" x14ac:dyDescent="0.3">
      <c r="B1033" s="44">
        <v>45941</v>
      </c>
      <c r="C1033" s="3" t="s">
        <v>416</v>
      </c>
      <c r="D1033" s="3" t="s">
        <v>492</v>
      </c>
      <c r="E1033" s="42"/>
      <c r="F1033" s="4" t="s">
        <v>713</v>
      </c>
      <c r="G1033" s="4" t="s">
        <v>165</v>
      </c>
      <c r="H1033" s="4">
        <v>3349006</v>
      </c>
      <c r="I1033" s="4" t="s">
        <v>652</v>
      </c>
      <c r="J1033" s="4" t="s">
        <v>157</v>
      </c>
      <c r="K1033" s="4">
        <v>3358503</v>
      </c>
    </row>
    <row r="1034" spans="1:43" s="3" customFormat="1" x14ac:dyDescent="0.3">
      <c r="B1034" s="44">
        <v>45941</v>
      </c>
      <c r="C1034" s="3" t="s">
        <v>416</v>
      </c>
      <c r="D1034" s="3" t="s">
        <v>495</v>
      </c>
      <c r="E1034" s="42"/>
      <c r="F1034" s="3" t="s">
        <v>713</v>
      </c>
      <c r="G1034" s="3" t="s">
        <v>199</v>
      </c>
      <c r="H1034" s="4">
        <v>3349100</v>
      </c>
      <c r="I1034" s="3" t="s">
        <v>646</v>
      </c>
      <c r="J1034" s="3" t="s">
        <v>195</v>
      </c>
      <c r="K1034" s="74">
        <v>3361600</v>
      </c>
    </row>
    <row r="1035" spans="1:43" s="3" customFormat="1" x14ac:dyDescent="0.3">
      <c r="B1035" s="44">
        <v>45941</v>
      </c>
      <c r="C1035" s="3" t="s">
        <v>416</v>
      </c>
      <c r="D1035" s="4" t="s">
        <v>614</v>
      </c>
      <c r="E1035" s="42"/>
      <c r="F1035" s="3" t="s">
        <v>713</v>
      </c>
      <c r="G1035" s="3" t="s">
        <v>623</v>
      </c>
      <c r="H1035" s="4">
        <v>3819305</v>
      </c>
      <c r="I1035" s="4" t="s">
        <v>699</v>
      </c>
      <c r="J1035" s="4" t="s">
        <v>624</v>
      </c>
      <c r="K1035" s="4">
        <v>3196105</v>
      </c>
    </row>
    <row r="1036" spans="1:43" s="3" customFormat="1" x14ac:dyDescent="0.3">
      <c r="B1036" s="44">
        <v>45941</v>
      </c>
      <c r="C1036" s="3" t="s">
        <v>416</v>
      </c>
      <c r="D1036" s="3" t="s">
        <v>62</v>
      </c>
      <c r="E1036" s="42"/>
      <c r="F1036" s="4" t="s">
        <v>663</v>
      </c>
      <c r="G1036" s="4" t="s">
        <v>280</v>
      </c>
      <c r="H1036" s="4">
        <v>3198103</v>
      </c>
      <c r="I1036" s="3" t="s">
        <v>660</v>
      </c>
      <c r="J1036" s="3" t="s">
        <v>443</v>
      </c>
      <c r="K1036" s="4">
        <v>3210008</v>
      </c>
    </row>
    <row r="1037" spans="1:43" s="3" customFormat="1" x14ac:dyDescent="0.3">
      <c r="B1037" s="44">
        <v>45941</v>
      </c>
      <c r="C1037" s="3" t="s">
        <v>416</v>
      </c>
      <c r="D1037" s="3" t="s">
        <v>493</v>
      </c>
      <c r="E1037" s="42"/>
      <c r="F1037" s="3" t="s">
        <v>663</v>
      </c>
      <c r="G1037" s="3" t="s">
        <v>173</v>
      </c>
      <c r="H1037" s="4">
        <v>3349308</v>
      </c>
      <c r="I1037" s="4" t="s">
        <v>471</v>
      </c>
      <c r="J1037" s="4" t="s">
        <v>174</v>
      </c>
      <c r="K1037" s="4">
        <v>3348101</v>
      </c>
    </row>
    <row r="1038" spans="1:43" s="3" customFormat="1" x14ac:dyDescent="0.3">
      <c r="B1038" s="44">
        <v>45941</v>
      </c>
      <c r="C1038" s="3" t="s">
        <v>416</v>
      </c>
      <c r="D1038" s="3" t="s">
        <v>500</v>
      </c>
      <c r="E1038" s="42"/>
      <c r="F1038" s="3" t="s">
        <v>663</v>
      </c>
      <c r="G1038" s="3" t="s">
        <v>239</v>
      </c>
      <c r="H1038" s="4">
        <v>3348809</v>
      </c>
      <c r="I1038" s="4" t="s">
        <v>479</v>
      </c>
      <c r="J1038" s="4" t="s">
        <v>465</v>
      </c>
      <c r="K1038" s="4">
        <v>3962207</v>
      </c>
    </row>
    <row r="1039" spans="1:43" s="3" customFormat="1" x14ac:dyDescent="0.3">
      <c r="B1039" s="44">
        <v>45941</v>
      </c>
      <c r="C1039" s="3" t="s">
        <v>416</v>
      </c>
      <c r="D1039" s="3" t="s">
        <v>69</v>
      </c>
      <c r="E1039" s="42"/>
      <c r="F1039" s="3" t="s">
        <v>663</v>
      </c>
      <c r="G1039" s="3" t="s">
        <v>362</v>
      </c>
      <c r="H1039" s="4">
        <v>3197406</v>
      </c>
      <c r="I1039" s="3" t="s">
        <v>655</v>
      </c>
      <c r="J1039" s="3" t="s">
        <v>394</v>
      </c>
      <c r="K1039" s="4">
        <v>3201105</v>
      </c>
    </row>
    <row r="1040" spans="1:43" s="3" customFormat="1" x14ac:dyDescent="0.3">
      <c r="A1040" s="4"/>
      <c r="B1040" s="100">
        <v>45941</v>
      </c>
      <c r="C1040" s="98" t="s">
        <v>553</v>
      </c>
      <c r="D1040" s="4" t="s">
        <v>512</v>
      </c>
      <c r="E1040" s="4"/>
      <c r="F1040" s="73" t="s">
        <v>538</v>
      </c>
      <c r="G1040" s="73" t="s">
        <v>538</v>
      </c>
      <c r="H1040" s="73"/>
      <c r="I1040" s="73" t="s">
        <v>477</v>
      </c>
      <c r="J1040" s="73" t="s">
        <v>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</row>
    <row r="1041" spans="2:13" s="3" customFormat="1" x14ac:dyDescent="0.3">
      <c r="B1041" s="44">
        <v>45941</v>
      </c>
      <c r="C1041" s="3" t="s">
        <v>416</v>
      </c>
      <c r="D1041" s="3" t="s">
        <v>56</v>
      </c>
      <c r="E1041" s="42"/>
      <c r="F1041" s="4" t="s">
        <v>471</v>
      </c>
      <c r="G1041" s="4" t="s">
        <v>441</v>
      </c>
      <c r="H1041" s="4">
        <v>3023409</v>
      </c>
      <c r="I1041" s="106" t="s">
        <v>672</v>
      </c>
      <c r="J1041" s="106" t="s">
        <v>252</v>
      </c>
      <c r="K1041" s="106">
        <v>3070204</v>
      </c>
    </row>
    <row r="1042" spans="2:13" s="3" customFormat="1" x14ac:dyDescent="0.3">
      <c r="B1042" s="44">
        <v>45941</v>
      </c>
      <c r="C1042" s="3" t="s">
        <v>416</v>
      </c>
      <c r="D1042" s="3" t="s">
        <v>56</v>
      </c>
      <c r="E1042" s="42"/>
      <c r="F1042" s="3" t="s">
        <v>471</v>
      </c>
      <c r="G1042" s="3" t="s">
        <v>254</v>
      </c>
      <c r="H1042" s="4">
        <v>3068908</v>
      </c>
      <c r="I1042" s="73" t="s">
        <v>671</v>
      </c>
      <c r="J1042" s="73" t="s">
        <v>247</v>
      </c>
      <c r="K1042" s="4">
        <v>3034102</v>
      </c>
    </row>
    <row r="1043" spans="2:13" s="3" customFormat="1" x14ac:dyDescent="0.3">
      <c r="B1043" s="44">
        <v>45941</v>
      </c>
      <c r="C1043" s="3" t="s">
        <v>416</v>
      </c>
      <c r="D1043" s="3" t="s">
        <v>487</v>
      </c>
      <c r="E1043" s="4"/>
      <c r="F1043" s="4" t="s">
        <v>471</v>
      </c>
      <c r="G1043" s="4" t="s">
        <v>133</v>
      </c>
      <c r="H1043" s="4">
        <v>3348705</v>
      </c>
      <c r="I1043" s="4" t="s">
        <v>645</v>
      </c>
      <c r="J1043" s="4" t="s">
        <v>114</v>
      </c>
      <c r="K1043" s="4">
        <v>3351000</v>
      </c>
    </row>
    <row r="1044" spans="2:13" s="3" customFormat="1" x14ac:dyDescent="0.3">
      <c r="B1044" s="44">
        <v>45941</v>
      </c>
      <c r="C1044" s="3" t="s">
        <v>416</v>
      </c>
      <c r="D1044" s="3" t="s">
        <v>590</v>
      </c>
      <c r="E1044" s="42"/>
      <c r="F1044" s="3" t="s">
        <v>471</v>
      </c>
      <c r="G1044" s="3" t="s">
        <v>291</v>
      </c>
      <c r="H1044" s="4">
        <v>3196709</v>
      </c>
      <c r="I1044" s="3" t="s">
        <v>474</v>
      </c>
      <c r="J1044" s="3" t="s">
        <v>317</v>
      </c>
      <c r="K1044" s="4">
        <v>3200700</v>
      </c>
    </row>
    <row r="1045" spans="2:13" s="3" customFormat="1" x14ac:dyDescent="0.3">
      <c r="B1045" s="44">
        <v>45941</v>
      </c>
      <c r="C1045" s="3" t="s">
        <v>416</v>
      </c>
      <c r="D1045" s="3" t="s">
        <v>493</v>
      </c>
      <c r="E1045" s="42"/>
      <c r="F1045" s="3" t="s">
        <v>471</v>
      </c>
      <c r="G1045" s="3" t="s">
        <v>190</v>
      </c>
      <c r="H1045" s="4">
        <v>3348205</v>
      </c>
      <c r="I1045" s="4" t="s">
        <v>657</v>
      </c>
      <c r="J1045" s="4" t="s">
        <v>167</v>
      </c>
      <c r="K1045" s="4">
        <v>3359804</v>
      </c>
    </row>
    <row r="1046" spans="2:13" s="3" customFormat="1" x14ac:dyDescent="0.3">
      <c r="B1046" s="44">
        <v>45941</v>
      </c>
      <c r="C1046" s="3" t="s">
        <v>416</v>
      </c>
      <c r="D1046" s="3" t="s">
        <v>69</v>
      </c>
      <c r="E1046" s="42"/>
      <c r="F1046" s="3" t="s">
        <v>471</v>
      </c>
      <c r="G1046" s="3" t="s">
        <v>364</v>
      </c>
      <c r="H1046" s="4">
        <v>3197000</v>
      </c>
      <c r="I1046" s="3" t="s">
        <v>691</v>
      </c>
      <c r="J1046" s="3" t="s">
        <v>395</v>
      </c>
      <c r="K1046" s="4">
        <v>3197604</v>
      </c>
    </row>
    <row r="1047" spans="2:13" s="3" customFormat="1" x14ac:dyDescent="0.3">
      <c r="B1047" s="44">
        <v>45941</v>
      </c>
      <c r="C1047" s="3" t="s">
        <v>416</v>
      </c>
      <c r="D1047" s="3" t="s">
        <v>497</v>
      </c>
      <c r="E1047" s="42"/>
      <c r="F1047" s="15" t="s">
        <v>471</v>
      </c>
      <c r="G1047" s="15" t="s">
        <v>240</v>
      </c>
      <c r="H1047" s="74">
        <v>3348403</v>
      </c>
      <c r="I1047" s="17" t="s">
        <v>476</v>
      </c>
      <c r="J1047" s="17" t="s">
        <v>234</v>
      </c>
      <c r="K1047" s="74">
        <v>3356807</v>
      </c>
    </row>
    <row r="1048" spans="2:13" s="3" customFormat="1" x14ac:dyDescent="0.3">
      <c r="B1048" s="44">
        <v>45941</v>
      </c>
      <c r="C1048" s="3" t="s">
        <v>416</v>
      </c>
      <c r="D1048" s="3" t="s">
        <v>487</v>
      </c>
      <c r="E1048" s="4"/>
      <c r="F1048" s="4" t="s">
        <v>692</v>
      </c>
      <c r="G1048" s="4" t="s">
        <v>115</v>
      </c>
      <c r="H1048" s="4">
        <v>3068106</v>
      </c>
      <c r="I1048" s="3" t="s">
        <v>479</v>
      </c>
      <c r="J1048" s="3" t="s">
        <v>127</v>
      </c>
      <c r="K1048" s="4">
        <v>3360809</v>
      </c>
    </row>
    <row r="1049" spans="2:13" s="3" customFormat="1" x14ac:dyDescent="0.3">
      <c r="B1049" s="44">
        <v>45941</v>
      </c>
      <c r="C1049" s="3" t="s">
        <v>416</v>
      </c>
      <c r="D1049" s="3" t="s">
        <v>494</v>
      </c>
      <c r="E1049" s="42"/>
      <c r="F1049" s="3" t="s">
        <v>692</v>
      </c>
      <c r="G1049" s="3" t="s">
        <v>144</v>
      </c>
      <c r="H1049" s="4">
        <v>3347904</v>
      </c>
      <c r="I1049" s="3" t="s">
        <v>662</v>
      </c>
      <c r="J1049" s="3" t="s">
        <v>218</v>
      </c>
      <c r="K1049" s="4">
        <v>3358201</v>
      </c>
    </row>
    <row r="1050" spans="2:13" s="3" customFormat="1" x14ac:dyDescent="0.3">
      <c r="B1050" s="44">
        <v>45941</v>
      </c>
      <c r="C1050" s="3" t="s">
        <v>416</v>
      </c>
      <c r="D1050" s="3" t="s">
        <v>70</v>
      </c>
      <c r="E1050" s="42"/>
      <c r="F1050" s="3" t="s">
        <v>692</v>
      </c>
      <c r="G1050" s="3" t="s">
        <v>378</v>
      </c>
      <c r="H1050" s="4">
        <v>3197802</v>
      </c>
      <c r="I1050" s="3" t="s">
        <v>717</v>
      </c>
      <c r="J1050" s="3" t="s">
        <v>434</v>
      </c>
      <c r="K1050" s="4">
        <v>3195408</v>
      </c>
    </row>
    <row r="1051" spans="2:13" s="3" customFormat="1" x14ac:dyDescent="0.3">
      <c r="B1051" s="44">
        <v>45941</v>
      </c>
      <c r="C1051" s="3" t="s">
        <v>416</v>
      </c>
      <c r="D1051" s="3" t="s">
        <v>498</v>
      </c>
      <c r="E1051" s="42"/>
      <c r="F1051" s="3" t="s">
        <v>692</v>
      </c>
      <c r="G1051" s="3" t="s">
        <v>223</v>
      </c>
      <c r="H1051" s="4">
        <v>3348007</v>
      </c>
      <c r="I1051" s="3" t="s">
        <v>717</v>
      </c>
      <c r="J1051" s="3" t="s">
        <v>429</v>
      </c>
      <c r="K1051" s="4">
        <v>3346905</v>
      </c>
    </row>
    <row r="1052" spans="2:13" s="3" customFormat="1" x14ac:dyDescent="0.3">
      <c r="B1052" s="44">
        <v>45941</v>
      </c>
      <c r="C1052" s="3" t="s">
        <v>416</v>
      </c>
      <c r="D1052" s="3" t="s">
        <v>501</v>
      </c>
      <c r="E1052" s="42"/>
      <c r="F1052" s="3" t="s">
        <v>692</v>
      </c>
      <c r="G1052" s="3" t="s">
        <v>582</v>
      </c>
      <c r="H1052" s="53">
        <v>3900901</v>
      </c>
      <c r="I1052" s="3" t="s">
        <v>708</v>
      </c>
      <c r="J1052" s="3" t="s">
        <v>598</v>
      </c>
      <c r="K1052" s="4">
        <v>3354903</v>
      </c>
      <c r="M1052" s="51"/>
    </row>
    <row r="1053" spans="2:13" s="3" customFormat="1" x14ac:dyDescent="0.3">
      <c r="B1053" s="44">
        <v>45941</v>
      </c>
      <c r="C1053" s="3" t="s">
        <v>416</v>
      </c>
      <c r="D1053" s="3" t="s">
        <v>488</v>
      </c>
      <c r="E1053" s="42"/>
      <c r="F1053" s="4" t="s">
        <v>698</v>
      </c>
      <c r="G1053" s="4" t="s">
        <v>561</v>
      </c>
      <c r="H1053" s="4" t="s">
        <v>563</v>
      </c>
      <c r="I1053" s="3" t="s">
        <v>702</v>
      </c>
      <c r="J1053" s="3" t="s">
        <v>119</v>
      </c>
      <c r="K1053" s="4">
        <v>3067909</v>
      </c>
    </row>
    <row r="1054" spans="2:13" s="3" customFormat="1" x14ac:dyDescent="0.3">
      <c r="B1054" s="44">
        <v>45941</v>
      </c>
      <c r="C1054" s="3" t="s">
        <v>416</v>
      </c>
      <c r="D1054" s="3" t="s">
        <v>58</v>
      </c>
      <c r="E1054" s="42"/>
      <c r="F1054" s="3" t="s">
        <v>698</v>
      </c>
      <c r="G1054" s="3" t="s">
        <v>587</v>
      </c>
      <c r="H1054" s="4" t="s">
        <v>563</v>
      </c>
      <c r="I1054" s="3" t="s">
        <v>659</v>
      </c>
      <c r="J1054" s="3" t="s">
        <v>265</v>
      </c>
      <c r="K1054" s="32">
        <v>3208702</v>
      </c>
    </row>
    <row r="1055" spans="2:13" s="3" customFormat="1" x14ac:dyDescent="0.3">
      <c r="B1055" s="44">
        <v>45941</v>
      </c>
      <c r="C1055" s="3" t="s">
        <v>416</v>
      </c>
      <c r="D1055" s="3" t="s">
        <v>59</v>
      </c>
      <c r="E1055" s="42"/>
      <c r="F1055" s="4" t="s">
        <v>681</v>
      </c>
      <c r="G1055" s="4" t="s">
        <v>281</v>
      </c>
      <c r="H1055" s="4">
        <v>3195700</v>
      </c>
      <c r="I1055" s="3" t="s">
        <v>652</v>
      </c>
      <c r="J1055" s="3" t="s">
        <v>313</v>
      </c>
      <c r="K1055" s="4">
        <v>3207901</v>
      </c>
    </row>
    <row r="1056" spans="2:13" s="3" customFormat="1" x14ac:dyDescent="0.3">
      <c r="B1056" s="44">
        <v>45941</v>
      </c>
      <c r="C1056" s="3" t="s">
        <v>416</v>
      </c>
      <c r="D1056" s="3" t="s">
        <v>492</v>
      </c>
      <c r="E1056" s="42"/>
      <c r="F1056" s="4" t="s">
        <v>670</v>
      </c>
      <c r="G1056" s="4" t="s">
        <v>145</v>
      </c>
      <c r="H1056" s="4">
        <v>3347404</v>
      </c>
      <c r="I1056" s="3" t="s">
        <v>666</v>
      </c>
      <c r="J1056" s="3" t="s">
        <v>158</v>
      </c>
      <c r="K1056" s="4">
        <v>3356901</v>
      </c>
    </row>
    <row r="1057" spans="2:13" s="3" customFormat="1" x14ac:dyDescent="0.3">
      <c r="B1057" s="44">
        <v>45941</v>
      </c>
      <c r="C1057" s="3" t="s">
        <v>416</v>
      </c>
      <c r="D1057" s="3" t="s">
        <v>592</v>
      </c>
      <c r="E1057" s="42"/>
      <c r="F1057" s="3" t="s">
        <v>670</v>
      </c>
      <c r="G1057" s="3" t="s">
        <v>636</v>
      </c>
      <c r="H1057" s="74">
        <v>3195502</v>
      </c>
      <c r="I1057" s="3" t="s">
        <v>475</v>
      </c>
      <c r="J1057" s="3" t="s">
        <v>398</v>
      </c>
      <c r="K1057" s="74">
        <v>3211601</v>
      </c>
    </row>
    <row r="1058" spans="2:13" s="3" customFormat="1" x14ac:dyDescent="0.3">
      <c r="B1058" s="44">
        <v>45941</v>
      </c>
      <c r="C1058" s="3" t="s">
        <v>416</v>
      </c>
      <c r="D1058" s="3" t="s">
        <v>486</v>
      </c>
      <c r="E1058" s="42"/>
      <c r="F1058" s="3" t="s">
        <v>673</v>
      </c>
      <c r="G1058" s="3" t="s">
        <v>106</v>
      </c>
      <c r="H1058" s="4">
        <v>3067607</v>
      </c>
      <c r="I1058" s="3" t="s">
        <v>681</v>
      </c>
      <c r="J1058" s="3" t="s">
        <v>105</v>
      </c>
      <c r="K1058" s="4">
        <v>3035809</v>
      </c>
    </row>
    <row r="1059" spans="2:13" s="3" customFormat="1" x14ac:dyDescent="0.3">
      <c r="B1059" s="44">
        <v>45941</v>
      </c>
      <c r="C1059" s="3" t="s">
        <v>416</v>
      </c>
      <c r="D1059" s="3" t="s">
        <v>492</v>
      </c>
      <c r="E1059" s="42"/>
      <c r="F1059" s="4" t="s">
        <v>673</v>
      </c>
      <c r="G1059" s="4" t="s">
        <v>134</v>
      </c>
      <c r="H1059" s="4">
        <v>3347102</v>
      </c>
      <c r="I1059" s="3" t="s">
        <v>649</v>
      </c>
      <c r="J1059" s="3" t="s">
        <v>154</v>
      </c>
      <c r="K1059" s="4">
        <v>3362109</v>
      </c>
    </row>
    <row r="1060" spans="2:13" s="3" customFormat="1" x14ac:dyDescent="0.3">
      <c r="B1060" s="44">
        <v>45941</v>
      </c>
      <c r="C1060" s="3" t="s">
        <v>416</v>
      </c>
      <c r="D1060" s="3" t="s">
        <v>495</v>
      </c>
      <c r="E1060" s="42"/>
      <c r="F1060" s="3" t="s">
        <v>673</v>
      </c>
      <c r="G1060" s="3" t="s">
        <v>200</v>
      </c>
      <c r="H1060" s="53">
        <v>3901004</v>
      </c>
      <c r="I1060" s="3" t="s">
        <v>682</v>
      </c>
      <c r="J1060" s="3" t="s">
        <v>568</v>
      </c>
      <c r="K1060" s="4">
        <v>3969908</v>
      </c>
    </row>
    <row r="1061" spans="2:13" s="3" customFormat="1" x14ac:dyDescent="0.3">
      <c r="B1061" s="44">
        <v>45941</v>
      </c>
      <c r="C1061" s="3" t="s">
        <v>416</v>
      </c>
      <c r="D1061" s="3" t="s">
        <v>490</v>
      </c>
      <c r="E1061" s="4"/>
      <c r="F1061" s="3" t="s">
        <v>717</v>
      </c>
      <c r="G1061" s="3" t="s">
        <v>425</v>
      </c>
      <c r="H1061" s="4">
        <v>3347206</v>
      </c>
      <c r="I1061" s="4" t="s">
        <v>472</v>
      </c>
      <c r="J1061" s="4" t="s">
        <v>140</v>
      </c>
      <c r="K1061" s="4">
        <v>3357900</v>
      </c>
    </row>
    <row r="1062" spans="2:13" s="3" customFormat="1" x14ac:dyDescent="0.3">
      <c r="B1062" s="44">
        <v>45941</v>
      </c>
      <c r="C1062" s="3" t="s">
        <v>416</v>
      </c>
      <c r="D1062" s="3" t="s">
        <v>64</v>
      </c>
      <c r="E1062" s="42">
        <v>4370907</v>
      </c>
      <c r="F1062" s="3" t="s">
        <v>717</v>
      </c>
      <c r="G1062" s="3" t="s">
        <v>432</v>
      </c>
      <c r="H1062" s="4">
        <v>3195106</v>
      </c>
      <c r="I1062" s="4" t="s">
        <v>673</v>
      </c>
      <c r="J1062" s="4" t="s">
        <v>355</v>
      </c>
      <c r="K1062" s="4">
        <v>3195002</v>
      </c>
    </row>
    <row r="1063" spans="2:13" s="3" customFormat="1" x14ac:dyDescent="0.3">
      <c r="B1063" s="44">
        <v>45941</v>
      </c>
      <c r="C1063" s="3" t="s">
        <v>416</v>
      </c>
      <c r="D1063" s="3" t="s">
        <v>501</v>
      </c>
      <c r="E1063" s="42"/>
      <c r="F1063" s="3" t="s">
        <v>717</v>
      </c>
      <c r="G1063" s="3" t="s">
        <v>583</v>
      </c>
      <c r="H1063" s="4">
        <v>4022908</v>
      </c>
      <c r="I1063" s="3" t="s">
        <v>689</v>
      </c>
      <c r="J1063" s="3" t="s">
        <v>581</v>
      </c>
      <c r="K1063" s="4">
        <v>4022804</v>
      </c>
      <c r="M1063" s="51"/>
    </row>
    <row r="1064" spans="2:13" s="3" customFormat="1" x14ac:dyDescent="0.3">
      <c r="B1064" s="44">
        <v>45941</v>
      </c>
      <c r="C1064" s="3" t="s">
        <v>416</v>
      </c>
      <c r="D1064" s="3" t="s">
        <v>62</v>
      </c>
      <c r="E1064" s="42"/>
      <c r="F1064" s="4" t="s">
        <v>679</v>
      </c>
      <c r="G1064" s="4" t="s">
        <v>292</v>
      </c>
      <c r="H1064" s="4">
        <v>3195304</v>
      </c>
      <c r="I1064" s="3" t="s">
        <v>476</v>
      </c>
      <c r="J1064" s="3" t="s">
        <v>323</v>
      </c>
      <c r="K1064" s="4">
        <v>3206506</v>
      </c>
    </row>
    <row r="1065" spans="2:13" s="3" customFormat="1" x14ac:dyDescent="0.3">
      <c r="B1065" s="44">
        <v>45941</v>
      </c>
      <c r="C1065" s="3" t="s">
        <v>416</v>
      </c>
      <c r="D1065" s="3" t="s">
        <v>500</v>
      </c>
      <c r="E1065" s="42"/>
      <c r="F1065" s="3" t="s">
        <v>679</v>
      </c>
      <c r="G1065" s="3" t="s">
        <v>466</v>
      </c>
      <c r="H1065" s="4">
        <v>3346707</v>
      </c>
      <c r="I1065" s="4" t="s">
        <v>479</v>
      </c>
      <c r="J1065" s="4" t="s">
        <v>232</v>
      </c>
      <c r="K1065" s="4">
        <v>3360507</v>
      </c>
    </row>
    <row r="1066" spans="2:13" s="3" customFormat="1" x14ac:dyDescent="0.3">
      <c r="B1066" s="44">
        <v>45941</v>
      </c>
      <c r="C1066" s="3" t="s">
        <v>416</v>
      </c>
      <c r="D1066" s="3" t="s">
        <v>487</v>
      </c>
      <c r="E1066" s="4"/>
      <c r="F1066" s="4" t="s">
        <v>721</v>
      </c>
      <c r="G1066" s="4" t="s">
        <v>124</v>
      </c>
      <c r="H1066" s="4">
        <v>3267501</v>
      </c>
      <c r="I1066" s="3" t="s">
        <v>475</v>
      </c>
      <c r="J1066" s="3" t="s">
        <v>96</v>
      </c>
      <c r="K1066" s="4">
        <v>3067107</v>
      </c>
    </row>
    <row r="1067" spans="2:13" s="3" customFormat="1" x14ac:dyDescent="0.3">
      <c r="B1067" s="44">
        <v>45941</v>
      </c>
      <c r="C1067" s="3" t="s">
        <v>416</v>
      </c>
      <c r="D1067" s="3" t="s">
        <v>489</v>
      </c>
      <c r="E1067" s="4"/>
      <c r="F1067" s="3" t="s">
        <v>688</v>
      </c>
      <c r="G1067" s="3" t="s">
        <v>10</v>
      </c>
      <c r="H1067" s="4">
        <v>3036204</v>
      </c>
      <c r="I1067" s="3" t="s">
        <v>671</v>
      </c>
      <c r="J1067" s="3" t="s">
        <v>156</v>
      </c>
      <c r="K1067" s="4">
        <v>3359200</v>
      </c>
    </row>
    <row r="1068" spans="2:13" s="3" customFormat="1" x14ac:dyDescent="0.3">
      <c r="B1068" s="44">
        <v>45941</v>
      </c>
      <c r="C1068" s="3" t="s">
        <v>416</v>
      </c>
      <c r="D1068" s="3" t="s">
        <v>498</v>
      </c>
      <c r="E1068" s="42"/>
      <c r="F1068" s="3" t="s">
        <v>688</v>
      </c>
      <c r="G1068" s="3" t="s">
        <v>146</v>
      </c>
      <c r="H1068" s="53">
        <v>3346405</v>
      </c>
      <c r="I1068" s="3" t="s">
        <v>472</v>
      </c>
      <c r="J1068" s="3" t="s">
        <v>244</v>
      </c>
      <c r="K1068" s="4">
        <v>3357504</v>
      </c>
    </row>
    <row r="1069" spans="2:13" s="3" customFormat="1" x14ac:dyDescent="0.3">
      <c r="B1069" s="44">
        <v>45941</v>
      </c>
      <c r="C1069" s="3" t="s">
        <v>416</v>
      </c>
      <c r="D1069" s="3" t="s">
        <v>64</v>
      </c>
      <c r="E1069" s="42">
        <v>4370907</v>
      </c>
      <c r="F1069" s="3" t="s">
        <v>688</v>
      </c>
      <c r="G1069" s="3" t="s">
        <v>318</v>
      </c>
      <c r="H1069" s="4">
        <v>3037401</v>
      </c>
      <c r="I1069" s="4" t="s">
        <v>646</v>
      </c>
      <c r="J1069" s="4" t="s">
        <v>349</v>
      </c>
      <c r="K1069" s="4">
        <v>3202500</v>
      </c>
    </row>
    <row r="1070" spans="2:13" s="3" customFormat="1" x14ac:dyDescent="0.3">
      <c r="B1070" s="44">
        <v>45941</v>
      </c>
      <c r="C1070" s="3" t="s">
        <v>416</v>
      </c>
      <c r="D1070" s="3" t="s">
        <v>504</v>
      </c>
      <c r="E1070" s="42"/>
      <c r="F1070" s="4" t="s">
        <v>720</v>
      </c>
      <c r="G1070" s="4" t="s">
        <v>13</v>
      </c>
      <c r="H1070" s="4">
        <v>3125906</v>
      </c>
      <c r="I1070" s="3" t="s">
        <v>472</v>
      </c>
      <c r="J1070" s="3" t="s">
        <v>11</v>
      </c>
      <c r="K1070" s="4">
        <v>3034800</v>
      </c>
    </row>
    <row r="1071" spans="2:13" s="3" customFormat="1" x14ac:dyDescent="0.3">
      <c r="B1071" s="44">
        <v>45941</v>
      </c>
      <c r="C1071" s="3" t="s">
        <v>416</v>
      </c>
      <c r="D1071" s="3" t="s">
        <v>61</v>
      </c>
      <c r="E1071" s="42"/>
      <c r="F1071" s="4" t="s">
        <v>720</v>
      </c>
      <c r="G1071" s="4" t="s">
        <v>335</v>
      </c>
      <c r="H1071" s="4">
        <v>3194201</v>
      </c>
      <c r="I1071" s="3" t="s">
        <v>703</v>
      </c>
      <c r="J1071" s="3" t="s">
        <v>596</v>
      </c>
      <c r="K1071" s="4" t="s">
        <v>556</v>
      </c>
    </row>
    <row r="1072" spans="2:13" s="3" customFormat="1" x14ac:dyDescent="0.3">
      <c r="B1072" s="44">
        <v>45941</v>
      </c>
      <c r="C1072" s="3" t="s">
        <v>416</v>
      </c>
      <c r="D1072" s="3" t="s">
        <v>488</v>
      </c>
      <c r="E1072" s="42"/>
      <c r="F1072" s="3" t="s">
        <v>720</v>
      </c>
      <c r="G1072" s="3" t="s">
        <v>153</v>
      </c>
      <c r="H1072" s="4">
        <v>3033405</v>
      </c>
      <c r="I1072" s="3" t="s">
        <v>704</v>
      </c>
      <c r="J1072" s="3" t="s">
        <v>120</v>
      </c>
      <c r="K1072" s="4">
        <v>3355506</v>
      </c>
    </row>
    <row r="1073" spans="1:43" s="3" customFormat="1" x14ac:dyDescent="0.3">
      <c r="B1073" s="44">
        <v>45941</v>
      </c>
      <c r="C1073" s="3" t="s">
        <v>416</v>
      </c>
      <c r="D1073" s="3" t="s">
        <v>57</v>
      </c>
      <c r="E1073" s="42"/>
      <c r="F1073" s="4" t="s">
        <v>647</v>
      </c>
      <c r="G1073" s="4" t="s">
        <v>282</v>
      </c>
      <c r="H1073" s="4">
        <v>3193900</v>
      </c>
      <c r="I1073" s="74" t="s">
        <v>694</v>
      </c>
      <c r="J1073" s="74" t="s">
        <v>276</v>
      </c>
      <c r="K1073" s="74">
        <v>3201709</v>
      </c>
    </row>
    <row r="1074" spans="1:43" s="3" customFormat="1" x14ac:dyDescent="0.3">
      <c r="B1074" s="44">
        <v>45941</v>
      </c>
      <c r="C1074" s="3" t="s">
        <v>416</v>
      </c>
      <c r="D1074" s="3" t="s">
        <v>494</v>
      </c>
      <c r="E1074" s="42"/>
      <c r="F1074" s="4" t="s">
        <v>647</v>
      </c>
      <c r="G1074" s="4" t="s">
        <v>191</v>
      </c>
      <c r="H1074" s="4">
        <v>3345708</v>
      </c>
      <c r="I1074" s="3" t="s">
        <v>708</v>
      </c>
      <c r="J1074" s="3" t="s">
        <v>220</v>
      </c>
      <c r="K1074" s="4">
        <v>3354809</v>
      </c>
    </row>
    <row r="1075" spans="1:43" s="3" customFormat="1" x14ac:dyDescent="0.3">
      <c r="B1075" s="44">
        <v>45941</v>
      </c>
      <c r="C1075" s="3" t="s">
        <v>416</v>
      </c>
      <c r="D1075" s="3" t="s">
        <v>498</v>
      </c>
      <c r="E1075" s="42"/>
      <c r="F1075" s="3" t="s">
        <v>647</v>
      </c>
      <c r="G1075" s="3" t="s">
        <v>225</v>
      </c>
      <c r="H1075" s="4">
        <v>3345802</v>
      </c>
      <c r="I1075" s="3" t="s">
        <v>689</v>
      </c>
      <c r="J1075" s="3" t="s">
        <v>468</v>
      </c>
      <c r="K1075" s="4">
        <v>3349902</v>
      </c>
    </row>
    <row r="1076" spans="1:43" s="3" customFormat="1" x14ac:dyDescent="0.3">
      <c r="B1076" s="44">
        <v>45941</v>
      </c>
      <c r="C1076" s="3" t="s">
        <v>416</v>
      </c>
      <c r="D1076" s="3" t="s">
        <v>496</v>
      </c>
      <c r="E1076" s="42"/>
      <c r="F1076" s="4" t="s">
        <v>687</v>
      </c>
      <c r="G1076" s="4" t="s">
        <v>207</v>
      </c>
      <c r="H1076" s="4">
        <v>3346801</v>
      </c>
      <c r="I1076" s="3" t="s">
        <v>652</v>
      </c>
      <c r="J1076" s="3" t="s">
        <v>229</v>
      </c>
      <c r="K1076" s="4">
        <v>3358409</v>
      </c>
    </row>
    <row r="1077" spans="1:43" s="3" customFormat="1" x14ac:dyDescent="0.3">
      <c r="B1077" s="44">
        <v>45941</v>
      </c>
      <c r="C1077" s="3" t="s">
        <v>416</v>
      </c>
      <c r="D1077" s="3" t="s">
        <v>59</v>
      </c>
      <c r="E1077" s="42"/>
      <c r="F1077" s="4" t="s">
        <v>687</v>
      </c>
      <c r="G1077" s="4" t="s">
        <v>283</v>
      </c>
      <c r="H1077" s="4">
        <v>3194107</v>
      </c>
      <c r="I1077" s="3" t="s">
        <v>479</v>
      </c>
      <c r="J1077" s="3" t="s">
        <v>273</v>
      </c>
      <c r="K1077" s="4">
        <v>3211007</v>
      </c>
    </row>
    <row r="1078" spans="1:43" s="3" customFormat="1" x14ac:dyDescent="0.3">
      <c r="A1078" s="4"/>
      <c r="B1078" s="100">
        <v>45942</v>
      </c>
      <c r="C1078" s="98" t="s">
        <v>553</v>
      </c>
      <c r="D1078" s="4" t="s">
        <v>521</v>
      </c>
      <c r="E1078" s="4"/>
      <c r="F1078" s="73" t="s">
        <v>479</v>
      </c>
      <c r="G1078" s="73" t="s">
        <v>479</v>
      </c>
      <c r="H1078" s="73"/>
      <c r="I1078" s="73" t="s">
        <v>536</v>
      </c>
      <c r="J1078" s="73" t="s">
        <v>536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</row>
    <row r="1079" spans="1:43" s="3" customFormat="1" x14ac:dyDescent="0.3">
      <c r="A1079" s="4"/>
      <c r="B1079" s="100">
        <v>45942</v>
      </c>
      <c r="C1079" s="98" t="s">
        <v>553</v>
      </c>
      <c r="D1079" s="4" t="s">
        <v>521</v>
      </c>
      <c r="E1079" s="4"/>
      <c r="F1079" s="73" t="s">
        <v>472</v>
      </c>
      <c r="G1079" s="73" t="s">
        <v>472</v>
      </c>
      <c r="H1079" s="73"/>
      <c r="I1079" s="73" t="s">
        <v>535</v>
      </c>
      <c r="J1079" s="73" t="s">
        <v>535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</row>
    <row r="1080" spans="1:43" s="3" customFormat="1" x14ac:dyDescent="0.3">
      <c r="A1080" s="4"/>
      <c r="B1080" s="100">
        <v>45942</v>
      </c>
      <c r="C1080" s="98" t="s">
        <v>553</v>
      </c>
      <c r="D1080" s="4" t="s">
        <v>516</v>
      </c>
      <c r="E1080" s="4"/>
      <c r="F1080" s="73" t="s">
        <v>517</v>
      </c>
      <c r="G1080" s="73" t="s">
        <v>517</v>
      </c>
      <c r="H1080" s="73"/>
      <c r="I1080" s="73" t="s">
        <v>518</v>
      </c>
      <c r="J1080" s="73" t="s">
        <v>518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</row>
    <row r="1081" spans="1:43" s="3" customFormat="1" x14ac:dyDescent="0.3">
      <c r="A1081" s="4"/>
      <c r="B1081" s="100">
        <v>45942</v>
      </c>
      <c r="C1081" s="98" t="s">
        <v>553</v>
      </c>
      <c r="D1081" s="4" t="s">
        <v>516</v>
      </c>
      <c r="E1081" s="4"/>
      <c r="F1081" s="73" t="s">
        <v>474</v>
      </c>
      <c r="G1081" s="73" t="s">
        <v>474</v>
      </c>
      <c r="H1081" s="73"/>
      <c r="I1081" s="73" t="s">
        <v>534</v>
      </c>
      <c r="J1081" s="73" t="s">
        <v>524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</row>
    <row r="1082" spans="1:43" s="3" customFormat="1" x14ac:dyDescent="0.3">
      <c r="A1082" s="4"/>
      <c r="B1082" s="100">
        <v>45942</v>
      </c>
      <c r="C1082" s="98" t="s">
        <v>553</v>
      </c>
      <c r="D1082" s="4" t="s">
        <v>516</v>
      </c>
      <c r="E1082" s="4"/>
      <c r="F1082" s="73" t="s">
        <v>540</v>
      </c>
      <c r="G1082" s="73" t="s">
        <v>540</v>
      </c>
      <c r="H1082" s="73"/>
      <c r="I1082" s="73" t="s">
        <v>476</v>
      </c>
      <c r="J1082" s="73" t="s">
        <v>476</v>
      </c>
      <c r="K1082" s="15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</row>
    <row r="1083" spans="1:43" s="3" customFormat="1" x14ac:dyDescent="0.3">
      <c r="A1083" s="4"/>
      <c r="B1083" s="100">
        <v>45942</v>
      </c>
      <c r="C1083" s="98" t="s">
        <v>553</v>
      </c>
      <c r="D1083" s="4" t="s">
        <v>521</v>
      </c>
      <c r="E1083" s="4"/>
      <c r="F1083" s="73" t="s">
        <v>471</v>
      </c>
      <c r="G1083" s="73" t="s">
        <v>471</v>
      </c>
      <c r="H1083" s="73"/>
      <c r="I1083" s="73" t="s">
        <v>541</v>
      </c>
      <c r="J1083" s="73" t="s">
        <v>541</v>
      </c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</row>
    <row r="1084" spans="1:43" s="3" customFormat="1" x14ac:dyDescent="0.3">
      <c r="B1084" s="44">
        <v>45948</v>
      </c>
      <c r="C1084" s="3" t="s">
        <v>416</v>
      </c>
      <c r="D1084" s="3" t="s">
        <v>504</v>
      </c>
      <c r="E1084" s="42"/>
      <c r="F1084" s="3" t="s">
        <v>475</v>
      </c>
      <c r="G1084" s="3" t="s">
        <v>15</v>
      </c>
      <c r="H1084" s="4">
        <v>3029601</v>
      </c>
      <c r="I1084" s="4" t="s">
        <v>720</v>
      </c>
      <c r="J1084" s="4" t="s">
        <v>13</v>
      </c>
      <c r="K1084" s="4">
        <v>3125906</v>
      </c>
    </row>
    <row r="1085" spans="1:43" s="3" customFormat="1" x14ac:dyDescent="0.3">
      <c r="B1085" s="44">
        <v>45948</v>
      </c>
      <c r="C1085" s="3" t="s">
        <v>416</v>
      </c>
      <c r="D1085" s="3" t="s">
        <v>487</v>
      </c>
      <c r="E1085" s="4"/>
      <c r="F1085" s="3" t="s">
        <v>475</v>
      </c>
      <c r="G1085" s="3" t="s">
        <v>96</v>
      </c>
      <c r="H1085" s="4">
        <v>3067107</v>
      </c>
      <c r="I1085" s="4" t="s">
        <v>471</v>
      </c>
      <c r="J1085" s="4" t="s">
        <v>133</v>
      </c>
      <c r="K1085" s="4">
        <v>3348705</v>
      </c>
    </row>
    <row r="1086" spans="1:43" s="3" customFormat="1" x14ac:dyDescent="0.3">
      <c r="B1086" s="44">
        <v>45948</v>
      </c>
      <c r="C1086" s="3" t="s">
        <v>416</v>
      </c>
      <c r="D1086" s="3" t="s">
        <v>56</v>
      </c>
      <c r="E1086" s="42"/>
      <c r="F1086" s="3" t="s">
        <v>475</v>
      </c>
      <c r="G1086" s="3" t="s">
        <v>256</v>
      </c>
      <c r="H1086" s="4">
        <v>3068700</v>
      </c>
      <c r="I1086" s="4" t="s">
        <v>471</v>
      </c>
      <c r="J1086" s="4" t="s">
        <v>441</v>
      </c>
      <c r="K1086" s="4">
        <v>3023409</v>
      </c>
    </row>
    <row r="1087" spans="1:43" s="3" customFormat="1" x14ac:dyDescent="0.3">
      <c r="B1087" s="44">
        <v>45948</v>
      </c>
      <c r="C1087" s="3" t="s">
        <v>416</v>
      </c>
      <c r="D1087" s="3" t="s">
        <v>67</v>
      </c>
      <c r="E1087" s="42"/>
      <c r="F1087" s="4" t="s">
        <v>475</v>
      </c>
      <c r="G1087" s="4" t="s">
        <v>336</v>
      </c>
      <c r="H1087" s="4">
        <v>3211809</v>
      </c>
      <c r="I1087" s="4" t="s">
        <v>672</v>
      </c>
      <c r="J1087" s="4" t="s">
        <v>375</v>
      </c>
      <c r="K1087" s="4">
        <v>3069209</v>
      </c>
    </row>
    <row r="1088" spans="1:43" s="3" customFormat="1" x14ac:dyDescent="0.3">
      <c r="B1088" s="44">
        <v>45948</v>
      </c>
      <c r="C1088" s="3" t="s">
        <v>416</v>
      </c>
      <c r="D1088" s="3" t="s">
        <v>592</v>
      </c>
      <c r="E1088" s="42"/>
      <c r="F1088" s="3" t="s">
        <v>475</v>
      </c>
      <c r="G1088" s="3" t="s">
        <v>398</v>
      </c>
      <c r="H1088" s="74">
        <v>3211601</v>
      </c>
      <c r="I1088" s="3" t="s">
        <v>647</v>
      </c>
      <c r="J1088" s="3" t="s">
        <v>405</v>
      </c>
      <c r="K1088" s="74">
        <v>3901108</v>
      </c>
    </row>
    <row r="1089" spans="1:43" s="3" customFormat="1" x14ac:dyDescent="0.3">
      <c r="B1089" s="44">
        <v>45948</v>
      </c>
      <c r="C1089" s="3" t="s">
        <v>416</v>
      </c>
      <c r="D1089" s="3" t="s">
        <v>492</v>
      </c>
      <c r="E1089" s="42"/>
      <c r="F1089" s="4" t="s">
        <v>648</v>
      </c>
      <c r="G1089" s="4" t="s">
        <v>201</v>
      </c>
      <c r="H1089" s="4">
        <v>3362203</v>
      </c>
      <c r="I1089" s="4" t="s">
        <v>713</v>
      </c>
      <c r="J1089" s="4" t="s">
        <v>165</v>
      </c>
      <c r="K1089" s="4">
        <v>3349006</v>
      </c>
    </row>
    <row r="1090" spans="1:43" s="3" customFormat="1" x14ac:dyDescent="0.3">
      <c r="B1090" s="44">
        <v>45948</v>
      </c>
      <c r="C1090" s="3" t="s">
        <v>416</v>
      </c>
      <c r="D1090" s="3" t="s">
        <v>492</v>
      </c>
      <c r="E1090" s="42"/>
      <c r="F1090" s="3" t="s">
        <v>649</v>
      </c>
      <c r="G1090" s="3" t="s">
        <v>154</v>
      </c>
      <c r="H1090" s="4">
        <v>3362109</v>
      </c>
      <c r="I1090" s="3" t="s">
        <v>714</v>
      </c>
      <c r="J1090" s="3" t="s">
        <v>162</v>
      </c>
      <c r="K1090" s="4">
        <v>3348903</v>
      </c>
    </row>
    <row r="1091" spans="1:43" s="3" customFormat="1" x14ac:dyDescent="0.3">
      <c r="B1091" s="44">
        <v>45948</v>
      </c>
      <c r="C1091" s="3" t="s">
        <v>416</v>
      </c>
      <c r="D1091" s="3" t="s">
        <v>496</v>
      </c>
      <c r="E1091" s="42"/>
      <c r="F1091" s="3" t="s">
        <v>651</v>
      </c>
      <c r="G1091" s="3" t="s">
        <v>202</v>
      </c>
      <c r="H1091" s="74">
        <v>3361808</v>
      </c>
      <c r="I1091" s="3" t="s">
        <v>671</v>
      </c>
      <c r="J1091" s="3" t="s">
        <v>203</v>
      </c>
      <c r="K1091" s="4">
        <v>3359304</v>
      </c>
    </row>
    <row r="1092" spans="1:43" s="3" customFormat="1" x14ac:dyDescent="0.3">
      <c r="B1092" s="44">
        <v>45948</v>
      </c>
      <c r="C1092" s="3" t="s">
        <v>416</v>
      </c>
      <c r="D1092" s="3" t="s">
        <v>490</v>
      </c>
      <c r="E1092" s="4"/>
      <c r="F1092" s="3" t="s">
        <v>653</v>
      </c>
      <c r="G1092" s="3" t="s">
        <v>126</v>
      </c>
      <c r="H1092" s="4">
        <v>3361402</v>
      </c>
      <c r="I1092" s="4" t="s">
        <v>717</v>
      </c>
      <c r="J1092" s="4" t="s">
        <v>425</v>
      </c>
      <c r="K1092" s="4">
        <v>3347206</v>
      </c>
    </row>
    <row r="1093" spans="1:43" s="3" customFormat="1" x14ac:dyDescent="0.3">
      <c r="B1093" s="44">
        <v>45948</v>
      </c>
      <c r="C1093" s="3" t="s">
        <v>416</v>
      </c>
      <c r="D1093" s="3" t="s">
        <v>65</v>
      </c>
      <c r="E1093" s="42"/>
      <c r="F1093" s="3" t="s">
        <v>653</v>
      </c>
      <c r="G1093" s="3" t="s">
        <v>451</v>
      </c>
      <c r="H1093" s="4">
        <v>3211309</v>
      </c>
      <c r="I1093" s="4" t="s">
        <v>655</v>
      </c>
      <c r="J1093" s="4" t="s">
        <v>325</v>
      </c>
      <c r="K1093" s="4">
        <v>3201501</v>
      </c>
    </row>
    <row r="1094" spans="1:43" s="3" customFormat="1" x14ac:dyDescent="0.3">
      <c r="A1094" s="4"/>
      <c r="B1094" s="99">
        <v>45948</v>
      </c>
      <c r="C1094" s="98" t="s">
        <v>553</v>
      </c>
      <c r="D1094" s="4" t="s">
        <v>514</v>
      </c>
      <c r="E1094" s="4"/>
      <c r="F1094" s="73" t="s">
        <v>479</v>
      </c>
      <c r="G1094" s="73" t="s">
        <v>479</v>
      </c>
      <c r="H1094" s="73"/>
      <c r="I1094" s="73" t="s">
        <v>544</v>
      </c>
      <c r="J1094" s="73" t="s">
        <v>544</v>
      </c>
      <c r="K1094" s="4"/>
      <c r="L1094" s="32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</row>
    <row r="1095" spans="1:43" s="3" customFormat="1" x14ac:dyDescent="0.3">
      <c r="B1095" s="44">
        <v>45948</v>
      </c>
      <c r="C1095" s="3" t="s">
        <v>416</v>
      </c>
      <c r="D1095" s="3" t="s">
        <v>487</v>
      </c>
      <c r="E1095" s="4"/>
      <c r="F1095" s="3" t="s">
        <v>479</v>
      </c>
      <c r="G1095" s="3" t="s">
        <v>127</v>
      </c>
      <c r="H1095" s="4">
        <v>3360809</v>
      </c>
      <c r="I1095" s="3" t="s">
        <v>709</v>
      </c>
      <c r="J1095" s="3" t="s">
        <v>111</v>
      </c>
      <c r="K1095" s="4">
        <v>3354601</v>
      </c>
    </row>
    <row r="1096" spans="1:43" s="3" customFormat="1" x14ac:dyDescent="0.3">
      <c r="B1096" s="44">
        <v>45948</v>
      </c>
      <c r="C1096" s="3" t="s">
        <v>416</v>
      </c>
      <c r="D1096" s="3" t="s">
        <v>59</v>
      </c>
      <c r="E1096" s="42"/>
      <c r="F1096" s="4" t="s">
        <v>479</v>
      </c>
      <c r="G1096" s="4" t="s">
        <v>273</v>
      </c>
      <c r="H1096" s="4">
        <v>3211007</v>
      </c>
      <c r="I1096" s="4" t="s">
        <v>653</v>
      </c>
      <c r="J1096" s="4" t="s">
        <v>272</v>
      </c>
      <c r="K1096" s="4">
        <v>3211205</v>
      </c>
    </row>
    <row r="1097" spans="1:43" s="3" customFormat="1" x14ac:dyDescent="0.3">
      <c r="B1097" s="44">
        <v>45948</v>
      </c>
      <c r="C1097" s="3" t="s">
        <v>416</v>
      </c>
      <c r="D1097" s="3" t="s">
        <v>493</v>
      </c>
      <c r="E1097" s="42"/>
      <c r="F1097" s="3" t="s">
        <v>479</v>
      </c>
      <c r="G1097" s="3" t="s">
        <v>211</v>
      </c>
      <c r="H1097" s="4">
        <v>3361204</v>
      </c>
      <c r="I1097" s="4" t="s">
        <v>663</v>
      </c>
      <c r="J1097" s="4" t="s">
        <v>173</v>
      </c>
      <c r="K1097" s="4">
        <v>3349308</v>
      </c>
    </row>
    <row r="1098" spans="1:43" s="3" customFormat="1" x14ac:dyDescent="0.3">
      <c r="B1098" s="44">
        <v>45948</v>
      </c>
      <c r="C1098" s="3" t="s">
        <v>416</v>
      </c>
      <c r="D1098" s="3" t="s">
        <v>500</v>
      </c>
      <c r="E1098" s="42"/>
      <c r="F1098" s="3" t="s">
        <v>479</v>
      </c>
      <c r="G1098" s="3" t="s">
        <v>232</v>
      </c>
      <c r="H1098" s="4">
        <v>3360507</v>
      </c>
      <c r="I1098" s="4" t="s">
        <v>701</v>
      </c>
      <c r="J1098" s="4" t="s">
        <v>236</v>
      </c>
      <c r="K1098" s="4">
        <v>3355704</v>
      </c>
    </row>
    <row r="1099" spans="1:43" s="3" customFormat="1" x14ac:dyDescent="0.3">
      <c r="B1099" s="44">
        <v>45948</v>
      </c>
      <c r="C1099" s="3" t="s">
        <v>416</v>
      </c>
      <c r="D1099" s="3" t="s">
        <v>500</v>
      </c>
      <c r="E1099" s="42"/>
      <c r="F1099" s="3" t="s">
        <v>479</v>
      </c>
      <c r="G1099" s="3" t="s">
        <v>465</v>
      </c>
      <c r="H1099" s="4">
        <v>3962207</v>
      </c>
      <c r="I1099" s="4" t="s">
        <v>679</v>
      </c>
      <c r="J1099" s="4" t="s">
        <v>466</v>
      </c>
      <c r="K1099" s="4">
        <v>3346707</v>
      </c>
    </row>
    <row r="1100" spans="1:43" s="3" customFormat="1" x14ac:dyDescent="0.3">
      <c r="B1100" s="44">
        <v>45948</v>
      </c>
      <c r="C1100" s="3" t="s">
        <v>416</v>
      </c>
      <c r="D1100" s="3" t="s">
        <v>593</v>
      </c>
      <c r="E1100" s="42"/>
      <c r="F1100" s="3" t="s">
        <v>479</v>
      </c>
      <c r="G1100" s="3" t="s">
        <v>628</v>
      </c>
      <c r="H1100" s="4" t="s">
        <v>642</v>
      </c>
      <c r="I1100" s="4" t="s">
        <v>701</v>
      </c>
      <c r="J1100" s="4" t="s">
        <v>631</v>
      </c>
      <c r="K1100" s="4">
        <v>4023209</v>
      </c>
    </row>
    <row r="1101" spans="1:43" s="3" customFormat="1" x14ac:dyDescent="0.3">
      <c r="A1101" s="4"/>
      <c r="B1101" s="100">
        <v>45948</v>
      </c>
      <c r="C1101" s="98" t="s">
        <v>553</v>
      </c>
      <c r="D1101" s="4" t="s">
        <v>508</v>
      </c>
      <c r="E1101" s="4"/>
      <c r="F1101" s="73" t="s">
        <v>554</v>
      </c>
      <c r="G1101" s="73" t="s">
        <v>9</v>
      </c>
      <c r="H1101" s="73"/>
      <c r="I1101" s="73" t="s">
        <v>510</v>
      </c>
      <c r="J1101" s="73" t="s">
        <v>510</v>
      </c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</row>
    <row r="1102" spans="1:43" s="3" customFormat="1" x14ac:dyDescent="0.3">
      <c r="B1102" s="44">
        <v>45948</v>
      </c>
      <c r="C1102" s="3" t="s">
        <v>416</v>
      </c>
      <c r="D1102" s="3" t="s">
        <v>61</v>
      </c>
      <c r="E1102" s="42"/>
      <c r="F1102" s="4" t="s">
        <v>658</v>
      </c>
      <c r="G1102" s="4" t="s">
        <v>301</v>
      </c>
      <c r="H1102" s="4">
        <v>3210300</v>
      </c>
      <c r="I1102" s="4" t="s">
        <v>477</v>
      </c>
      <c r="J1102" s="4" t="s">
        <v>308</v>
      </c>
      <c r="K1102" s="4">
        <v>3199300</v>
      </c>
    </row>
    <row r="1103" spans="1:43" s="3" customFormat="1" x14ac:dyDescent="0.3">
      <c r="B1103" s="44">
        <v>45948</v>
      </c>
      <c r="C1103" s="3" t="s">
        <v>416</v>
      </c>
      <c r="D1103" s="3" t="s">
        <v>63</v>
      </c>
      <c r="E1103" s="42"/>
      <c r="F1103" s="3" t="s">
        <v>658</v>
      </c>
      <c r="G1103" s="3" t="s">
        <v>366</v>
      </c>
      <c r="H1103" s="74">
        <v>3210404</v>
      </c>
      <c r="I1103" s="3" t="s">
        <v>680</v>
      </c>
      <c r="J1103" s="3" t="s">
        <v>329</v>
      </c>
      <c r="K1103" s="74">
        <v>3208108</v>
      </c>
    </row>
    <row r="1104" spans="1:43" s="3" customFormat="1" x14ac:dyDescent="0.3">
      <c r="A1104" s="4"/>
      <c r="B1104" s="99">
        <v>45948</v>
      </c>
      <c r="C1104" s="98" t="s">
        <v>553</v>
      </c>
      <c r="D1104" s="4" t="s">
        <v>506</v>
      </c>
      <c r="E1104" s="4"/>
      <c r="F1104" s="73" t="s">
        <v>480</v>
      </c>
      <c r="G1104" s="73" t="s">
        <v>480</v>
      </c>
      <c r="H1104" s="73"/>
      <c r="I1104" s="73" t="s">
        <v>542</v>
      </c>
      <c r="J1104" s="73" t="s">
        <v>542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</row>
    <row r="1105" spans="2:11" s="3" customFormat="1" x14ac:dyDescent="0.3">
      <c r="B1105" s="44">
        <v>45948</v>
      </c>
      <c r="C1105" s="3" t="s">
        <v>416</v>
      </c>
      <c r="D1105" s="3" t="s">
        <v>504</v>
      </c>
      <c r="E1105" s="42"/>
      <c r="F1105" s="4" t="s">
        <v>480</v>
      </c>
      <c r="G1105" s="4" t="s">
        <v>505</v>
      </c>
      <c r="H1105" s="4">
        <v>3033207</v>
      </c>
      <c r="I1105" s="4" t="s">
        <v>476</v>
      </c>
      <c r="J1105" s="4" t="s">
        <v>100</v>
      </c>
      <c r="K1105" s="4">
        <v>3125302</v>
      </c>
    </row>
    <row r="1106" spans="2:11" s="3" customFormat="1" x14ac:dyDescent="0.3">
      <c r="B1106" s="44">
        <v>45948</v>
      </c>
      <c r="C1106" s="3" t="s">
        <v>416</v>
      </c>
      <c r="D1106" s="3" t="s">
        <v>490</v>
      </c>
      <c r="E1106" s="4"/>
      <c r="F1106" s="3" t="s">
        <v>480</v>
      </c>
      <c r="G1106" s="3" t="s">
        <v>420</v>
      </c>
      <c r="H1106" s="4">
        <v>3360101</v>
      </c>
      <c r="I1106" s="4" t="s">
        <v>691</v>
      </c>
      <c r="J1106" s="4" t="s">
        <v>142</v>
      </c>
      <c r="K1106" s="4">
        <v>3350501</v>
      </c>
    </row>
    <row r="1107" spans="2:11" s="3" customFormat="1" x14ac:dyDescent="0.3">
      <c r="B1107" s="44">
        <v>45948</v>
      </c>
      <c r="C1107" s="3" t="s">
        <v>416</v>
      </c>
      <c r="D1107" s="3" t="s">
        <v>59</v>
      </c>
      <c r="E1107" s="42"/>
      <c r="F1107" s="3" t="s">
        <v>661</v>
      </c>
      <c r="G1107" s="3" t="s">
        <v>641</v>
      </c>
      <c r="H1107" s="4">
        <v>3055707</v>
      </c>
      <c r="I1107" s="3" t="s">
        <v>687</v>
      </c>
      <c r="J1107" s="3" t="s">
        <v>283</v>
      </c>
      <c r="K1107" s="4">
        <v>3194107</v>
      </c>
    </row>
    <row r="1108" spans="2:11" s="3" customFormat="1" x14ac:dyDescent="0.3">
      <c r="B1108" s="44">
        <v>45948</v>
      </c>
      <c r="C1108" s="3" t="s">
        <v>416</v>
      </c>
      <c r="D1108" s="3" t="s">
        <v>593</v>
      </c>
      <c r="E1108" s="42"/>
      <c r="F1108" s="3" t="s">
        <v>661</v>
      </c>
      <c r="G1108" s="3" t="s">
        <v>640</v>
      </c>
      <c r="H1108" s="4">
        <v>3210102</v>
      </c>
      <c r="I1108" s="4" t="s">
        <v>676</v>
      </c>
      <c r="J1108" s="4" t="s">
        <v>639</v>
      </c>
      <c r="K1108" s="4">
        <v>3776805</v>
      </c>
    </row>
    <row r="1109" spans="2:11" s="3" customFormat="1" x14ac:dyDescent="0.3">
      <c r="B1109" s="44">
        <v>45948</v>
      </c>
      <c r="C1109" s="3" t="s">
        <v>416</v>
      </c>
      <c r="D1109" s="3" t="s">
        <v>68</v>
      </c>
      <c r="E1109" s="42"/>
      <c r="F1109" s="15" t="s">
        <v>664</v>
      </c>
      <c r="G1109" s="15" t="s">
        <v>388</v>
      </c>
      <c r="H1109" s="74">
        <v>3165306</v>
      </c>
      <c r="I1109" s="4" t="s">
        <v>651</v>
      </c>
      <c r="J1109" s="4" t="s">
        <v>387</v>
      </c>
      <c r="K1109" s="4">
        <v>3211403</v>
      </c>
    </row>
    <row r="1110" spans="2:11" s="3" customFormat="1" x14ac:dyDescent="0.3">
      <c r="B1110" s="44">
        <v>45948</v>
      </c>
      <c r="C1110" s="3" t="s">
        <v>416</v>
      </c>
      <c r="D1110" s="3" t="s">
        <v>490</v>
      </c>
      <c r="E1110" s="4"/>
      <c r="F1110" s="3" t="s">
        <v>660</v>
      </c>
      <c r="G1110" s="3" t="s">
        <v>137</v>
      </c>
      <c r="H1110" s="4">
        <v>3359908</v>
      </c>
      <c r="I1110" s="4" t="s">
        <v>479</v>
      </c>
      <c r="J1110" s="4" t="s">
        <v>136</v>
      </c>
      <c r="K1110" s="4">
        <v>3360903</v>
      </c>
    </row>
    <row r="1111" spans="2:11" s="3" customFormat="1" x14ac:dyDescent="0.3">
      <c r="B1111" s="44">
        <v>45948</v>
      </c>
      <c r="C1111" s="3" t="s">
        <v>416</v>
      </c>
      <c r="D1111" s="3" t="s">
        <v>62</v>
      </c>
      <c r="E1111" s="42"/>
      <c r="F1111" s="3" t="s">
        <v>660</v>
      </c>
      <c r="G1111" s="3" t="s">
        <v>443</v>
      </c>
      <c r="H1111" s="4">
        <v>3210008</v>
      </c>
      <c r="I1111" s="3" t="s">
        <v>700</v>
      </c>
      <c r="J1111" s="3" t="s">
        <v>442</v>
      </c>
      <c r="K1111" s="4">
        <v>3205007</v>
      </c>
    </row>
    <row r="1112" spans="2:11" s="3" customFormat="1" x14ac:dyDescent="0.3">
      <c r="B1112" s="44">
        <v>45948</v>
      </c>
      <c r="C1112" s="3" t="s">
        <v>416</v>
      </c>
      <c r="D1112" s="3" t="s">
        <v>497</v>
      </c>
      <c r="E1112" s="42"/>
      <c r="F1112" s="17" t="s">
        <v>660</v>
      </c>
      <c r="G1112" s="17" t="s">
        <v>212</v>
      </c>
      <c r="H1112" s="74">
        <v>3360007</v>
      </c>
      <c r="I1112" s="17" t="s">
        <v>653</v>
      </c>
      <c r="J1112" s="17" t="s">
        <v>208</v>
      </c>
      <c r="K1112" s="74">
        <v>3361308</v>
      </c>
    </row>
    <row r="1113" spans="2:11" s="3" customFormat="1" x14ac:dyDescent="0.3">
      <c r="B1113" s="44">
        <v>45948</v>
      </c>
      <c r="C1113" s="3" t="s">
        <v>416</v>
      </c>
      <c r="D1113" s="3" t="s">
        <v>487</v>
      </c>
      <c r="E1113" s="4"/>
      <c r="F1113" s="4" t="s">
        <v>657</v>
      </c>
      <c r="G1113" s="4" t="s">
        <v>107</v>
      </c>
      <c r="H1113" s="4">
        <v>3068408</v>
      </c>
      <c r="I1113" s="4" t="s">
        <v>721</v>
      </c>
      <c r="J1113" s="4" t="s">
        <v>124</v>
      </c>
      <c r="K1113" s="4">
        <v>3267501</v>
      </c>
    </row>
    <row r="1114" spans="2:11" s="3" customFormat="1" x14ac:dyDescent="0.3">
      <c r="B1114" s="44">
        <v>45948</v>
      </c>
      <c r="C1114" s="3" t="s">
        <v>416</v>
      </c>
      <c r="D1114" s="3" t="s">
        <v>493</v>
      </c>
      <c r="E1114" s="42"/>
      <c r="F1114" s="3" t="s">
        <v>657</v>
      </c>
      <c r="G1114" s="3" t="s">
        <v>167</v>
      </c>
      <c r="H1114" s="4">
        <v>3359804</v>
      </c>
      <c r="I1114" s="4" t="s">
        <v>480</v>
      </c>
      <c r="J1114" s="4" t="s">
        <v>423</v>
      </c>
      <c r="K1114" s="4">
        <v>3360403</v>
      </c>
    </row>
    <row r="1115" spans="2:11" s="3" customFormat="1" x14ac:dyDescent="0.3">
      <c r="B1115" s="44">
        <v>45948</v>
      </c>
      <c r="C1115" s="3" t="s">
        <v>416</v>
      </c>
      <c r="D1115" s="3" t="s">
        <v>500</v>
      </c>
      <c r="E1115" s="42"/>
      <c r="F1115" s="3" t="s">
        <v>657</v>
      </c>
      <c r="G1115" s="3" t="s">
        <v>574</v>
      </c>
      <c r="H1115" s="4">
        <v>3359606</v>
      </c>
      <c r="I1115" s="4" t="s">
        <v>672</v>
      </c>
      <c r="J1115" s="4" t="s">
        <v>187</v>
      </c>
      <c r="K1115" s="4">
        <v>3354101</v>
      </c>
    </row>
    <row r="1116" spans="2:11" s="3" customFormat="1" x14ac:dyDescent="0.3">
      <c r="B1116" s="44">
        <v>45948</v>
      </c>
      <c r="C1116" s="3" t="s">
        <v>416</v>
      </c>
      <c r="D1116" s="3" t="s">
        <v>68</v>
      </c>
      <c r="E1116" s="42"/>
      <c r="F1116" s="3" t="s">
        <v>570</v>
      </c>
      <c r="G1116" s="3" t="s">
        <v>570</v>
      </c>
      <c r="H1116" s="4" t="s">
        <v>556</v>
      </c>
      <c r="I1116" s="4" t="s">
        <v>650</v>
      </c>
      <c r="J1116" s="4" t="s">
        <v>390</v>
      </c>
      <c r="K1116" s="4">
        <v>3544509</v>
      </c>
    </row>
    <row r="1117" spans="2:11" s="3" customFormat="1" x14ac:dyDescent="0.3">
      <c r="B1117" s="44">
        <v>45948</v>
      </c>
      <c r="C1117" s="3" t="s">
        <v>416</v>
      </c>
      <c r="D1117" s="3" t="s">
        <v>593</v>
      </c>
      <c r="E1117" s="42"/>
      <c r="F1117" s="15" t="s">
        <v>570</v>
      </c>
      <c r="G1117" s="15" t="s">
        <v>570</v>
      </c>
      <c r="H1117" s="74" t="s">
        <v>556</v>
      </c>
      <c r="I1117" s="4" t="s">
        <v>693</v>
      </c>
      <c r="J1117" s="4" t="s">
        <v>629</v>
      </c>
      <c r="K1117" s="4">
        <v>3961708</v>
      </c>
    </row>
    <row r="1118" spans="2:11" s="3" customFormat="1" x14ac:dyDescent="0.3">
      <c r="B1118" s="44">
        <v>45948</v>
      </c>
      <c r="C1118" s="3" t="s">
        <v>416</v>
      </c>
      <c r="D1118" s="3" t="s">
        <v>592</v>
      </c>
      <c r="E1118" s="42"/>
      <c r="F1118" s="3" t="s">
        <v>570</v>
      </c>
      <c r="G1118" s="3" t="s">
        <v>570</v>
      </c>
      <c r="H1118" s="4" t="s">
        <v>556</v>
      </c>
      <c r="I1118" s="3" t="s">
        <v>670</v>
      </c>
      <c r="J1118" s="3" t="s">
        <v>636</v>
      </c>
      <c r="K1118" s="74">
        <v>3195502</v>
      </c>
    </row>
    <row r="1119" spans="2:11" s="3" customFormat="1" x14ac:dyDescent="0.3">
      <c r="B1119" s="44">
        <v>45948</v>
      </c>
      <c r="C1119" s="3" t="s">
        <v>416</v>
      </c>
      <c r="D1119" s="3" t="s">
        <v>57</v>
      </c>
      <c r="E1119" s="42"/>
      <c r="F1119" s="3" t="s">
        <v>667</v>
      </c>
      <c r="G1119" s="3" t="s">
        <v>257</v>
      </c>
      <c r="H1119" s="4">
        <v>3209805</v>
      </c>
      <c r="I1119" s="4" t="s">
        <v>666</v>
      </c>
      <c r="J1119" s="4" t="s">
        <v>259</v>
      </c>
      <c r="K1119" s="4">
        <v>3205809</v>
      </c>
    </row>
    <row r="1120" spans="2:11" s="3" customFormat="1" x14ac:dyDescent="0.3">
      <c r="B1120" s="44">
        <v>45948</v>
      </c>
      <c r="C1120" s="3" t="s">
        <v>416</v>
      </c>
      <c r="D1120" s="3" t="s">
        <v>64</v>
      </c>
      <c r="E1120" s="42">
        <v>4370907</v>
      </c>
      <c r="F1120" s="3" t="s">
        <v>669</v>
      </c>
      <c r="G1120" s="3" t="s">
        <v>337</v>
      </c>
      <c r="H1120" s="4">
        <v>3209305</v>
      </c>
      <c r="I1120" s="4" t="s">
        <v>475</v>
      </c>
      <c r="J1120" s="4" t="s">
        <v>310</v>
      </c>
      <c r="K1120" s="4">
        <v>3212402</v>
      </c>
    </row>
    <row r="1121" spans="2:11" s="3" customFormat="1" x14ac:dyDescent="0.3">
      <c r="B1121" s="44">
        <v>45948</v>
      </c>
      <c r="C1121" s="3" t="s">
        <v>416</v>
      </c>
      <c r="D1121" s="3" t="s">
        <v>504</v>
      </c>
      <c r="E1121" s="42"/>
      <c r="F1121" s="4" t="s">
        <v>671</v>
      </c>
      <c r="G1121" s="4" t="s">
        <v>8</v>
      </c>
      <c r="H1121" s="4">
        <v>3034008</v>
      </c>
      <c r="I1121" s="3" t="s">
        <v>479</v>
      </c>
      <c r="J1121" s="3" t="s">
        <v>9</v>
      </c>
      <c r="K1121" s="4">
        <v>3033405</v>
      </c>
    </row>
    <row r="1122" spans="2:11" s="3" customFormat="1" x14ac:dyDescent="0.3">
      <c r="B1122" s="44">
        <v>45948</v>
      </c>
      <c r="C1122" s="3" t="s">
        <v>416</v>
      </c>
      <c r="D1122" s="3" t="s">
        <v>489</v>
      </c>
      <c r="E1122" s="4"/>
      <c r="F1122" s="3" t="s">
        <v>671</v>
      </c>
      <c r="G1122" s="3" t="s">
        <v>156</v>
      </c>
      <c r="H1122" s="4">
        <v>3359200</v>
      </c>
      <c r="I1122" s="3" t="s">
        <v>678</v>
      </c>
      <c r="J1122" s="3" t="s">
        <v>131</v>
      </c>
      <c r="K1122" s="4">
        <v>3350605</v>
      </c>
    </row>
    <row r="1123" spans="2:11" s="3" customFormat="1" x14ac:dyDescent="0.3">
      <c r="B1123" s="44">
        <v>45948</v>
      </c>
      <c r="C1123" s="3" t="s">
        <v>416</v>
      </c>
      <c r="D1123" s="3" t="s">
        <v>64</v>
      </c>
      <c r="E1123" s="42">
        <v>4370907</v>
      </c>
      <c r="F1123" s="3" t="s">
        <v>671</v>
      </c>
      <c r="G1123" s="3" t="s">
        <v>312</v>
      </c>
      <c r="H1123" s="4">
        <v>3209107</v>
      </c>
      <c r="I1123" s="4" t="s">
        <v>717</v>
      </c>
      <c r="J1123" s="4" t="s">
        <v>432</v>
      </c>
      <c r="K1123" s="4">
        <v>3195106</v>
      </c>
    </row>
    <row r="1124" spans="2:11" s="3" customFormat="1" x14ac:dyDescent="0.3">
      <c r="B1124" s="44">
        <v>45948</v>
      </c>
      <c r="C1124" s="3" t="s">
        <v>416</v>
      </c>
      <c r="D1124" s="3" t="s">
        <v>68</v>
      </c>
      <c r="E1124" s="42"/>
      <c r="F1124" s="3" t="s">
        <v>671</v>
      </c>
      <c r="G1124" s="3" t="s">
        <v>389</v>
      </c>
      <c r="H1124" s="4">
        <v>3209201</v>
      </c>
      <c r="I1124" s="4" t="s">
        <v>686</v>
      </c>
      <c r="J1124" s="4" t="s">
        <v>626</v>
      </c>
      <c r="K1124" s="4" t="s">
        <v>637</v>
      </c>
    </row>
    <row r="1125" spans="2:11" s="3" customFormat="1" x14ac:dyDescent="0.3">
      <c r="B1125" s="44">
        <v>45948</v>
      </c>
      <c r="C1125" s="3" t="s">
        <v>416</v>
      </c>
      <c r="D1125" s="3" t="s">
        <v>58</v>
      </c>
      <c r="E1125" s="42"/>
      <c r="F1125" s="3" t="s">
        <v>659</v>
      </c>
      <c r="G1125" s="3" t="s">
        <v>265</v>
      </c>
      <c r="H1125" s="4">
        <v>3208702</v>
      </c>
      <c r="I1125" s="3" t="s">
        <v>697</v>
      </c>
      <c r="J1125" s="3" t="s">
        <v>262</v>
      </c>
      <c r="K1125" s="32">
        <v>3055405</v>
      </c>
    </row>
    <row r="1126" spans="2:11" s="3" customFormat="1" x14ac:dyDescent="0.3">
      <c r="B1126" s="44">
        <v>45948</v>
      </c>
      <c r="C1126" s="3" t="s">
        <v>416</v>
      </c>
      <c r="D1126" s="3" t="s">
        <v>61</v>
      </c>
      <c r="E1126" s="42"/>
      <c r="F1126" s="106" t="s">
        <v>659</v>
      </c>
      <c r="G1126" s="106" t="s">
        <v>367</v>
      </c>
      <c r="H1126" s="106">
        <v>3208806</v>
      </c>
      <c r="I1126" s="3" t="s">
        <v>684</v>
      </c>
      <c r="J1126" s="3" t="s">
        <v>306</v>
      </c>
      <c r="K1126" s="4">
        <v>3202604</v>
      </c>
    </row>
    <row r="1127" spans="2:11" s="3" customFormat="1" x14ac:dyDescent="0.3">
      <c r="B1127" s="44">
        <v>45948</v>
      </c>
      <c r="C1127" s="3" t="s">
        <v>416</v>
      </c>
      <c r="D1127" s="3" t="s">
        <v>486</v>
      </c>
      <c r="E1127" s="42"/>
      <c r="F1127" s="3" t="s">
        <v>676</v>
      </c>
      <c r="G1127" s="3" t="s">
        <v>109</v>
      </c>
      <c r="H1127" s="4">
        <v>3067701</v>
      </c>
      <c r="I1127" s="4" t="s">
        <v>651</v>
      </c>
      <c r="J1127" s="4" t="s">
        <v>97</v>
      </c>
      <c r="K1127" s="4">
        <v>3362005</v>
      </c>
    </row>
    <row r="1128" spans="2:11" s="3" customFormat="1" x14ac:dyDescent="0.3">
      <c r="B1128" s="44">
        <v>45948</v>
      </c>
      <c r="C1128" s="3" t="s">
        <v>416</v>
      </c>
      <c r="D1128" s="3" t="s">
        <v>590</v>
      </c>
      <c r="E1128" s="42"/>
      <c r="F1128" s="3" t="s">
        <v>676</v>
      </c>
      <c r="G1128" s="3" t="s">
        <v>285</v>
      </c>
      <c r="H1128" s="4">
        <v>3208504</v>
      </c>
      <c r="I1128" s="3" t="s">
        <v>691</v>
      </c>
      <c r="J1128" s="3" t="s">
        <v>289</v>
      </c>
      <c r="K1128" s="4">
        <v>3068804</v>
      </c>
    </row>
    <row r="1129" spans="2:11" s="3" customFormat="1" x14ac:dyDescent="0.3">
      <c r="B1129" s="44">
        <v>45948</v>
      </c>
      <c r="C1129" s="3" t="s">
        <v>416</v>
      </c>
      <c r="D1129" s="3" t="s">
        <v>490</v>
      </c>
      <c r="E1129" s="4"/>
      <c r="F1129" s="3" t="s">
        <v>676</v>
      </c>
      <c r="G1129" s="3" t="s">
        <v>138</v>
      </c>
      <c r="H1129" s="4">
        <v>3067805</v>
      </c>
      <c r="I1129" s="4" t="s">
        <v>479</v>
      </c>
      <c r="J1129" s="4" t="s">
        <v>166</v>
      </c>
      <c r="K1129" s="4">
        <v>3361006</v>
      </c>
    </row>
    <row r="1130" spans="2:11" s="3" customFormat="1" x14ac:dyDescent="0.3">
      <c r="B1130" s="44">
        <v>45948</v>
      </c>
      <c r="C1130" s="3" t="s">
        <v>416</v>
      </c>
      <c r="D1130" s="3" t="s">
        <v>62</v>
      </c>
      <c r="E1130" s="42"/>
      <c r="F1130" s="4" t="s">
        <v>676</v>
      </c>
      <c r="G1130" s="4" t="s">
        <v>286</v>
      </c>
      <c r="H1130" s="4">
        <v>3019605</v>
      </c>
      <c r="I1130" s="3" t="s">
        <v>471</v>
      </c>
      <c r="J1130" s="3" t="s">
        <v>328</v>
      </c>
      <c r="K1130" s="4">
        <v>3196803</v>
      </c>
    </row>
    <row r="1131" spans="2:11" s="3" customFormat="1" x14ac:dyDescent="0.3">
      <c r="B1131" s="44">
        <v>45948</v>
      </c>
      <c r="C1131" s="3" t="s">
        <v>416</v>
      </c>
      <c r="D1131" s="3" t="s">
        <v>493</v>
      </c>
      <c r="E1131" s="42"/>
      <c r="F1131" s="3" t="s">
        <v>676</v>
      </c>
      <c r="G1131" s="3" t="s">
        <v>214</v>
      </c>
      <c r="H1131" s="4">
        <v>3358805</v>
      </c>
      <c r="I1131" s="4" t="s">
        <v>479</v>
      </c>
      <c r="J1131" s="4" t="s">
        <v>210</v>
      </c>
      <c r="K1131" s="4">
        <v>3361100</v>
      </c>
    </row>
    <row r="1132" spans="2:11" s="3" customFormat="1" x14ac:dyDescent="0.3">
      <c r="B1132" s="44">
        <v>45948</v>
      </c>
      <c r="C1132" s="3" t="s">
        <v>416</v>
      </c>
      <c r="D1132" s="3" t="s">
        <v>486</v>
      </c>
      <c r="E1132" s="42"/>
      <c r="F1132" s="4" t="s">
        <v>680</v>
      </c>
      <c r="G1132" s="4" t="s">
        <v>98</v>
      </c>
      <c r="H1132" s="4">
        <v>3358909</v>
      </c>
      <c r="I1132" s="3" t="s">
        <v>480</v>
      </c>
      <c r="J1132" s="3" t="s">
        <v>406</v>
      </c>
      <c r="K1132" s="4">
        <v>3124501</v>
      </c>
    </row>
    <row r="1133" spans="2:11" s="3" customFormat="1" x14ac:dyDescent="0.3">
      <c r="B1133" s="44">
        <v>45948</v>
      </c>
      <c r="C1133" s="3" t="s">
        <v>416</v>
      </c>
      <c r="D1133" s="3" t="s">
        <v>57</v>
      </c>
      <c r="E1133" s="42"/>
      <c r="F1133" s="4" t="s">
        <v>680</v>
      </c>
      <c r="G1133" s="4" t="s">
        <v>266</v>
      </c>
      <c r="H1133" s="4">
        <v>3208306</v>
      </c>
      <c r="I1133" s="3" t="s">
        <v>645</v>
      </c>
      <c r="J1133" s="3" t="s">
        <v>263</v>
      </c>
      <c r="K1133" s="4">
        <v>3198707</v>
      </c>
    </row>
    <row r="1134" spans="2:11" s="3" customFormat="1" x14ac:dyDescent="0.3">
      <c r="B1134" s="44">
        <v>45948</v>
      </c>
      <c r="C1134" s="3" t="s">
        <v>416</v>
      </c>
      <c r="D1134" s="3" t="s">
        <v>488</v>
      </c>
      <c r="E1134" s="42"/>
      <c r="F1134" s="3" t="s">
        <v>680</v>
      </c>
      <c r="G1134" s="3" t="s">
        <v>117</v>
      </c>
      <c r="H1134" s="4">
        <v>3359002</v>
      </c>
      <c r="I1134" s="4" t="s">
        <v>698</v>
      </c>
      <c r="J1134" s="4" t="s">
        <v>561</v>
      </c>
      <c r="K1134" s="4" t="s">
        <v>563</v>
      </c>
    </row>
    <row r="1135" spans="2:11" s="3" customFormat="1" x14ac:dyDescent="0.3">
      <c r="B1135" s="44">
        <v>45948</v>
      </c>
      <c r="C1135" s="3" t="s">
        <v>416</v>
      </c>
      <c r="D1135" s="3" t="s">
        <v>66</v>
      </c>
      <c r="E1135" s="42"/>
      <c r="F1135" s="104" t="s">
        <v>680</v>
      </c>
      <c r="G1135" s="104" t="s">
        <v>603</v>
      </c>
      <c r="H1135" s="74">
        <v>3945400</v>
      </c>
      <c r="I1135" s="3" t="s">
        <v>684</v>
      </c>
      <c r="J1135" s="3" t="s">
        <v>608</v>
      </c>
      <c r="K1135" s="74">
        <v>3819107</v>
      </c>
    </row>
    <row r="1136" spans="2:11" s="3" customFormat="1" x14ac:dyDescent="0.3">
      <c r="B1136" s="44">
        <v>45948</v>
      </c>
      <c r="C1136" s="3" t="s">
        <v>416</v>
      </c>
      <c r="D1136" s="3" t="s">
        <v>492</v>
      </c>
      <c r="E1136" s="42"/>
      <c r="F1136" s="4" t="s">
        <v>652</v>
      </c>
      <c r="G1136" s="4" t="s">
        <v>157</v>
      </c>
      <c r="H1136" s="4">
        <v>3358503</v>
      </c>
      <c r="I1136" s="4" t="s">
        <v>670</v>
      </c>
      <c r="J1136" s="4" t="s">
        <v>145</v>
      </c>
      <c r="K1136" s="4">
        <v>3347404</v>
      </c>
    </row>
    <row r="1137" spans="2:11" s="3" customFormat="1" x14ac:dyDescent="0.3">
      <c r="B1137" s="44">
        <v>45948</v>
      </c>
      <c r="C1137" s="3" t="s">
        <v>416</v>
      </c>
      <c r="D1137" s="3" t="s">
        <v>496</v>
      </c>
      <c r="E1137" s="42"/>
      <c r="F1137" s="3" t="s">
        <v>652</v>
      </c>
      <c r="G1137" s="3" t="s">
        <v>229</v>
      </c>
      <c r="H1137" s="4">
        <v>3358409</v>
      </c>
      <c r="I1137" s="3" t="s">
        <v>650</v>
      </c>
      <c r="J1137" s="3" t="s">
        <v>205</v>
      </c>
      <c r="K1137" s="74">
        <v>3351906</v>
      </c>
    </row>
    <row r="1138" spans="2:11" s="3" customFormat="1" x14ac:dyDescent="0.3">
      <c r="B1138" s="44">
        <v>45948</v>
      </c>
      <c r="C1138" s="3" t="s">
        <v>416</v>
      </c>
      <c r="D1138" s="3" t="s">
        <v>59</v>
      </c>
      <c r="E1138" s="42"/>
      <c r="F1138" s="3" t="s">
        <v>662</v>
      </c>
      <c r="G1138" s="3" t="s">
        <v>314</v>
      </c>
      <c r="H1138" s="4">
        <v>3208004</v>
      </c>
      <c r="I1138" s="4" t="s">
        <v>476</v>
      </c>
      <c r="J1138" s="4" t="s">
        <v>274</v>
      </c>
      <c r="K1138" s="4">
        <v>3206902</v>
      </c>
    </row>
    <row r="1139" spans="2:11" s="3" customFormat="1" x14ac:dyDescent="0.3">
      <c r="B1139" s="44">
        <v>45948</v>
      </c>
      <c r="C1139" s="3" t="s">
        <v>416</v>
      </c>
      <c r="D1139" s="3" t="s">
        <v>489</v>
      </c>
      <c r="E1139" s="4"/>
      <c r="F1139" s="3" t="s">
        <v>662</v>
      </c>
      <c r="G1139" s="3" t="s">
        <v>139</v>
      </c>
      <c r="H1139" s="4">
        <v>3358305</v>
      </c>
      <c r="I1139" s="3" t="s">
        <v>688</v>
      </c>
      <c r="J1139" s="3" t="s">
        <v>10</v>
      </c>
      <c r="K1139" s="4">
        <v>3036204</v>
      </c>
    </row>
    <row r="1140" spans="2:11" s="3" customFormat="1" x14ac:dyDescent="0.3">
      <c r="B1140" s="44">
        <v>45948</v>
      </c>
      <c r="C1140" s="3" t="s">
        <v>416</v>
      </c>
      <c r="D1140" s="3" t="s">
        <v>494</v>
      </c>
      <c r="E1140" s="42"/>
      <c r="F1140" s="3" t="s">
        <v>662</v>
      </c>
      <c r="G1140" s="3" t="s">
        <v>218</v>
      </c>
      <c r="H1140" s="4">
        <v>3358201</v>
      </c>
      <c r="I1140" s="3" t="s">
        <v>689</v>
      </c>
      <c r="J1140" s="3" t="s">
        <v>189</v>
      </c>
      <c r="K1140" s="4">
        <v>3350209</v>
      </c>
    </row>
    <row r="1141" spans="2:11" s="3" customFormat="1" x14ac:dyDescent="0.3">
      <c r="B1141" s="44">
        <v>45948</v>
      </c>
      <c r="C1141" s="3" t="s">
        <v>416</v>
      </c>
      <c r="D1141" s="3" t="s">
        <v>67</v>
      </c>
      <c r="E1141" s="42"/>
      <c r="F1141" s="4" t="s">
        <v>662</v>
      </c>
      <c r="G1141" s="4" t="s">
        <v>373</v>
      </c>
      <c r="H1141" s="4">
        <v>3207807</v>
      </c>
      <c r="I1141" s="4" t="s">
        <v>472</v>
      </c>
      <c r="J1141" s="4" t="s">
        <v>338</v>
      </c>
      <c r="K1141" s="4">
        <v>3207307</v>
      </c>
    </row>
    <row r="1142" spans="2:11" s="3" customFormat="1" x14ac:dyDescent="0.3">
      <c r="B1142" s="44">
        <v>45948</v>
      </c>
      <c r="C1142" s="3" t="s">
        <v>416</v>
      </c>
      <c r="D1142" s="3" t="s">
        <v>592</v>
      </c>
      <c r="E1142" s="42"/>
      <c r="F1142" s="3" t="s">
        <v>662</v>
      </c>
      <c r="G1142" s="3" t="s">
        <v>634</v>
      </c>
      <c r="H1142" s="74">
        <v>4023105</v>
      </c>
      <c r="I1142" s="3" t="s">
        <v>682</v>
      </c>
      <c r="J1142" s="3" t="s">
        <v>635</v>
      </c>
      <c r="K1142" s="74">
        <v>3969700</v>
      </c>
    </row>
    <row r="1143" spans="2:11" s="3" customFormat="1" x14ac:dyDescent="0.3">
      <c r="B1143" s="44">
        <v>45948</v>
      </c>
      <c r="C1143" s="3" t="s">
        <v>416</v>
      </c>
      <c r="D1143" s="3" t="s">
        <v>60</v>
      </c>
      <c r="E1143" s="42"/>
      <c r="F1143" s="3" t="s">
        <v>707</v>
      </c>
      <c r="G1143" s="3" t="s">
        <v>295</v>
      </c>
      <c r="H1143" s="4">
        <v>3207505</v>
      </c>
      <c r="I1143" s="32" t="s">
        <v>705</v>
      </c>
      <c r="J1143" s="32" t="s">
        <v>293</v>
      </c>
      <c r="K1143" s="15">
        <v>3211705</v>
      </c>
    </row>
    <row r="1144" spans="2:11" s="3" customFormat="1" x14ac:dyDescent="0.3">
      <c r="B1144" s="44">
        <v>45948</v>
      </c>
      <c r="C1144" s="3" t="s">
        <v>416</v>
      </c>
      <c r="D1144" s="3" t="s">
        <v>56</v>
      </c>
      <c r="E1144" s="42"/>
      <c r="F1144" s="4" t="s">
        <v>472</v>
      </c>
      <c r="G1144" s="4" t="s">
        <v>248</v>
      </c>
      <c r="H1144" s="4">
        <v>3207609</v>
      </c>
      <c r="I1144" s="3" t="s">
        <v>471</v>
      </c>
      <c r="J1144" s="3" t="s">
        <v>254</v>
      </c>
      <c r="K1144" s="4">
        <v>3068908</v>
      </c>
    </row>
    <row r="1145" spans="2:11" s="3" customFormat="1" x14ac:dyDescent="0.3">
      <c r="B1145" s="44">
        <v>45948</v>
      </c>
      <c r="C1145" s="3" t="s">
        <v>416</v>
      </c>
      <c r="D1145" s="3" t="s">
        <v>504</v>
      </c>
      <c r="E1145" s="42"/>
      <c r="F1145" s="3" t="s">
        <v>472</v>
      </c>
      <c r="G1145" s="3" t="s">
        <v>11</v>
      </c>
      <c r="H1145" s="4">
        <v>3034800</v>
      </c>
      <c r="I1145" s="3" t="s">
        <v>662</v>
      </c>
      <c r="J1145" s="3" t="s">
        <v>99</v>
      </c>
      <c r="K1145" s="4">
        <v>3125604</v>
      </c>
    </row>
    <row r="1146" spans="2:11" s="3" customFormat="1" x14ac:dyDescent="0.3">
      <c r="B1146" s="44">
        <v>45948</v>
      </c>
      <c r="C1146" s="3" t="s">
        <v>416</v>
      </c>
      <c r="D1146" s="3" t="s">
        <v>490</v>
      </c>
      <c r="E1146" s="4"/>
      <c r="F1146" s="3" t="s">
        <v>472</v>
      </c>
      <c r="G1146" s="3" t="s">
        <v>140</v>
      </c>
      <c r="H1146" s="4">
        <v>3357900</v>
      </c>
      <c r="I1146" s="4" t="s">
        <v>476</v>
      </c>
      <c r="J1146" s="4" t="s">
        <v>168</v>
      </c>
      <c r="K1146" s="4">
        <v>3356505</v>
      </c>
    </row>
    <row r="1147" spans="2:11" s="3" customFormat="1" x14ac:dyDescent="0.3">
      <c r="B1147" s="44">
        <v>45948</v>
      </c>
      <c r="C1147" s="3" t="s">
        <v>416</v>
      </c>
      <c r="D1147" s="3" t="s">
        <v>494</v>
      </c>
      <c r="E1147" s="42"/>
      <c r="F1147" s="4" t="s">
        <v>472</v>
      </c>
      <c r="G1147" s="4" t="s">
        <v>186</v>
      </c>
      <c r="H1147" s="4">
        <v>3357702</v>
      </c>
      <c r="I1147" s="3" t="s">
        <v>475</v>
      </c>
      <c r="J1147" s="3" t="s">
        <v>183</v>
      </c>
      <c r="K1147" s="4">
        <v>3362901</v>
      </c>
    </row>
    <row r="1148" spans="2:11" s="3" customFormat="1" x14ac:dyDescent="0.3">
      <c r="B1148" s="44">
        <v>45948</v>
      </c>
      <c r="C1148" s="3" t="s">
        <v>416</v>
      </c>
      <c r="D1148" s="3" t="s">
        <v>496</v>
      </c>
      <c r="E1148" s="42"/>
      <c r="F1148" s="4" t="s">
        <v>665</v>
      </c>
      <c r="G1148" s="4" t="s">
        <v>204</v>
      </c>
      <c r="H1148" s="4">
        <v>3357400</v>
      </c>
      <c r="I1148" s="4" t="s">
        <v>474</v>
      </c>
      <c r="J1148" s="4" t="s">
        <v>426</v>
      </c>
      <c r="K1148" s="4">
        <v>3352603</v>
      </c>
    </row>
    <row r="1149" spans="2:11" s="3" customFormat="1" x14ac:dyDescent="0.3">
      <c r="B1149" s="44">
        <v>45948</v>
      </c>
      <c r="C1149" s="3" t="s">
        <v>416</v>
      </c>
      <c r="D1149" s="3" t="s">
        <v>68</v>
      </c>
      <c r="E1149" s="42"/>
      <c r="F1149" s="3" t="s">
        <v>665</v>
      </c>
      <c r="G1149" s="3" t="s">
        <v>457</v>
      </c>
      <c r="H1149" s="4">
        <v>3818806</v>
      </c>
      <c r="I1149" s="4" t="s">
        <v>649</v>
      </c>
      <c r="J1149" s="4" t="s">
        <v>456</v>
      </c>
      <c r="K1149" s="4">
        <v>3545602</v>
      </c>
    </row>
    <row r="1150" spans="2:11" s="3" customFormat="1" x14ac:dyDescent="0.3">
      <c r="B1150" s="44">
        <v>45948</v>
      </c>
      <c r="C1150" s="3" t="s">
        <v>416</v>
      </c>
      <c r="D1150" s="3" t="s">
        <v>68</v>
      </c>
      <c r="E1150" s="42"/>
      <c r="F1150" s="3" t="s">
        <v>665</v>
      </c>
      <c r="G1150" s="3" t="s">
        <v>627</v>
      </c>
      <c r="H1150" s="4" t="s">
        <v>638</v>
      </c>
      <c r="I1150" s="4" t="s">
        <v>652</v>
      </c>
      <c r="J1150" s="4" t="s">
        <v>625</v>
      </c>
      <c r="K1150" s="4">
        <v>3899803</v>
      </c>
    </row>
    <row r="1151" spans="2:11" s="3" customFormat="1" x14ac:dyDescent="0.3">
      <c r="B1151" s="44">
        <v>45948</v>
      </c>
      <c r="C1151" s="3" t="s">
        <v>416</v>
      </c>
      <c r="D1151" s="3" t="s">
        <v>590</v>
      </c>
      <c r="E1151" s="42"/>
      <c r="F1151" s="4" t="s">
        <v>693</v>
      </c>
      <c r="G1151" s="4" t="s">
        <v>322</v>
      </c>
      <c r="H1151" s="4">
        <v>3207005</v>
      </c>
      <c r="I1151" s="3" t="s">
        <v>671</v>
      </c>
      <c r="J1151" s="3" t="s">
        <v>311</v>
      </c>
      <c r="K1151" s="4">
        <v>3209003</v>
      </c>
    </row>
    <row r="1152" spans="2:11" s="3" customFormat="1" x14ac:dyDescent="0.3">
      <c r="B1152" s="44">
        <v>45948</v>
      </c>
      <c r="C1152" s="3" t="s">
        <v>416</v>
      </c>
      <c r="D1152" s="3" t="s">
        <v>65</v>
      </c>
      <c r="E1152" s="42"/>
      <c r="F1152" s="3" t="s">
        <v>693</v>
      </c>
      <c r="G1152" s="3" t="s">
        <v>357</v>
      </c>
      <c r="H1152" s="4">
        <v>3206704</v>
      </c>
      <c r="I1152" s="4" t="s">
        <v>656</v>
      </c>
      <c r="J1152" s="4" t="s">
        <v>326</v>
      </c>
      <c r="K1152" s="4">
        <v>3199904</v>
      </c>
    </row>
    <row r="1153" spans="1:43" s="3" customFormat="1" x14ac:dyDescent="0.3">
      <c r="A1153" s="4"/>
      <c r="B1153" s="100">
        <v>45948</v>
      </c>
      <c r="C1153" s="98" t="s">
        <v>553</v>
      </c>
      <c r="D1153" s="4" t="s">
        <v>508</v>
      </c>
      <c r="E1153" s="4"/>
      <c r="F1153" s="73" t="s">
        <v>476</v>
      </c>
      <c r="G1153" s="73" t="s">
        <v>476</v>
      </c>
      <c r="H1153" s="73"/>
      <c r="I1153" s="73" t="s">
        <v>511</v>
      </c>
      <c r="J1153" s="73" t="s">
        <v>511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</row>
    <row r="1154" spans="1:43" s="3" customFormat="1" x14ac:dyDescent="0.3">
      <c r="B1154" s="44">
        <v>45948</v>
      </c>
      <c r="C1154" s="3" t="s">
        <v>416</v>
      </c>
      <c r="D1154" s="3" t="s">
        <v>62</v>
      </c>
      <c r="E1154" s="42"/>
      <c r="F1154" s="4" t="s">
        <v>476</v>
      </c>
      <c r="G1154" s="4" t="s">
        <v>287</v>
      </c>
      <c r="H1154" s="4">
        <v>3206600</v>
      </c>
      <c r="I1154" s="4" t="s">
        <v>679</v>
      </c>
      <c r="J1154" s="4" t="s">
        <v>292</v>
      </c>
      <c r="K1154" s="4">
        <v>3195304</v>
      </c>
    </row>
    <row r="1155" spans="1:43" s="3" customFormat="1" x14ac:dyDescent="0.3">
      <c r="B1155" s="44">
        <v>45948</v>
      </c>
      <c r="C1155" s="3" t="s">
        <v>416</v>
      </c>
      <c r="D1155" s="3" t="s">
        <v>493</v>
      </c>
      <c r="E1155" s="42"/>
      <c r="F1155" s="3" t="s">
        <v>476</v>
      </c>
      <c r="G1155" s="3" t="s">
        <v>169</v>
      </c>
      <c r="H1155" s="4">
        <v>3356609</v>
      </c>
      <c r="I1155" s="4" t="s">
        <v>701</v>
      </c>
      <c r="J1155" s="4" t="s">
        <v>171</v>
      </c>
      <c r="K1155" s="4">
        <v>3355600</v>
      </c>
    </row>
    <row r="1156" spans="1:43" s="3" customFormat="1" x14ac:dyDescent="0.3">
      <c r="B1156" s="44">
        <v>45948</v>
      </c>
      <c r="C1156" s="3" t="s">
        <v>416</v>
      </c>
      <c r="D1156" s="3" t="s">
        <v>62</v>
      </c>
      <c r="E1156" s="42"/>
      <c r="F1156" s="3" t="s">
        <v>476</v>
      </c>
      <c r="G1156" s="3" t="s">
        <v>323</v>
      </c>
      <c r="H1156" s="4">
        <v>3206506</v>
      </c>
      <c r="I1156" s="4" t="s">
        <v>663</v>
      </c>
      <c r="J1156" s="4" t="s">
        <v>280</v>
      </c>
      <c r="K1156" s="4">
        <v>3198103</v>
      </c>
    </row>
    <row r="1157" spans="1:43" s="3" customFormat="1" x14ac:dyDescent="0.3">
      <c r="B1157" s="44">
        <v>45948</v>
      </c>
      <c r="C1157" s="3" t="s">
        <v>416</v>
      </c>
      <c r="D1157" s="3" t="s">
        <v>65</v>
      </c>
      <c r="E1157" s="42"/>
      <c r="F1157" s="3" t="s">
        <v>476</v>
      </c>
      <c r="G1157" s="3" t="s">
        <v>358</v>
      </c>
      <c r="H1157" s="4">
        <v>3206402</v>
      </c>
      <c r="I1157" s="4" t="s">
        <v>663</v>
      </c>
      <c r="J1157" s="4" t="s">
        <v>290</v>
      </c>
      <c r="K1157" s="4">
        <v>3197500</v>
      </c>
    </row>
    <row r="1158" spans="1:43" s="3" customFormat="1" x14ac:dyDescent="0.3">
      <c r="B1158" s="44">
        <v>45948</v>
      </c>
      <c r="C1158" s="3" t="s">
        <v>416</v>
      </c>
      <c r="D1158" s="3" t="s">
        <v>497</v>
      </c>
      <c r="E1158" s="42"/>
      <c r="F1158" s="17" t="s">
        <v>476</v>
      </c>
      <c r="G1158" s="17" t="s">
        <v>234</v>
      </c>
      <c r="H1158" s="74">
        <v>3356807</v>
      </c>
      <c r="I1158" s="4" t="s">
        <v>654</v>
      </c>
      <c r="J1158" s="4" t="s">
        <v>216</v>
      </c>
      <c r="K1158" s="4">
        <v>3349808</v>
      </c>
    </row>
    <row r="1159" spans="1:43" s="3" customFormat="1" x14ac:dyDescent="0.3">
      <c r="B1159" s="44">
        <v>45948</v>
      </c>
      <c r="C1159" s="3" t="s">
        <v>416</v>
      </c>
      <c r="D1159" s="3" t="s">
        <v>593</v>
      </c>
      <c r="E1159" s="42"/>
      <c r="F1159" s="3" t="s">
        <v>476</v>
      </c>
      <c r="G1159" s="3" t="s">
        <v>630</v>
      </c>
      <c r="H1159" s="4">
        <v>3206308</v>
      </c>
      <c r="I1159" s="4" t="s">
        <v>653</v>
      </c>
      <c r="J1159" s="4" t="s">
        <v>459</v>
      </c>
      <c r="K1159" s="4">
        <v>3211101</v>
      </c>
    </row>
    <row r="1160" spans="1:43" s="3" customFormat="1" x14ac:dyDescent="0.3">
      <c r="B1160" s="44">
        <v>45948</v>
      </c>
      <c r="C1160" s="3" t="s">
        <v>416</v>
      </c>
      <c r="D1160" s="3" t="s">
        <v>504</v>
      </c>
      <c r="E1160" s="42"/>
      <c r="F1160" s="4" t="s">
        <v>666</v>
      </c>
      <c r="G1160" s="4" t="s">
        <v>12</v>
      </c>
      <c r="H1160" s="4">
        <v>3034206</v>
      </c>
      <c r="I1160" s="4" t="s">
        <v>694</v>
      </c>
      <c r="J1160" s="4" t="s">
        <v>112</v>
      </c>
      <c r="K1160" s="4">
        <v>3353602</v>
      </c>
    </row>
    <row r="1161" spans="1:43" s="3" customFormat="1" x14ac:dyDescent="0.3">
      <c r="B1161" s="44">
        <v>45948</v>
      </c>
      <c r="C1161" s="3" t="s">
        <v>416</v>
      </c>
      <c r="D1161" s="3" t="s">
        <v>492</v>
      </c>
      <c r="E1161" s="42"/>
      <c r="F1161" s="3" t="s">
        <v>666</v>
      </c>
      <c r="G1161" s="3" t="s">
        <v>158</v>
      </c>
      <c r="H1161" s="4">
        <v>3356901</v>
      </c>
      <c r="I1161" s="4" t="s">
        <v>673</v>
      </c>
      <c r="J1161" s="4" t="s">
        <v>134</v>
      </c>
      <c r="K1161" s="4">
        <v>3347102</v>
      </c>
    </row>
    <row r="1162" spans="1:43" s="3" customFormat="1" x14ac:dyDescent="0.3">
      <c r="B1162" s="44">
        <v>45948</v>
      </c>
      <c r="C1162" s="3" t="s">
        <v>416</v>
      </c>
      <c r="D1162" s="3" t="s">
        <v>495</v>
      </c>
      <c r="E1162" s="42"/>
      <c r="F1162" s="3" t="s">
        <v>666</v>
      </c>
      <c r="G1162" s="3" t="s">
        <v>193</v>
      </c>
      <c r="H1162" s="4">
        <v>3357108</v>
      </c>
      <c r="I1162" s="3" t="s">
        <v>666</v>
      </c>
      <c r="J1162" s="3" t="s">
        <v>192</v>
      </c>
      <c r="K1162" s="53">
        <v>3357004</v>
      </c>
    </row>
    <row r="1163" spans="1:43" s="3" customFormat="1" x14ac:dyDescent="0.3">
      <c r="B1163" s="44">
        <v>45948</v>
      </c>
      <c r="C1163" s="3" t="s">
        <v>416</v>
      </c>
      <c r="D1163" s="4" t="s">
        <v>614</v>
      </c>
      <c r="E1163" s="42"/>
      <c r="F1163" s="3" t="s">
        <v>666</v>
      </c>
      <c r="G1163" s="3" t="s">
        <v>453</v>
      </c>
      <c r="H1163" s="4">
        <v>3206006</v>
      </c>
      <c r="I1163" s="4" t="s">
        <v>710</v>
      </c>
      <c r="J1163" s="4" t="s">
        <v>385</v>
      </c>
      <c r="K1163" s="4">
        <v>3199602</v>
      </c>
    </row>
    <row r="1164" spans="1:43" s="3" customFormat="1" x14ac:dyDescent="0.3">
      <c r="A1164" s="4"/>
      <c r="B1164" s="100">
        <v>45948</v>
      </c>
      <c r="C1164" s="98" t="s">
        <v>553</v>
      </c>
      <c r="D1164" s="4" t="s">
        <v>508</v>
      </c>
      <c r="E1164" s="4"/>
      <c r="F1164" s="73" t="s">
        <v>478</v>
      </c>
      <c r="G1164" s="73" t="s">
        <v>478</v>
      </c>
      <c r="H1164" s="73"/>
      <c r="I1164" s="73" t="s">
        <v>534</v>
      </c>
      <c r="J1164" s="73" t="s">
        <v>524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</row>
    <row r="1165" spans="1:43" s="3" customFormat="1" x14ac:dyDescent="0.3">
      <c r="B1165" s="44">
        <v>45948</v>
      </c>
      <c r="C1165" s="3" t="s">
        <v>416</v>
      </c>
      <c r="D1165" s="3" t="s">
        <v>491</v>
      </c>
      <c r="E1165" s="42"/>
      <c r="F1165" s="3" t="s">
        <v>478</v>
      </c>
      <c r="G1165" s="3" t="s">
        <v>463</v>
      </c>
      <c r="H1165" s="74">
        <v>3125500</v>
      </c>
      <c r="I1165" s="4" t="s">
        <v>645</v>
      </c>
      <c r="J1165" s="4" t="s">
        <v>464</v>
      </c>
      <c r="K1165" s="4">
        <v>3351406</v>
      </c>
    </row>
    <row r="1166" spans="1:43" s="3" customFormat="1" x14ac:dyDescent="0.3">
      <c r="B1166" s="44">
        <v>45948</v>
      </c>
      <c r="C1166" s="3" t="s">
        <v>416</v>
      </c>
      <c r="D1166" s="3" t="s">
        <v>66</v>
      </c>
      <c r="E1166" s="42"/>
      <c r="F1166" s="3" t="s">
        <v>478</v>
      </c>
      <c r="G1166" s="3" t="s">
        <v>604</v>
      </c>
      <c r="H1166" s="74">
        <v>3205507</v>
      </c>
      <c r="I1166" s="3" t="s">
        <v>696</v>
      </c>
      <c r="J1166" s="3" t="s">
        <v>609</v>
      </c>
      <c r="K1166" s="74">
        <v>3900401</v>
      </c>
    </row>
    <row r="1167" spans="1:43" s="3" customFormat="1" x14ac:dyDescent="0.3">
      <c r="B1167" s="44">
        <v>45948</v>
      </c>
      <c r="C1167" s="3" t="s">
        <v>416</v>
      </c>
      <c r="D1167" s="3" t="s">
        <v>488</v>
      </c>
      <c r="E1167" s="42"/>
      <c r="F1167" s="4" t="s">
        <v>690</v>
      </c>
      <c r="G1167" s="4" t="s">
        <v>118</v>
      </c>
      <c r="H1167" s="4">
        <v>3356005</v>
      </c>
      <c r="I1167" s="4" t="s">
        <v>695</v>
      </c>
      <c r="J1167" s="4" t="s">
        <v>147</v>
      </c>
      <c r="K1167" s="4">
        <v>3067409</v>
      </c>
    </row>
    <row r="1168" spans="1:43" s="3" customFormat="1" x14ac:dyDescent="0.3">
      <c r="B1168" s="44">
        <v>45948</v>
      </c>
      <c r="C1168" s="3" t="s">
        <v>416</v>
      </c>
      <c r="D1168" s="3" t="s">
        <v>56</v>
      </c>
      <c r="E1168" s="42"/>
      <c r="F1168" s="3" t="s">
        <v>690</v>
      </c>
      <c r="G1168" s="3" t="s">
        <v>250</v>
      </c>
      <c r="H1168" s="4">
        <v>3070100</v>
      </c>
      <c r="I1168" s="73" t="s">
        <v>671</v>
      </c>
      <c r="J1168" s="73" t="s">
        <v>247</v>
      </c>
      <c r="K1168" s="4">
        <v>3034102</v>
      </c>
    </row>
    <row r="1169" spans="2:11" s="3" customFormat="1" x14ac:dyDescent="0.3">
      <c r="B1169" s="44">
        <v>45948</v>
      </c>
      <c r="C1169" s="3" t="s">
        <v>416</v>
      </c>
      <c r="D1169" s="3" t="s">
        <v>61</v>
      </c>
      <c r="E1169" s="42"/>
      <c r="F1169" s="3" t="s">
        <v>690</v>
      </c>
      <c r="G1169" s="3" t="s">
        <v>304</v>
      </c>
      <c r="H1169" s="4">
        <v>3204404</v>
      </c>
      <c r="I1169" s="73" t="s">
        <v>680</v>
      </c>
      <c r="J1169" s="73" t="s">
        <v>302</v>
      </c>
      <c r="K1169" s="4">
        <v>3208400</v>
      </c>
    </row>
    <row r="1170" spans="2:11" s="3" customFormat="1" x14ac:dyDescent="0.3">
      <c r="B1170" s="44">
        <v>45948</v>
      </c>
      <c r="C1170" s="3" t="s">
        <v>416</v>
      </c>
      <c r="D1170" s="3" t="s">
        <v>491</v>
      </c>
      <c r="E1170" s="42"/>
      <c r="F1170" s="4" t="s">
        <v>690</v>
      </c>
      <c r="G1170" s="4" t="s">
        <v>179</v>
      </c>
      <c r="H1170" s="4">
        <v>3818900</v>
      </c>
      <c r="I1170" s="4" t="s">
        <v>680</v>
      </c>
      <c r="J1170" s="4" t="s">
        <v>177</v>
      </c>
      <c r="K1170" s="4">
        <v>3899709</v>
      </c>
    </row>
    <row r="1171" spans="2:11" s="3" customFormat="1" x14ac:dyDescent="0.3">
      <c r="B1171" s="44">
        <v>45948</v>
      </c>
      <c r="C1171" s="3" t="s">
        <v>416</v>
      </c>
      <c r="D1171" s="3" t="s">
        <v>66</v>
      </c>
      <c r="E1171" s="42"/>
      <c r="F1171" s="3" t="s">
        <v>690</v>
      </c>
      <c r="G1171" s="3" t="s">
        <v>605</v>
      </c>
      <c r="H1171" s="74">
        <v>3900109</v>
      </c>
      <c r="I1171" s="3" t="s">
        <v>703</v>
      </c>
      <c r="J1171" s="3" t="s">
        <v>606</v>
      </c>
      <c r="K1171" s="74" t="s">
        <v>588</v>
      </c>
    </row>
    <row r="1172" spans="2:11" s="3" customFormat="1" x14ac:dyDescent="0.3">
      <c r="B1172" s="44">
        <v>45948</v>
      </c>
      <c r="C1172" s="3" t="s">
        <v>416</v>
      </c>
      <c r="D1172" s="3" t="s">
        <v>65</v>
      </c>
      <c r="E1172" s="42"/>
      <c r="F1172" s="3" t="s">
        <v>718</v>
      </c>
      <c r="G1172" s="3" t="s">
        <v>359</v>
      </c>
      <c r="H1172" s="4">
        <v>3204602</v>
      </c>
      <c r="I1172" s="4" t="s">
        <v>479</v>
      </c>
      <c r="J1172" s="4" t="s">
        <v>320</v>
      </c>
      <c r="K1172" s="4">
        <v>3210602</v>
      </c>
    </row>
    <row r="1173" spans="2:11" s="3" customFormat="1" x14ac:dyDescent="0.3">
      <c r="B1173" s="44">
        <v>45948</v>
      </c>
      <c r="C1173" s="3" t="s">
        <v>416</v>
      </c>
      <c r="D1173" s="3" t="s">
        <v>486</v>
      </c>
      <c r="E1173" s="42"/>
      <c r="F1173" s="4" t="s">
        <v>682</v>
      </c>
      <c r="G1173" s="4" t="s">
        <v>559</v>
      </c>
      <c r="H1173" s="4">
        <v>3969200</v>
      </c>
      <c r="I1173" s="4" t="s">
        <v>652</v>
      </c>
      <c r="J1173" s="4" t="s">
        <v>110</v>
      </c>
      <c r="K1173" s="4">
        <v>3359106</v>
      </c>
    </row>
    <row r="1174" spans="2:11" s="3" customFormat="1" x14ac:dyDescent="0.3">
      <c r="B1174" s="44">
        <v>45948</v>
      </c>
      <c r="C1174" s="3" t="s">
        <v>416</v>
      </c>
      <c r="D1174" s="3" t="s">
        <v>57</v>
      </c>
      <c r="E1174" s="42"/>
      <c r="F1174" s="3" t="s">
        <v>682</v>
      </c>
      <c r="G1174" s="3" t="s">
        <v>584</v>
      </c>
      <c r="H1174" s="4">
        <v>3069303</v>
      </c>
      <c r="I1174" s="3" t="s">
        <v>693</v>
      </c>
      <c r="J1174" s="3" t="s">
        <v>258</v>
      </c>
      <c r="K1174" s="4">
        <v>3207109</v>
      </c>
    </row>
    <row r="1175" spans="2:11" s="3" customFormat="1" x14ac:dyDescent="0.3">
      <c r="B1175" s="44">
        <v>45948</v>
      </c>
      <c r="C1175" s="3" t="s">
        <v>416</v>
      </c>
      <c r="D1175" s="3" t="s">
        <v>610</v>
      </c>
      <c r="E1175" s="42"/>
      <c r="F1175" s="3" t="s">
        <v>682</v>
      </c>
      <c r="G1175" s="3" t="s">
        <v>611</v>
      </c>
      <c r="H1175" s="4">
        <v>3204800</v>
      </c>
      <c r="I1175" s="4" t="s">
        <v>685</v>
      </c>
      <c r="J1175" s="4" t="s">
        <v>351</v>
      </c>
      <c r="K1175" s="4">
        <v>3201001</v>
      </c>
    </row>
    <row r="1176" spans="2:11" s="3" customFormat="1" x14ac:dyDescent="0.3">
      <c r="B1176" s="44">
        <v>45948</v>
      </c>
      <c r="C1176" s="3" t="s">
        <v>416</v>
      </c>
      <c r="D1176" s="3" t="s">
        <v>495</v>
      </c>
      <c r="E1176" s="42"/>
      <c r="F1176" s="3" t="s">
        <v>682</v>
      </c>
      <c r="G1176" s="3" t="s">
        <v>568</v>
      </c>
      <c r="H1176" s="4">
        <v>3969908</v>
      </c>
      <c r="I1176" s="3" t="s">
        <v>712</v>
      </c>
      <c r="J1176" s="3" t="s">
        <v>164</v>
      </c>
      <c r="K1176" s="4">
        <v>3349402</v>
      </c>
    </row>
    <row r="1177" spans="2:11" s="3" customFormat="1" x14ac:dyDescent="0.3">
      <c r="B1177" s="44">
        <v>45948</v>
      </c>
      <c r="C1177" s="3" t="s">
        <v>416</v>
      </c>
      <c r="D1177" s="4" t="s">
        <v>614</v>
      </c>
      <c r="E1177" s="42"/>
      <c r="F1177" s="3" t="s">
        <v>682</v>
      </c>
      <c r="G1177" s="3" t="s">
        <v>622</v>
      </c>
      <c r="H1177" s="4">
        <v>3969502</v>
      </c>
      <c r="I1177" s="4" t="s">
        <v>675</v>
      </c>
      <c r="J1177" s="4" t="s">
        <v>403</v>
      </c>
      <c r="K1177" s="4">
        <v>3198509</v>
      </c>
    </row>
    <row r="1178" spans="2:11" s="3" customFormat="1" x14ac:dyDescent="0.3">
      <c r="B1178" s="44">
        <v>45948</v>
      </c>
      <c r="C1178" s="3" t="s">
        <v>416</v>
      </c>
      <c r="D1178" s="3" t="s">
        <v>488</v>
      </c>
      <c r="E1178" s="42"/>
      <c r="F1178" s="3" t="s">
        <v>702</v>
      </c>
      <c r="G1178" s="3" t="s">
        <v>119</v>
      </c>
      <c r="H1178" s="4">
        <v>3067909</v>
      </c>
      <c r="I1178" s="3" t="s">
        <v>703</v>
      </c>
      <c r="J1178" s="3" t="s">
        <v>560</v>
      </c>
      <c r="K1178" s="4" t="s">
        <v>562</v>
      </c>
    </row>
    <row r="1179" spans="2:11" s="3" customFormat="1" x14ac:dyDescent="0.3">
      <c r="B1179" s="44">
        <v>45948</v>
      </c>
      <c r="C1179" s="3" t="s">
        <v>416</v>
      </c>
      <c r="D1179" s="3" t="s">
        <v>58</v>
      </c>
      <c r="E1179" s="42"/>
      <c r="F1179" s="3" t="s">
        <v>702</v>
      </c>
      <c r="G1179" s="3" t="s">
        <v>447</v>
      </c>
      <c r="H1179" s="4">
        <v>3055207</v>
      </c>
      <c r="I1179" s="32" t="s">
        <v>478</v>
      </c>
      <c r="J1179" s="32" t="s">
        <v>267</v>
      </c>
      <c r="K1179" s="15">
        <v>3205205</v>
      </c>
    </row>
    <row r="1180" spans="2:11" s="3" customFormat="1" x14ac:dyDescent="0.3">
      <c r="B1180" s="44">
        <v>45948</v>
      </c>
      <c r="C1180" s="3" t="s">
        <v>416</v>
      </c>
      <c r="D1180" s="3" t="s">
        <v>491</v>
      </c>
      <c r="E1180" s="42"/>
      <c r="F1180" s="4" t="s">
        <v>702</v>
      </c>
      <c r="G1180" s="4" t="s">
        <v>180</v>
      </c>
      <c r="H1180" s="4">
        <v>3355308</v>
      </c>
      <c r="I1180" s="3" t="s">
        <v>684</v>
      </c>
      <c r="J1180" s="3" t="s">
        <v>149</v>
      </c>
      <c r="K1180" s="4">
        <v>3354507</v>
      </c>
    </row>
    <row r="1181" spans="2:11" s="3" customFormat="1" x14ac:dyDescent="0.3">
      <c r="B1181" s="44">
        <v>45948</v>
      </c>
      <c r="C1181" s="3" t="s">
        <v>416</v>
      </c>
      <c r="D1181" s="3" t="s">
        <v>491</v>
      </c>
      <c r="E1181" s="42"/>
      <c r="F1181" s="3" t="s">
        <v>695</v>
      </c>
      <c r="G1181" s="3" t="s">
        <v>148</v>
      </c>
      <c r="H1181" s="4">
        <v>3355402</v>
      </c>
      <c r="I1181" s="104" t="s">
        <v>684</v>
      </c>
      <c r="J1181" s="104" t="s">
        <v>182</v>
      </c>
      <c r="K1181" s="53">
        <v>3900203</v>
      </c>
    </row>
    <row r="1182" spans="2:11" s="3" customFormat="1" x14ac:dyDescent="0.3">
      <c r="B1182" s="44">
        <v>45948</v>
      </c>
      <c r="C1182" s="3" t="s">
        <v>416</v>
      </c>
      <c r="D1182" s="3" t="s">
        <v>58</v>
      </c>
      <c r="E1182" s="42"/>
      <c r="F1182" s="3" t="s">
        <v>704</v>
      </c>
      <c r="G1182" s="3" t="s">
        <v>297</v>
      </c>
      <c r="H1182" s="4">
        <v>3204008</v>
      </c>
      <c r="I1182" s="3" t="s">
        <v>690</v>
      </c>
      <c r="J1182" s="3" t="s">
        <v>303</v>
      </c>
      <c r="K1182" s="4">
        <v>3205101</v>
      </c>
    </row>
    <row r="1183" spans="2:11" s="3" customFormat="1" x14ac:dyDescent="0.3">
      <c r="B1183" s="44">
        <v>45948</v>
      </c>
      <c r="C1183" s="3" t="s">
        <v>416</v>
      </c>
      <c r="D1183" s="3" t="s">
        <v>60</v>
      </c>
      <c r="E1183" s="42"/>
      <c r="F1183" s="3" t="s">
        <v>473</v>
      </c>
      <c r="G1183" s="3" t="s">
        <v>298</v>
      </c>
      <c r="H1183" s="4">
        <v>3817807</v>
      </c>
      <c r="I1183" s="3" t="s">
        <v>695</v>
      </c>
      <c r="J1183" s="3" t="s">
        <v>296</v>
      </c>
      <c r="K1183" s="4">
        <v>3203905</v>
      </c>
    </row>
    <row r="1184" spans="2:11" s="3" customFormat="1" x14ac:dyDescent="0.3">
      <c r="B1184" s="44">
        <v>45948</v>
      </c>
      <c r="C1184" s="3" t="s">
        <v>416</v>
      </c>
      <c r="D1184" s="3" t="s">
        <v>60</v>
      </c>
      <c r="E1184" s="42"/>
      <c r="F1184" s="3" t="s">
        <v>473</v>
      </c>
      <c r="G1184" s="3" t="s">
        <v>446</v>
      </c>
      <c r="H1184" s="4">
        <v>3204206</v>
      </c>
      <c r="I1184" s="3" t="s">
        <v>668</v>
      </c>
      <c r="J1184" s="3" t="s">
        <v>431</v>
      </c>
      <c r="K1184" s="4">
        <v>3900703</v>
      </c>
    </row>
    <row r="1185" spans="2:11" s="3" customFormat="1" x14ac:dyDescent="0.3">
      <c r="B1185" s="44">
        <v>45948</v>
      </c>
      <c r="C1185" s="3" t="s">
        <v>416</v>
      </c>
      <c r="D1185" s="3" t="s">
        <v>494</v>
      </c>
      <c r="E1185" s="42"/>
      <c r="F1185" s="4" t="s">
        <v>708</v>
      </c>
      <c r="G1185" s="4" t="s">
        <v>141</v>
      </c>
      <c r="H1185" s="4">
        <v>3125802</v>
      </c>
      <c r="I1185" s="4" t="s">
        <v>662</v>
      </c>
      <c r="J1185" s="4" t="s">
        <v>242</v>
      </c>
      <c r="K1185" s="4">
        <v>3358107</v>
      </c>
    </row>
    <row r="1186" spans="2:11" s="3" customFormat="1" x14ac:dyDescent="0.3">
      <c r="B1186" s="44">
        <v>45948</v>
      </c>
      <c r="C1186" s="3" t="s">
        <v>416</v>
      </c>
      <c r="D1186" s="3" t="s">
        <v>494</v>
      </c>
      <c r="E1186" s="42"/>
      <c r="F1186" s="3" t="s">
        <v>708</v>
      </c>
      <c r="G1186" s="3" t="s">
        <v>220</v>
      </c>
      <c r="H1186" s="4">
        <v>3354809</v>
      </c>
      <c r="I1186" s="3" t="s">
        <v>692</v>
      </c>
      <c r="J1186" s="3" t="s">
        <v>144</v>
      </c>
      <c r="K1186" s="4">
        <v>3347904</v>
      </c>
    </row>
    <row r="1187" spans="2:11" s="3" customFormat="1" x14ac:dyDescent="0.3">
      <c r="B1187" s="44">
        <v>45948</v>
      </c>
      <c r="C1187" s="3" t="s">
        <v>416</v>
      </c>
      <c r="D1187" s="3" t="s">
        <v>57</v>
      </c>
      <c r="E1187" s="42"/>
      <c r="F1187" s="15" t="s">
        <v>703</v>
      </c>
      <c r="G1187" s="15" t="s">
        <v>585</v>
      </c>
      <c r="H1187" s="74" t="s">
        <v>556</v>
      </c>
      <c r="I1187" s="73" t="s">
        <v>478</v>
      </c>
      <c r="J1187" s="73" t="s">
        <v>260</v>
      </c>
      <c r="K1187" s="15">
        <v>3205705</v>
      </c>
    </row>
    <row r="1188" spans="2:11" s="3" customFormat="1" x14ac:dyDescent="0.3">
      <c r="B1188" s="44">
        <v>45948</v>
      </c>
      <c r="C1188" s="3" t="s">
        <v>416</v>
      </c>
      <c r="D1188" s="3" t="s">
        <v>58</v>
      </c>
      <c r="E1188" s="42"/>
      <c r="F1188" s="3" t="s">
        <v>703</v>
      </c>
      <c r="G1188" s="3" t="s">
        <v>586</v>
      </c>
      <c r="H1188" s="4" t="s">
        <v>588</v>
      </c>
      <c r="I1188" s="3" t="s">
        <v>698</v>
      </c>
      <c r="J1188" s="3" t="s">
        <v>587</v>
      </c>
      <c r="K1188" s="32" t="s">
        <v>563</v>
      </c>
    </row>
    <row r="1189" spans="2:11" s="3" customFormat="1" x14ac:dyDescent="0.3">
      <c r="B1189" s="44">
        <v>45948</v>
      </c>
      <c r="C1189" s="3" t="s">
        <v>416</v>
      </c>
      <c r="D1189" s="3" t="s">
        <v>61</v>
      </c>
      <c r="E1189" s="42"/>
      <c r="F1189" s="3" t="s">
        <v>703</v>
      </c>
      <c r="G1189" s="3" t="s">
        <v>596</v>
      </c>
      <c r="H1189" s="4" t="s">
        <v>556</v>
      </c>
      <c r="I1189" s="4" t="s">
        <v>478</v>
      </c>
      <c r="J1189" s="4" t="s">
        <v>330</v>
      </c>
      <c r="K1189" s="4">
        <v>3205309</v>
      </c>
    </row>
    <row r="1190" spans="2:11" s="3" customFormat="1" x14ac:dyDescent="0.3">
      <c r="B1190" s="44">
        <v>45948</v>
      </c>
      <c r="C1190" s="3" t="s">
        <v>416</v>
      </c>
      <c r="D1190" s="3" t="s">
        <v>58</v>
      </c>
      <c r="E1190" s="42"/>
      <c r="F1190" s="3" t="s">
        <v>683</v>
      </c>
      <c r="G1190" s="3" t="s">
        <v>305</v>
      </c>
      <c r="H1190" s="4">
        <v>3202906</v>
      </c>
      <c r="I1190" s="3" t="s">
        <v>706</v>
      </c>
      <c r="J1190" s="3" t="s">
        <v>269</v>
      </c>
      <c r="K1190" s="4">
        <v>3069407</v>
      </c>
    </row>
    <row r="1191" spans="2:11" s="3" customFormat="1" x14ac:dyDescent="0.3">
      <c r="B1191" s="44">
        <v>45948</v>
      </c>
      <c r="C1191" s="3" t="s">
        <v>416</v>
      </c>
      <c r="D1191" s="3" t="s">
        <v>63</v>
      </c>
      <c r="E1191" s="42"/>
      <c r="F1191" s="3" t="s">
        <v>683</v>
      </c>
      <c r="G1191" s="3" t="s">
        <v>368</v>
      </c>
      <c r="H1191" s="74">
        <v>3203009</v>
      </c>
      <c r="I1191" s="3" t="s">
        <v>684</v>
      </c>
      <c r="J1191" s="3" t="s">
        <v>369</v>
      </c>
      <c r="K1191" s="74">
        <v>3202708</v>
      </c>
    </row>
    <row r="1192" spans="2:11" s="3" customFormat="1" x14ac:dyDescent="0.3">
      <c r="B1192" s="44">
        <v>45948</v>
      </c>
      <c r="C1192" s="3" t="s">
        <v>416</v>
      </c>
      <c r="D1192" s="3" t="s">
        <v>57</v>
      </c>
      <c r="E1192" s="42"/>
      <c r="F1192" s="32" t="s">
        <v>709</v>
      </c>
      <c r="G1192" s="32" t="s">
        <v>268</v>
      </c>
      <c r="H1192" s="15">
        <v>3203103</v>
      </c>
      <c r="I1192" s="4" t="s">
        <v>647</v>
      </c>
      <c r="J1192" s="4" t="s">
        <v>282</v>
      </c>
      <c r="K1192" s="4">
        <v>3193900</v>
      </c>
    </row>
    <row r="1193" spans="2:11" s="3" customFormat="1" x14ac:dyDescent="0.3">
      <c r="B1193" s="44">
        <v>45948</v>
      </c>
      <c r="C1193" s="3" t="s">
        <v>416</v>
      </c>
      <c r="D1193" s="3" t="s">
        <v>66</v>
      </c>
      <c r="E1193" s="42"/>
      <c r="F1193" s="3" t="s">
        <v>709</v>
      </c>
      <c r="G1193" s="3" t="s">
        <v>607</v>
      </c>
      <c r="H1193" s="4">
        <v>3596309</v>
      </c>
      <c r="I1193" s="104" t="s">
        <v>659</v>
      </c>
      <c r="J1193" s="104" t="s">
        <v>602</v>
      </c>
      <c r="K1193" s="74">
        <v>4023001</v>
      </c>
    </row>
    <row r="1194" spans="2:11" s="3" customFormat="1" x14ac:dyDescent="0.3">
      <c r="B1194" s="44">
        <v>45948</v>
      </c>
      <c r="C1194" s="3" t="s">
        <v>416</v>
      </c>
      <c r="D1194" s="3" t="s">
        <v>488</v>
      </c>
      <c r="E1194" s="42"/>
      <c r="F1194" s="4" t="s">
        <v>684</v>
      </c>
      <c r="G1194" s="4" t="s">
        <v>121</v>
      </c>
      <c r="H1194" s="4">
        <v>3354309</v>
      </c>
      <c r="I1194" s="4" t="s">
        <v>645</v>
      </c>
      <c r="J1194" s="4" t="s">
        <v>151</v>
      </c>
      <c r="K1194" s="4">
        <v>3351208</v>
      </c>
    </row>
    <row r="1195" spans="2:11" s="3" customFormat="1" x14ac:dyDescent="0.3">
      <c r="B1195" s="44">
        <v>45948</v>
      </c>
      <c r="C1195" s="3" t="s">
        <v>416</v>
      </c>
      <c r="D1195" s="3" t="s">
        <v>486</v>
      </c>
      <c r="E1195" s="42"/>
      <c r="F1195" s="4" t="s">
        <v>646</v>
      </c>
      <c r="G1195" s="4" t="s">
        <v>102</v>
      </c>
      <c r="H1195" s="4">
        <v>3125406</v>
      </c>
      <c r="I1195" s="4" t="s">
        <v>645</v>
      </c>
      <c r="J1195" s="4" t="s">
        <v>104</v>
      </c>
      <c r="K1195" s="4">
        <v>3036308</v>
      </c>
    </row>
    <row r="1196" spans="2:11" s="3" customFormat="1" x14ac:dyDescent="0.3">
      <c r="B1196" s="44">
        <v>45948</v>
      </c>
      <c r="C1196" s="3" t="s">
        <v>416</v>
      </c>
      <c r="D1196" s="3" t="s">
        <v>492</v>
      </c>
      <c r="E1196" s="42"/>
      <c r="F1196" s="3" t="s">
        <v>646</v>
      </c>
      <c r="G1196" s="3" t="s">
        <v>159</v>
      </c>
      <c r="H1196" s="4">
        <v>3354403</v>
      </c>
      <c r="I1196" s="3" t="s">
        <v>719</v>
      </c>
      <c r="J1196" s="3" t="s">
        <v>155</v>
      </c>
      <c r="K1196" s="4">
        <v>3361600</v>
      </c>
    </row>
    <row r="1197" spans="2:11" s="3" customFormat="1" x14ac:dyDescent="0.3">
      <c r="B1197" s="44">
        <v>45948</v>
      </c>
      <c r="C1197" s="3" t="s">
        <v>416</v>
      </c>
      <c r="D1197" s="3" t="s">
        <v>59</v>
      </c>
      <c r="E1197" s="42"/>
      <c r="F1197" s="4" t="s">
        <v>646</v>
      </c>
      <c r="G1197" s="4" t="s">
        <v>275</v>
      </c>
      <c r="H1197" s="4">
        <v>3202406</v>
      </c>
      <c r="I1197" s="4" t="s">
        <v>681</v>
      </c>
      <c r="J1197" s="4" t="s">
        <v>281</v>
      </c>
      <c r="K1197" s="4">
        <v>3195700</v>
      </c>
    </row>
    <row r="1198" spans="2:11" s="3" customFormat="1" x14ac:dyDescent="0.3">
      <c r="B1198" s="44">
        <v>45948</v>
      </c>
      <c r="C1198" s="3" t="s">
        <v>416</v>
      </c>
      <c r="D1198" s="3" t="s">
        <v>492</v>
      </c>
      <c r="E1198" s="42"/>
      <c r="F1198" s="4" t="s">
        <v>646</v>
      </c>
      <c r="G1198" s="4" t="s">
        <v>194</v>
      </c>
      <c r="H1198" s="4">
        <v>3354205</v>
      </c>
      <c r="I1198" s="3" t="s">
        <v>474</v>
      </c>
      <c r="J1198" s="3" t="s">
        <v>161</v>
      </c>
      <c r="K1198" s="4">
        <v>3352509</v>
      </c>
    </row>
    <row r="1199" spans="2:11" s="3" customFormat="1" x14ac:dyDescent="0.3">
      <c r="B1199" s="44">
        <v>45948</v>
      </c>
      <c r="C1199" s="3" t="s">
        <v>416</v>
      </c>
      <c r="D1199" s="3" t="s">
        <v>610</v>
      </c>
      <c r="E1199" s="42"/>
      <c r="F1199" s="3" t="s">
        <v>646</v>
      </c>
      <c r="G1199" s="3" t="s">
        <v>350</v>
      </c>
      <c r="H1199" s="4">
        <v>3202802</v>
      </c>
      <c r="I1199" s="4" t="s">
        <v>666</v>
      </c>
      <c r="J1199" s="4" t="s">
        <v>348</v>
      </c>
      <c r="K1199" s="4">
        <v>3205903</v>
      </c>
    </row>
    <row r="1200" spans="2:11" s="3" customFormat="1" x14ac:dyDescent="0.3">
      <c r="B1200" s="44">
        <v>45948</v>
      </c>
      <c r="C1200" s="3" t="s">
        <v>416</v>
      </c>
      <c r="D1200" s="4" t="s">
        <v>614</v>
      </c>
      <c r="E1200" s="42"/>
      <c r="F1200" s="3" t="s">
        <v>646</v>
      </c>
      <c r="G1200" s="3" t="s">
        <v>380</v>
      </c>
      <c r="H1200" s="4">
        <v>3202208</v>
      </c>
      <c r="I1200" s="4" t="s">
        <v>674</v>
      </c>
      <c r="J1200" s="4" t="s">
        <v>346</v>
      </c>
      <c r="K1200" s="4">
        <v>3208900</v>
      </c>
    </row>
    <row r="1201" spans="2:11" s="3" customFormat="1" x14ac:dyDescent="0.3">
      <c r="B1201" s="44">
        <v>45948</v>
      </c>
      <c r="C1201" s="3" t="s">
        <v>416</v>
      </c>
      <c r="D1201" s="3" t="s">
        <v>489</v>
      </c>
      <c r="E1201" s="4"/>
      <c r="F1201" s="3" t="s">
        <v>672</v>
      </c>
      <c r="G1201" s="3" t="s">
        <v>129</v>
      </c>
      <c r="H1201" s="4">
        <v>3067503</v>
      </c>
      <c r="I1201" s="4" t="s">
        <v>685</v>
      </c>
      <c r="J1201" s="4" t="s">
        <v>160</v>
      </c>
      <c r="K1201" s="4">
        <v>3353008</v>
      </c>
    </row>
    <row r="1202" spans="2:11" s="3" customFormat="1" x14ac:dyDescent="0.3">
      <c r="B1202" s="44">
        <v>45948</v>
      </c>
      <c r="C1202" s="3" t="s">
        <v>416</v>
      </c>
      <c r="D1202" s="3" t="s">
        <v>56</v>
      </c>
      <c r="E1202" s="42"/>
      <c r="F1202" s="106" t="s">
        <v>672</v>
      </c>
      <c r="G1202" s="106" t="s">
        <v>252</v>
      </c>
      <c r="H1202" s="106">
        <v>3070204</v>
      </c>
      <c r="I1202" s="3" t="s">
        <v>646</v>
      </c>
      <c r="J1202" s="3" t="s">
        <v>251</v>
      </c>
      <c r="K1202" s="4">
        <v>3036704</v>
      </c>
    </row>
    <row r="1203" spans="2:11" s="3" customFormat="1" x14ac:dyDescent="0.3">
      <c r="B1203" s="44">
        <v>45948</v>
      </c>
      <c r="C1203" s="3" t="s">
        <v>416</v>
      </c>
      <c r="D1203" s="3" t="s">
        <v>64</v>
      </c>
      <c r="E1203" s="42">
        <v>4370907</v>
      </c>
      <c r="F1203" s="3" t="s">
        <v>672</v>
      </c>
      <c r="G1203" s="3" t="s">
        <v>316</v>
      </c>
      <c r="H1203" s="4">
        <v>3069105</v>
      </c>
      <c r="I1203" s="4" t="s">
        <v>688</v>
      </c>
      <c r="J1203" s="4" t="s">
        <v>318</v>
      </c>
      <c r="K1203" s="4">
        <v>3037401</v>
      </c>
    </row>
    <row r="1204" spans="2:11" s="3" customFormat="1" x14ac:dyDescent="0.3">
      <c r="B1204" s="44">
        <v>45948</v>
      </c>
      <c r="C1204" s="3" t="s">
        <v>416</v>
      </c>
      <c r="D1204" s="3" t="s">
        <v>488</v>
      </c>
      <c r="E1204" s="42"/>
      <c r="F1204" s="4" t="s">
        <v>697</v>
      </c>
      <c r="G1204" s="4" t="s">
        <v>122</v>
      </c>
      <c r="H1204" s="4">
        <v>3353800</v>
      </c>
      <c r="I1204" s="3" t="s">
        <v>720</v>
      </c>
      <c r="J1204" s="3" t="s">
        <v>153</v>
      </c>
      <c r="K1204" s="4">
        <v>3033405</v>
      </c>
    </row>
    <row r="1205" spans="2:11" s="3" customFormat="1" x14ac:dyDescent="0.3">
      <c r="B1205" s="44">
        <v>45948</v>
      </c>
      <c r="C1205" s="3" t="s">
        <v>416</v>
      </c>
      <c r="D1205" s="3" t="s">
        <v>63</v>
      </c>
      <c r="E1205" s="42"/>
      <c r="F1205" s="3" t="s">
        <v>697</v>
      </c>
      <c r="G1205" s="3" t="s">
        <v>448</v>
      </c>
      <c r="H1205" s="4">
        <v>3036808</v>
      </c>
      <c r="I1205" s="104" t="s">
        <v>645</v>
      </c>
      <c r="J1205" s="104" t="s">
        <v>333</v>
      </c>
      <c r="K1205" s="74">
        <v>3198801</v>
      </c>
    </row>
    <row r="1206" spans="2:11" s="3" customFormat="1" x14ac:dyDescent="0.3">
      <c r="B1206" s="44">
        <v>45948</v>
      </c>
      <c r="C1206" s="3" t="s">
        <v>416</v>
      </c>
      <c r="D1206" s="3" t="s">
        <v>57</v>
      </c>
      <c r="E1206" s="42"/>
      <c r="F1206" s="53" t="s">
        <v>694</v>
      </c>
      <c r="G1206" s="53" t="s">
        <v>276</v>
      </c>
      <c r="H1206" s="74">
        <v>3201709</v>
      </c>
      <c r="I1206" s="32" t="s">
        <v>476</v>
      </c>
      <c r="J1206" s="32" t="s">
        <v>249</v>
      </c>
      <c r="K1206" s="15">
        <v>3038202</v>
      </c>
    </row>
    <row r="1207" spans="2:11" s="3" customFormat="1" x14ac:dyDescent="0.3">
      <c r="B1207" s="44">
        <v>45948</v>
      </c>
      <c r="C1207" s="3" t="s">
        <v>416</v>
      </c>
      <c r="D1207" s="3" t="s">
        <v>494</v>
      </c>
      <c r="E1207" s="42"/>
      <c r="F1207" s="4" t="s">
        <v>694</v>
      </c>
      <c r="G1207" s="4" t="s">
        <v>188</v>
      </c>
      <c r="H1207" s="4">
        <v>3353508</v>
      </c>
      <c r="I1207" s="4" t="s">
        <v>472</v>
      </c>
      <c r="J1207" s="4" t="s">
        <v>185</v>
      </c>
      <c r="K1207" s="4">
        <v>3357806</v>
      </c>
    </row>
    <row r="1208" spans="2:11" s="3" customFormat="1" x14ac:dyDescent="0.3">
      <c r="B1208" s="44">
        <v>45948</v>
      </c>
      <c r="C1208" s="3" t="s">
        <v>416</v>
      </c>
      <c r="D1208" s="3" t="s">
        <v>62</v>
      </c>
      <c r="E1208" s="42"/>
      <c r="F1208" s="4" t="s">
        <v>694</v>
      </c>
      <c r="G1208" s="4" t="s">
        <v>340</v>
      </c>
      <c r="H1208" s="4">
        <v>3201803</v>
      </c>
      <c r="I1208" s="4" t="s">
        <v>479</v>
      </c>
      <c r="J1208" s="4" t="s">
        <v>319</v>
      </c>
      <c r="K1208" s="4">
        <v>3210508</v>
      </c>
    </row>
    <row r="1209" spans="2:11" s="3" customFormat="1" x14ac:dyDescent="0.3">
      <c r="B1209" s="44">
        <v>45948</v>
      </c>
      <c r="C1209" s="3" t="s">
        <v>416</v>
      </c>
      <c r="D1209" s="3" t="s">
        <v>494</v>
      </c>
      <c r="E1209" s="42"/>
      <c r="F1209" s="3" t="s">
        <v>694</v>
      </c>
      <c r="G1209" s="3" t="s">
        <v>221</v>
      </c>
      <c r="H1209" s="4">
        <v>3353404</v>
      </c>
      <c r="I1209" s="4" t="s">
        <v>647</v>
      </c>
      <c r="J1209" s="4" t="s">
        <v>191</v>
      </c>
      <c r="K1209" s="4">
        <v>3345708</v>
      </c>
    </row>
    <row r="1210" spans="2:11" s="3" customFormat="1" x14ac:dyDescent="0.3">
      <c r="B1210" s="44">
        <v>45948</v>
      </c>
      <c r="C1210" s="3" t="s">
        <v>416</v>
      </c>
      <c r="D1210" s="3" t="s">
        <v>62</v>
      </c>
      <c r="E1210" s="42"/>
      <c r="F1210" s="3" t="s">
        <v>677</v>
      </c>
      <c r="G1210" s="3" t="s">
        <v>324</v>
      </c>
      <c r="H1210" s="4">
        <v>3201605</v>
      </c>
      <c r="I1210" s="3" t="s">
        <v>701</v>
      </c>
      <c r="J1210" s="3" t="s">
        <v>360</v>
      </c>
      <c r="K1210" s="4">
        <v>3203801</v>
      </c>
    </row>
    <row r="1211" spans="2:11" s="3" customFormat="1" x14ac:dyDescent="0.3">
      <c r="B1211" s="44">
        <v>45948</v>
      </c>
      <c r="C1211" s="3" t="s">
        <v>416</v>
      </c>
      <c r="D1211" s="3" t="s">
        <v>59</v>
      </c>
      <c r="E1211" s="42"/>
      <c r="F1211" s="4" t="s">
        <v>655</v>
      </c>
      <c r="G1211" s="4" t="s">
        <v>288</v>
      </c>
      <c r="H1211" s="4">
        <v>3200908</v>
      </c>
      <c r="I1211" s="3" t="s">
        <v>656</v>
      </c>
      <c r="J1211" s="3" t="s">
        <v>278</v>
      </c>
      <c r="K1211" s="4">
        <v>3199800</v>
      </c>
    </row>
    <row r="1212" spans="2:11" s="3" customFormat="1" x14ac:dyDescent="0.3">
      <c r="B1212" s="44">
        <v>45948</v>
      </c>
      <c r="C1212" s="3" t="s">
        <v>416</v>
      </c>
      <c r="D1212" s="3" t="s">
        <v>610</v>
      </c>
      <c r="E1212" s="42"/>
      <c r="F1212" s="3" t="s">
        <v>711</v>
      </c>
      <c r="G1212" s="3" t="s">
        <v>381</v>
      </c>
      <c r="H1212" s="4">
        <v>3201209</v>
      </c>
      <c r="I1212" s="4" t="s">
        <v>685</v>
      </c>
      <c r="J1212" s="4" t="s">
        <v>382</v>
      </c>
      <c r="K1212" s="4">
        <v>3200804</v>
      </c>
    </row>
    <row r="1213" spans="2:11" s="3" customFormat="1" x14ac:dyDescent="0.3">
      <c r="B1213" s="44">
        <v>45948</v>
      </c>
      <c r="C1213" s="3" t="s">
        <v>416</v>
      </c>
      <c r="D1213" s="3" t="s">
        <v>495</v>
      </c>
      <c r="E1213" s="42"/>
      <c r="F1213" s="3" t="s">
        <v>685</v>
      </c>
      <c r="G1213" s="3" t="s">
        <v>197</v>
      </c>
      <c r="H1213" s="4">
        <v>3353300</v>
      </c>
      <c r="I1213" s="3" t="s">
        <v>646</v>
      </c>
      <c r="J1213" s="3" t="s">
        <v>195</v>
      </c>
      <c r="K1213" s="74">
        <v>3361600</v>
      </c>
    </row>
    <row r="1214" spans="2:11" s="3" customFormat="1" x14ac:dyDescent="0.3">
      <c r="B1214" s="44">
        <v>45948</v>
      </c>
      <c r="C1214" s="3" t="s">
        <v>416</v>
      </c>
      <c r="D1214" s="3" t="s">
        <v>56</v>
      </c>
      <c r="E1214" s="42"/>
      <c r="F1214" s="73" t="s">
        <v>474</v>
      </c>
      <c r="G1214" s="73" t="s">
        <v>253</v>
      </c>
      <c r="H1214" s="4">
        <v>3037109</v>
      </c>
      <c r="I1214" s="4" t="s">
        <v>661</v>
      </c>
      <c r="J1214" s="4" t="s">
        <v>439</v>
      </c>
      <c r="K1214" s="4">
        <v>3023701</v>
      </c>
    </row>
    <row r="1215" spans="2:11" s="3" customFormat="1" x14ac:dyDescent="0.3">
      <c r="B1215" s="44">
        <v>45948</v>
      </c>
      <c r="C1215" s="3" t="s">
        <v>416</v>
      </c>
      <c r="D1215" s="3" t="s">
        <v>486</v>
      </c>
      <c r="E1215" s="42"/>
      <c r="F1215" s="3" t="s">
        <v>474</v>
      </c>
      <c r="G1215" s="3" t="s">
        <v>103</v>
      </c>
      <c r="H1215" s="4">
        <v>3353206</v>
      </c>
      <c r="I1215" s="3" t="s">
        <v>673</v>
      </c>
      <c r="J1215" s="3" t="s">
        <v>106</v>
      </c>
      <c r="K1215" s="4">
        <v>3067607</v>
      </c>
    </row>
    <row r="1216" spans="2:11" s="3" customFormat="1" x14ac:dyDescent="0.3">
      <c r="B1216" s="44">
        <v>45948</v>
      </c>
      <c r="C1216" s="3" t="s">
        <v>416</v>
      </c>
      <c r="D1216" s="3" t="s">
        <v>590</v>
      </c>
      <c r="E1216" s="42"/>
      <c r="F1216" s="3" t="s">
        <v>474</v>
      </c>
      <c r="G1216" s="3" t="s">
        <v>317</v>
      </c>
      <c r="H1216" s="4">
        <v>3200700</v>
      </c>
      <c r="I1216" s="3" t="s">
        <v>472</v>
      </c>
      <c r="J1216" s="3" t="s">
        <v>315</v>
      </c>
      <c r="K1216" s="4">
        <v>3455307</v>
      </c>
    </row>
    <row r="1217" spans="1:43" s="3" customFormat="1" x14ac:dyDescent="0.3">
      <c r="B1217" s="44">
        <v>45948</v>
      </c>
      <c r="C1217" s="3" t="s">
        <v>416</v>
      </c>
      <c r="D1217" s="3" t="s">
        <v>489</v>
      </c>
      <c r="E1217" s="4"/>
      <c r="F1217" s="4" t="s">
        <v>474</v>
      </c>
      <c r="G1217" s="4" t="s">
        <v>130</v>
      </c>
      <c r="H1217" s="4">
        <v>3352405</v>
      </c>
      <c r="I1217" s="4" t="s">
        <v>476</v>
      </c>
      <c r="J1217" s="4" t="s">
        <v>128</v>
      </c>
      <c r="K1217" s="4">
        <v>3357202</v>
      </c>
    </row>
    <row r="1218" spans="1:43" s="3" customFormat="1" x14ac:dyDescent="0.3">
      <c r="B1218" s="44">
        <v>45948</v>
      </c>
      <c r="C1218" s="3" t="s">
        <v>416</v>
      </c>
      <c r="D1218" s="3" t="s">
        <v>68</v>
      </c>
      <c r="E1218" s="42"/>
      <c r="F1218" s="3" t="s">
        <v>474</v>
      </c>
      <c r="G1218" s="3" t="s">
        <v>383</v>
      </c>
      <c r="H1218" s="4">
        <v>3200502</v>
      </c>
      <c r="I1218" s="4" t="s">
        <v>687</v>
      </c>
      <c r="J1218" s="4" t="s">
        <v>391</v>
      </c>
      <c r="K1218" s="4">
        <v>3193806</v>
      </c>
    </row>
    <row r="1219" spans="1:43" s="3" customFormat="1" x14ac:dyDescent="0.3">
      <c r="A1219" s="4"/>
      <c r="B1219" s="100">
        <v>45948</v>
      </c>
      <c r="C1219" s="98" t="s">
        <v>553</v>
      </c>
      <c r="D1219" s="4" t="s">
        <v>508</v>
      </c>
      <c r="E1219" s="4"/>
      <c r="F1219" s="73" t="s">
        <v>532</v>
      </c>
      <c r="G1219" s="73" t="s">
        <v>532</v>
      </c>
      <c r="H1219" s="73"/>
      <c r="I1219" s="73" t="s">
        <v>473</v>
      </c>
      <c r="J1219" s="73" t="s">
        <v>473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</row>
    <row r="1220" spans="1:43" s="3" customFormat="1" x14ac:dyDescent="0.3">
      <c r="B1220" s="44">
        <v>45948</v>
      </c>
      <c r="C1220" s="3" t="s">
        <v>416</v>
      </c>
      <c r="D1220" s="3" t="s">
        <v>610</v>
      </c>
      <c r="E1220" s="42"/>
      <c r="F1220" s="3" t="s">
        <v>714</v>
      </c>
      <c r="G1220" s="3" t="s">
        <v>352</v>
      </c>
      <c r="H1220" s="4">
        <v>3197208</v>
      </c>
      <c r="I1220" s="4" t="s">
        <v>652</v>
      </c>
      <c r="J1220" s="4" t="s">
        <v>347</v>
      </c>
      <c r="K1220" s="4">
        <v>3818504</v>
      </c>
    </row>
    <row r="1221" spans="1:43" s="3" customFormat="1" x14ac:dyDescent="0.3">
      <c r="B1221" s="44">
        <v>45948</v>
      </c>
      <c r="C1221" s="3" t="s">
        <v>416</v>
      </c>
      <c r="D1221" s="4" t="s">
        <v>614</v>
      </c>
      <c r="E1221" s="42"/>
      <c r="F1221" s="3" t="s">
        <v>714</v>
      </c>
      <c r="G1221" s="3" t="s">
        <v>454</v>
      </c>
      <c r="H1221" s="4">
        <v>3820300</v>
      </c>
      <c r="I1221" s="4" t="s">
        <v>710</v>
      </c>
      <c r="J1221" s="4" t="s">
        <v>384</v>
      </c>
      <c r="K1221" s="4">
        <v>3199508</v>
      </c>
    </row>
    <row r="1222" spans="1:43" s="3" customFormat="1" x14ac:dyDescent="0.3">
      <c r="B1222" s="44">
        <v>45948</v>
      </c>
      <c r="C1222" s="3" t="s">
        <v>416</v>
      </c>
      <c r="D1222" s="3" t="s">
        <v>489</v>
      </c>
      <c r="E1222" s="4"/>
      <c r="F1222" s="3" t="s">
        <v>650</v>
      </c>
      <c r="G1222" s="3" t="s">
        <v>163</v>
      </c>
      <c r="H1222" s="4">
        <v>3351802</v>
      </c>
      <c r="I1222" s="4" t="s">
        <v>682</v>
      </c>
      <c r="J1222" s="4" t="s">
        <v>564</v>
      </c>
      <c r="K1222" s="4">
        <v>3969804</v>
      </c>
    </row>
    <row r="1223" spans="1:43" s="3" customFormat="1" x14ac:dyDescent="0.3">
      <c r="B1223" s="44">
        <v>45948</v>
      </c>
      <c r="C1223" s="3" t="s">
        <v>416</v>
      </c>
      <c r="D1223" s="3" t="s">
        <v>590</v>
      </c>
      <c r="E1223" s="42"/>
      <c r="F1223" s="4" t="s">
        <v>650</v>
      </c>
      <c r="G1223" s="4" t="s">
        <v>277</v>
      </c>
      <c r="H1223" s="4">
        <v>3088400</v>
      </c>
      <c r="I1223" s="4" t="s">
        <v>657</v>
      </c>
      <c r="J1223" s="4" t="s">
        <v>321</v>
      </c>
      <c r="K1223" s="4">
        <v>3209607</v>
      </c>
    </row>
    <row r="1224" spans="1:43" s="3" customFormat="1" x14ac:dyDescent="0.3">
      <c r="B1224" s="44">
        <v>45948</v>
      </c>
      <c r="C1224" s="3" t="s">
        <v>416</v>
      </c>
      <c r="D1224" s="3" t="s">
        <v>610</v>
      </c>
      <c r="E1224" s="42"/>
      <c r="F1224" s="3" t="s">
        <v>650</v>
      </c>
      <c r="G1224" s="3" t="s">
        <v>353</v>
      </c>
      <c r="H1224" s="4">
        <v>3200200</v>
      </c>
      <c r="I1224" s="4" t="s">
        <v>474</v>
      </c>
      <c r="J1224" s="4" t="s">
        <v>458</v>
      </c>
      <c r="K1224" s="4">
        <v>3200304</v>
      </c>
    </row>
    <row r="1225" spans="1:43" s="3" customFormat="1" x14ac:dyDescent="0.3">
      <c r="B1225" s="44">
        <v>45948</v>
      </c>
      <c r="C1225" s="3" t="s">
        <v>416</v>
      </c>
      <c r="D1225" s="3" t="s">
        <v>67</v>
      </c>
      <c r="E1225" s="42"/>
      <c r="F1225" s="4" t="s">
        <v>715</v>
      </c>
      <c r="G1225" s="4" t="s">
        <v>377</v>
      </c>
      <c r="H1225" s="4">
        <v>3200106</v>
      </c>
      <c r="I1225" s="3" t="s">
        <v>689</v>
      </c>
      <c r="J1225" s="3" t="s">
        <v>341</v>
      </c>
      <c r="K1225" s="4">
        <v>3197708</v>
      </c>
    </row>
    <row r="1226" spans="1:43" s="3" customFormat="1" x14ac:dyDescent="0.3">
      <c r="B1226" s="44">
        <v>45948</v>
      </c>
      <c r="C1226" s="3" t="s">
        <v>416</v>
      </c>
      <c r="D1226" s="3" t="s">
        <v>59</v>
      </c>
      <c r="E1226" s="42"/>
      <c r="F1226" s="3" t="s">
        <v>710</v>
      </c>
      <c r="G1226" s="3" t="s">
        <v>279</v>
      </c>
      <c r="H1226" s="4">
        <v>3199706</v>
      </c>
      <c r="I1226" s="3" t="s">
        <v>652</v>
      </c>
      <c r="J1226" s="3" t="s">
        <v>313</v>
      </c>
      <c r="K1226" s="4">
        <v>3207901</v>
      </c>
    </row>
    <row r="1227" spans="1:43" s="3" customFormat="1" x14ac:dyDescent="0.3">
      <c r="B1227" s="44">
        <v>45948</v>
      </c>
      <c r="C1227" s="3" t="s">
        <v>416</v>
      </c>
      <c r="D1227" s="3" t="s">
        <v>496</v>
      </c>
      <c r="E1227" s="42"/>
      <c r="F1227" s="4" t="s">
        <v>710</v>
      </c>
      <c r="G1227" s="4" t="s">
        <v>206</v>
      </c>
      <c r="H1227" s="4">
        <v>3352103</v>
      </c>
      <c r="I1227" s="3" t="s">
        <v>671</v>
      </c>
      <c r="J1227" s="3" t="s">
        <v>227</v>
      </c>
      <c r="K1227" s="4">
        <v>3359408</v>
      </c>
    </row>
    <row r="1228" spans="1:43" s="3" customFormat="1" x14ac:dyDescent="0.3">
      <c r="B1228" s="44">
        <v>45948</v>
      </c>
      <c r="C1228" s="3" t="s">
        <v>416</v>
      </c>
      <c r="D1228" s="3" t="s">
        <v>496</v>
      </c>
      <c r="E1228" s="42"/>
      <c r="F1228" s="3" t="s">
        <v>710</v>
      </c>
      <c r="G1228" s="3" t="s">
        <v>462</v>
      </c>
      <c r="H1228" s="4">
        <v>3352207</v>
      </c>
      <c r="I1228" s="3" t="s">
        <v>675</v>
      </c>
      <c r="J1228" s="3" t="s">
        <v>198</v>
      </c>
      <c r="K1228" s="4">
        <v>3350803</v>
      </c>
    </row>
    <row r="1229" spans="1:43" s="3" customFormat="1" x14ac:dyDescent="0.3">
      <c r="A1229" s="4"/>
      <c r="B1229" s="100">
        <v>45948</v>
      </c>
      <c r="C1229" s="98" t="s">
        <v>553</v>
      </c>
      <c r="D1229" s="4" t="s">
        <v>512</v>
      </c>
      <c r="E1229" s="4"/>
      <c r="F1229" s="73" t="s">
        <v>477</v>
      </c>
      <c r="G1229" s="73" t="s">
        <v>477</v>
      </c>
      <c r="H1229" s="73"/>
      <c r="I1229" s="73" t="s">
        <v>543</v>
      </c>
      <c r="J1229" s="73" t="s">
        <v>543</v>
      </c>
      <c r="K1229" s="4"/>
      <c r="L1229" s="31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</row>
    <row r="1230" spans="1:43" s="3" customFormat="1" x14ac:dyDescent="0.3">
      <c r="B1230" s="44">
        <v>45948</v>
      </c>
      <c r="C1230" s="3" t="s">
        <v>416</v>
      </c>
      <c r="D1230" s="3" t="s">
        <v>61</v>
      </c>
      <c r="E1230" s="42"/>
      <c r="F1230" s="4" t="s">
        <v>477</v>
      </c>
      <c r="G1230" s="4" t="s">
        <v>332</v>
      </c>
      <c r="H1230" s="4">
        <v>3199206</v>
      </c>
      <c r="I1230" s="3" t="s">
        <v>696</v>
      </c>
      <c r="J1230" s="3" t="s">
        <v>307</v>
      </c>
      <c r="K1230" s="4">
        <v>3201907</v>
      </c>
    </row>
    <row r="1231" spans="1:43" s="3" customFormat="1" x14ac:dyDescent="0.3">
      <c r="B1231" s="44">
        <v>45948</v>
      </c>
      <c r="C1231" s="3" t="s">
        <v>416</v>
      </c>
      <c r="D1231" s="3" t="s">
        <v>60</v>
      </c>
      <c r="E1231" s="42"/>
      <c r="F1231" s="3" t="s">
        <v>706</v>
      </c>
      <c r="G1231" s="3" t="s">
        <v>299</v>
      </c>
      <c r="H1231" s="4">
        <v>3199102</v>
      </c>
      <c r="I1231" s="3" t="s">
        <v>667</v>
      </c>
      <c r="J1231" s="3" t="s">
        <v>444</v>
      </c>
      <c r="K1231" s="32">
        <v>3209909</v>
      </c>
    </row>
    <row r="1232" spans="1:43" s="3" customFormat="1" x14ac:dyDescent="0.3">
      <c r="B1232" s="44">
        <v>45948</v>
      </c>
      <c r="C1232" s="3" t="s">
        <v>416</v>
      </c>
      <c r="D1232" s="3" t="s">
        <v>504</v>
      </c>
      <c r="E1232" s="42"/>
      <c r="F1232" s="3" t="s">
        <v>645</v>
      </c>
      <c r="G1232" s="3" t="s">
        <v>37</v>
      </c>
      <c r="H1232" s="4">
        <v>3029903</v>
      </c>
      <c r="I1232" s="3" t="s">
        <v>471</v>
      </c>
      <c r="J1232" s="3" t="s">
        <v>14</v>
      </c>
      <c r="K1232" s="4">
        <v>3348601</v>
      </c>
    </row>
    <row r="1233" spans="2:11" s="3" customFormat="1" x14ac:dyDescent="0.3">
      <c r="B1233" s="44">
        <v>45948</v>
      </c>
      <c r="C1233" s="3" t="s">
        <v>416</v>
      </c>
      <c r="D1233" s="3" t="s">
        <v>61</v>
      </c>
      <c r="E1233" s="42"/>
      <c r="F1233" s="4" t="s">
        <v>645</v>
      </c>
      <c r="G1233" s="4" t="s">
        <v>309</v>
      </c>
      <c r="H1233" s="4">
        <v>3082104</v>
      </c>
      <c r="I1233" s="4" t="s">
        <v>720</v>
      </c>
      <c r="J1233" s="4" t="s">
        <v>335</v>
      </c>
      <c r="K1233" s="4">
        <v>3194201</v>
      </c>
    </row>
    <row r="1234" spans="2:11" s="3" customFormat="1" x14ac:dyDescent="0.3">
      <c r="B1234" s="44">
        <v>45948</v>
      </c>
      <c r="C1234" s="3" t="s">
        <v>416</v>
      </c>
      <c r="D1234" s="3" t="s">
        <v>487</v>
      </c>
      <c r="E1234" s="4"/>
      <c r="F1234" s="4" t="s">
        <v>645</v>
      </c>
      <c r="G1234" s="4" t="s">
        <v>114</v>
      </c>
      <c r="H1234" s="4">
        <v>3351000</v>
      </c>
      <c r="I1234" s="4" t="s">
        <v>692</v>
      </c>
      <c r="J1234" s="4" t="s">
        <v>115</v>
      </c>
      <c r="K1234" s="4">
        <v>3068106</v>
      </c>
    </row>
    <row r="1235" spans="2:11" s="3" customFormat="1" x14ac:dyDescent="0.3">
      <c r="B1235" s="44">
        <v>45948</v>
      </c>
      <c r="C1235" s="3" t="s">
        <v>416</v>
      </c>
      <c r="D1235" s="3" t="s">
        <v>488</v>
      </c>
      <c r="E1235" s="42"/>
      <c r="F1235" s="3" t="s">
        <v>645</v>
      </c>
      <c r="G1235" s="3" t="s">
        <v>123</v>
      </c>
      <c r="H1235" s="4">
        <v>3351104</v>
      </c>
      <c r="I1235" s="3" t="s">
        <v>704</v>
      </c>
      <c r="J1235" s="3" t="s">
        <v>120</v>
      </c>
      <c r="K1235" s="4">
        <v>3355506</v>
      </c>
    </row>
    <row r="1236" spans="2:11" s="3" customFormat="1" x14ac:dyDescent="0.3">
      <c r="B1236" s="44">
        <v>45948</v>
      </c>
      <c r="C1236" s="3" t="s">
        <v>416</v>
      </c>
      <c r="D1236" s="3" t="s">
        <v>491</v>
      </c>
      <c r="E1236" s="42"/>
      <c r="F1236" s="3" t="s">
        <v>645</v>
      </c>
      <c r="G1236" s="3" t="s">
        <v>152</v>
      </c>
      <c r="H1236" s="4">
        <v>3351302</v>
      </c>
      <c r="I1236" s="3" t="s">
        <v>697</v>
      </c>
      <c r="J1236" s="3" t="s">
        <v>150</v>
      </c>
      <c r="K1236" s="4">
        <v>3353706</v>
      </c>
    </row>
    <row r="1237" spans="2:11" s="3" customFormat="1" x14ac:dyDescent="0.3">
      <c r="B1237" s="44">
        <v>45948</v>
      </c>
      <c r="C1237" s="3" t="s">
        <v>416</v>
      </c>
      <c r="D1237" s="3" t="s">
        <v>496</v>
      </c>
      <c r="E1237" s="42"/>
      <c r="F1237" s="4" t="s">
        <v>716</v>
      </c>
      <c r="G1237" s="4" t="s">
        <v>427</v>
      </c>
      <c r="H1237" s="4">
        <v>3351500</v>
      </c>
      <c r="I1237" s="4" t="s">
        <v>687</v>
      </c>
      <c r="J1237" s="4" t="s">
        <v>207</v>
      </c>
      <c r="K1237" s="4">
        <v>3346801</v>
      </c>
    </row>
    <row r="1238" spans="2:11" s="3" customFormat="1" x14ac:dyDescent="0.3">
      <c r="B1238" s="44">
        <v>45948</v>
      </c>
      <c r="C1238" s="3" t="s">
        <v>416</v>
      </c>
      <c r="D1238" s="3" t="s">
        <v>610</v>
      </c>
      <c r="E1238" s="42"/>
      <c r="F1238" s="3" t="s">
        <v>716</v>
      </c>
      <c r="G1238" s="3" t="s">
        <v>433</v>
      </c>
      <c r="H1238" s="4">
        <v>3198905</v>
      </c>
      <c r="I1238" s="4" t="s">
        <v>675</v>
      </c>
      <c r="J1238" s="4" t="s">
        <v>450</v>
      </c>
      <c r="K1238" s="4">
        <v>3198405</v>
      </c>
    </row>
    <row r="1239" spans="2:11" s="3" customFormat="1" x14ac:dyDescent="0.3">
      <c r="B1239" s="44">
        <v>45948</v>
      </c>
      <c r="C1239" s="3" t="s">
        <v>416</v>
      </c>
      <c r="D1239" s="3" t="s">
        <v>497</v>
      </c>
      <c r="E1239" s="42"/>
      <c r="F1239" s="3" t="s">
        <v>678</v>
      </c>
      <c r="G1239" s="3" t="s">
        <v>172</v>
      </c>
      <c r="H1239" s="74">
        <v>3350709</v>
      </c>
      <c r="I1239" s="17" t="s">
        <v>480</v>
      </c>
      <c r="J1239" s="17" t="s">
        <v>428</v>
      </c>
      <c r="K1239" s="74">
        <v>3360309</v>
      </c>
    </row>
    <row r="1240" spans="2:11" s="3" customFormat="1" x14ac:dyDescent="0.3">
      <c r="B1240" s="44">
        <v>45948</v>
      </c>
      <c r="C1240" s="3" t="s">
        <v>416</v>
      </c>
      <c r="D1240" s="3" t="s">
        <v>497</v>
      </c>
      <c r="E1240" s="42"/>
      <c r="F1240" s="17" t="s">
        <v>691</v>
      </c>
      <c r="G1240" s="17" t="s">
        <v>215</v>
      </c>
      <c r="H1240" s="74">
        <v>3350407</v>
      </c>
      <c r="I1240" s="17" t="s">
        <v>657</v>
      </c>
      <c r="J1240" s="17" t="s">
        <v>213</v>
      </c>
      <c r="K1240" s="74">
        <v>3359502</v>
      </c>
    </row>
    <row r="1241" spans="2:11" s="3" customFormat="1" x14ac:dyDescent="0.3">
      <c r="B1241" s="44">
        <v>45948</v>
      </c>
      <c r="C1241" s="3" t="s">
        <v>416</v>
      </c>
      <c r="D1241" s="3" t="s">
        <v>65</v>
      </c>
      <c r="E1241" s="42"/>
      <c r="F1241" s="15" t="s">
        <v>691</v>
      </c>
      <c r="G1241" s="15" t="s">
        <v>327</v>
      </c>
      <c r="H1241" s="74">
        <v>3198603</v>
      </c>
      <c r="I1241" s="4" t="s">
        <v>676</v>
      </c>
      <c r="J1241" s="4" t="s">
        <v>356</v>
      </c>
      <c r="K1241" s="4">
        <v>3208608</v>
      </c>
    </row>
    <row r="1242" spans="2:11" s="3" customFormat="1" x14ac:dyDescent="0.3">
      <c r="B1242" s="44">
        <v>45948</v>
      </c>
      <c r="C1242" s="3" t="s">
        <v>416</v>
      </c>
      <c r="D1242" s="3" t="s">
        <v>500</v>
      </c>
      <c r="E1242" s="42"/>
      <c r="F1242" s="3" t="s">
        <v>691</v>
      </c>
      <c r="G1242" s="3" t="s">
        <v>238</v>
      </c>
      <c r="H1242" s="4">
        <v>3350105</v>
      </c>
      <c r="I1242" s="4" t="s">
        <v>476</v>
      </c>
      <c r="J1242" s="4" t="s">
        <v>575</v>
      </c>
      <c r="K1242" s="4">
        <v>3900005</v>
      </c>
    </row>
    <row r="1243" spans="2:11" s="3" customFormat="1" x14ac:dyDescent="0.3">
      <c r="B1243" s="44">
        <v>45948</v>
      </c>
      <c r="C1243" s="3" t="s">
        <v>416</v>
      </c>
      <c r="D1243" s="3" t="s">
        <v>490</v>
      </c>
      <c r="E1243" s="4"/>
      <c r="F1243" s="3" t="s">
        <v>654</v>
      </c>
      <c r="G1243" s="3" t="s">
        <v>143</v>
      </c>
      <c r="H1243" s="4">
        <v>3349704</v>
      </c>
      <c r="I1243" s="4" t="s">
        <v>475</v>
      </c>
      <c r="J1243" s="4" t="s">
        <v>125</v>
      </c>
      <c r="K1243" s="4">
        <v>3362807</v>
      </c>
    </row>
    <row r="1244" spans="2:11" s="3" customFormat="1" x14ac:dyDescent="0.3">
      <c r="B1244" s="44">
        <v>45948</v>
      </c>
      <c r="C1244" s="3" t="s">
        <v>416</v>
      </c>
      <c r="D1244" s="3" t="s">
        <v>497</v>
      </c>
      <c r="E1244" s="42"/>
      <c r="F1244" s="3" t="s">
        <v>654</v>
      </c>
      <c r="G1244" s="3" t="s">
        <v>438</v>
      </c>
      <c r="H1244" s="74">
        <v>3906207</v>
      </c>
      <c r="I1244" s="15" t="s">
        <v>471</v>
      </c>
      <c r="J1244" s="15" t="s">
        <v>240</v>
      </c>
      <c r="K1244" s="74">
        <v>3348403</v>
      </c>
    </row>
    <row r="1245" spans="2:11" s="3" customFormat="1" x14ac:dyDescent="0.3">
      <c r="B1245" s="44">
        <v>45948</v>
      </c>
      <c r="C1245" s="3" t="s">
        <v>416</v>
      </c>
      <c r="D1245" s="3" t="s">
        <v>489</v>
      </c>
      <c r="E1245" s="4"/>
      <c r="F1245" s="4" t="s">
        <v>712</v>
      </c>
      <c r="G1245" s="4" t="s">
        <v>132</v>
      </c>
      <c r="H1245" s="4">
        <v>3068304</v>
      </c>
      <c r="I1245" s="4" t="s">
        <v>679</v>
      </c>
      <c r="J1245" s="4" t="s">
        <v>135</v>
      </c>
      <c r="K1245" s="4">
        <v>3346603</v>
      </c>
    </row>
    <row r="1246" spans="2:11" s="3" customFormat="1" x14ac:dyDescent="0.3">
      <c r="B1246" s="44">
        <v>45948</v>
      </c>
      <c r="C1246" s="3" t="s">
        <v>416</v>
      </c>
      <c r="D1246" s="3" t="s">
        <v>63</v>
      </c>
      <c r="E1246" s="42"/>
      <c r="F1246" s="104" t="s">
        <v>712</v>
      </c>
      <c r="G1246" s="104" t="s">
        <v>334</v>
      </c>
      <c r="H1246" s="74">
        <v>3198009</v>
      </c>
      <c r="I1246" s="3" t="s">
        <v>478</v>
      </c>
      <c r="J1246" s="3" t="s">
        <v>331</v>
      </c>
      <c r="K1246" s="74">
        <v>3205403</v>
      </c>
    </row>
    <row r="1247" spans="2:11" s="3" customFormat="1" x14ac:dyDescent="0.3">
      <c r="B1247" s="44">
        <v>45948</v>
      </c>
      <c r="C1247" s="3" t="s">
        <v>416</v>
      </c>
      <c r="D1247" s="3" t="s">
        <v>487</v>
      </c>
      <c r="E1247" s="4"/>
      <c r="F1247" s="3" t="s">
        <v>663</v>
      </c>
      <c r="G1247" s="3" t="s">
        <v>419</v>
      </c>
      <c r="H1247" s="4">
        <v>3349204</v>
      </c>
      <c r="I1247" s="4" t="s">
        <v>710</v>
      </c>
      <c r="J1247" s="4" t="s">
        <v>113</v>
      </c>
      <c r="K1247" s="4">
        <v>3352009</v>
      </c>
    </row>
    <row r="1248" spans="2:11" s="3" customFormat="1" x14ac:dyDescent="0.3">
      <c r="B1248" s="44">
        <v>45948</v>
      </c>
      <c r="C1248" s="3" t="s">
        <v>416</v>
      </c>
      <c r="D1248" s="3" t="s">
        <v>500</v>
      </c>
      <c r="E1248" s="42"/>
      <c r="F1248" s="3" t="s">
        <v>663</v>
      </c>
      <c r="G1248" s="3" t="s">
        <v>239</v>
      </c>
      <c r="H1248" s="4">
        <v>3348809</v>
      </c>
      <c r="I1248" s="4" t="s">
        <v>676</v>
      </c>
      <c r="J1248" s="4" t="s">
        <v>577</v>
      </c>
      <c r="K1248" s="4" t="s">
        <v>556</v>
      </c>
    </row>
    <row r="1249" spans="1:43" s="3" customFormat="1" x14ac:dyDescent="0.3">
      <c r="B1249" s="44">
        <v>45948</v>
      </c>
      <c r="C1249" s="3" t="s">
        <v>416</v>
      </c>
      <c r="D1249" s="3" t="s">
        <v>593</v>
      </c>
      <c r="E1249" s="42"/>
      <c r="F1249" s="3" t="s">
        <v>663</v>
      </c>
      <c r="G1249" s="3" t="s">
        <v>396</v>
      </c>
      <c r="H1249" s="4">
        <v>3197104</v>
      </c>
      <c r="I1249" s="4" t="s">
        <v>694</v>
      </c>
      <c r="J1249" s="4" t="s">
        <v>632</v>
      </c>
      <c r="K1249" s="4">
        <v>4023303</v>
      </c>
    </row>
    <row r="1250" spans="1:43" s="3" customFormat="1" x14ac:dyDescent="0.3">
      <c r="B1250" s="44">
        <v>45948</v>
      </c>
      <c r="C1250" s="3" t="s">
        <v>416</v>
      </c>
      <c r="D1250" s="3" t="s">
        <v>590</v>
      </c>
      <c r="E1250" s="42"/>
      <c r="F1250" s="4" t="s">
        <v>471</v>
      </c>
      <c r="G1250" s="4" t="s">
        <v>291</v>
      </c>
      <c r="H1250" s="4">
        <v>3196709</v>
      </c>
      <c r="I1250" s="4" t="s">
        <v>479</v>
      </c>
      <c r="J1250" s="4" t="s">
        <v>284</v>
      </c>
      <c r="K1250" s="4">
        <v>3210904</v>
      </c>
    </row>
    <row r="1251" spans="1:43" s="3" customFormat="1" x14ac:dyDescent="0.3">
      <c r="B1251" s="44">
        <v>45948</v>
      </c>
      <c r="C1251" s="3" t="s">
        <v>416</v>
      </c>
      <c r="D1251" s="3" t="s">
        <v>493</v>
      </c>
      <c r="E1251" s="42"/>
      <c r="F1251" s="3" t="s">
        <v>471</v>
      </c>
      <c r="G1251" s="3" t="s">
        <v>174</v>
      </c>
      <c r="H1251" s="4">
        <v>3348101</v>
      </c>
      <c r="I1251" s="4" t="s">
        <v>471</v>
      </c>
      <c r="J1251" s="4" t="s">
        <v>190</v>
      </c>
      <c r="K1251" s="4">
        <v>3348205</v>
      </c>
    </row>
    <row r="1252" spans="1:43" s="3" customFormat="1" x14ac:dyDescent="0.3">
      <c r="B1252" s="44">
        <v>45948</v>
      </c>
      <c r="C1252" s="3" t="s">
        <v>416</v>
      </c>
      <c r="D1252" s="3" t="s">
        <v>65</v>
      </c>
      <c r="E1252" s="42"/>
      <c r="F1252" s="3" t="s">
        <v>471</v>
      </c>
      <c r="G1252" s="3" t="s">
        <v>363</v>
      </c>
      <c r="H1252" s="4">
        <v>3196907</v>
      </c>
      <c r="I1252" s="4" t="s">
        <v>678</v>
      </c>
      <c r="J1252" s="4" t="s">
        <v>452</v>
      </c>
      <c r="K1252" s="4">
        <v>3198207</v>
      </c>
    </row>
    <row r="1253" spans="1:43" s="3" customFormat="1" x14ac:dyDescent="0.3">
      <c r="B1253" s="44">
        <v>45948</v>
      </c>
      <c r="C1253" s="3" t="s">
        <v>416</v>
      </c>
      <c r="D1253" s="3" t="s">
        <v>493</v>
      </c>
      <c r="E1253" s="42"/>
      <c r="F1253" s="3" t="s">
        <v>471</v>
      </c>
      <c r="G1253" s="3" t="s">
        <v>217</v>
      </c>
      <c r="H1253" s="4">
        <v>3348309</v>
      </c>
      <c r="I1253" s="4" t="s">
        <v>476</v>
      </c>
      <c r="J1253" s="4" t="s">
        <v>170</v>
      </c>
      <c r="K1253" s="4">
        <v>3356703</v>
      </c>
    </row>
    <row r="1254" spans="1:43" s="3" customFormat="1" x14ac:dyDescent="0.3">
      <c r="B1254" s="44">
        <v>45948</v>
      </c>
      <c r="C1254" s="3" t="s">
        <v>416</v>
      </c>
      <c r="D1254" s="3" t="s">
        <v>500</v>
      </c>
      <c r="E1254" s="42"/>
      <c r="F1254" s="3" t="s">
        <v>471</v>
      </c>
      <c r="G1254" s="3" t="s">
        <v>467</v>
      </c>
      <c r="H1254" s="4">
        <v>3819409</v>
      </c>
      <c r="I1254" s="4" t="s">
        <v>654</v>
      </c>
      <c r="J1254" s="4" t="s">
        <v>576</v>
      </c>
      <c r="K1254" s="4">
        <v>4009003</v>
      </c>
    </row>
    <row r="1255" spans="1:43" s="3" customFormat="1" x14ac:dyDescent="0.3">
      <c r="B1255" s="44">
        <v>45948</v>
      </c>
      <c r="C1255" s="3" t="s">
        <v>416</v>
      </c>
      <c r="D1255" s="3" t="s">
        <v>64</v>
      </c>
      <c r="E1255" s="42">
        <v>4370907</v>
      </c>
      <c r="F1255" s="3" t="s">
        <v>692</v>
      </c>
      <c r="G1255" s="3" t="s">
        <v>342</v>
      </c>
      <c r="H1255" s="4">
        <v>3196501</v>
      </c>
      <c r="I1255" s="4" t="s">
        <v>646</v>
      </c>
      <c r="J1255" s="4" t="s">
        <v>349</v>
      </c>
      <c r="K1255" s="4">
        <v>3202500</v>
      </c>
    </row>
    <row r="1256" spans="1:43" s="3" customFormat="1" x14ac:dyDescent="0.3">
      <c r="B1256" s="44">
        <v>45948</v>
      </c>
      <c r="C1256" s="3" t="s">
        <v>416</v>
      </c>
      <c r="D1256" s="3" t="s">
        <v>491</v>
      </c>
      <c r="E1256" s="42"/>
      <c r="F1256" s="3" t="s">
        <v>698</v>
      </c>
      <c r="G1256" s="3" t="s">
        <v>567</v>
      </c>
      <c r="H1256" s="4" t="s">
        <v>556</v>
      </c>
      <c r="I1256" s="4" t="s">
        <v>709</v>
      </c>
      <c r="J1256" s="4" t="s">
        <v>566</v>
      </c>
      <c r="K1256" s="4">
        <v>3560703</v>
      </c>
    </row>
    <row r="1257" spans="1:43" s="3" customFormat="1" x14ac:dyDescent="0.3">
      <c r="B1257" s="44">
        <v>45948</v>
      </c>
      <c r="C1257" s="3" t="s">
        <v>416</v>
      </c>
      <c r="D1257" s="3" t="s">
        <v>60</v>
      </c>
      <c r="E1257" s="42"/>
      <c r="F1257" s="3" t="s">
        <v>698</v>
      </c>
      <c r="G1257" s="3" t="s">
        <v>595</v>
      </c>
      <c r="H1257" s="4" t="s">
        <v>563</v>
      </c>
      <c r="I1257" s="3" t="s">
        <v>667</v>
      </c>
      <c r="J1257" s="3" t="s">
        <v>294</v>
      </c>
      <c r="K1257" s="32">
        <v>3209409</v>
      </c>
    </row>
    <row r="1258" spans="1:43" s="3" customFormat="1" x14ac:dyDescent="0.3">
      <c r="B1258" s="44">
        <v>45948</v>
      </c>
      <c r="C1258" s="3" t="s">
        <v>416</v>
      </c>
      <c r="D1258" s="3" t="s">
        <v>495</v>
      </c>
      <c r="E1258" s="42"/>
      <c r="F1258" s="3" t="s">
        <v>699</v>
      </c>
      <c r="G1258" s="3" t="s">
        <v>569</v>
      </c>
      <c r="H1258" s="4">
        <v>3125708</v>
      </c>
      <c r="I1258" s="3" t="s">
        <v>570</v>
      </c>
      <c r="J1258" s="3" t="s">
        <v>570</v>
      </c>
      <c r="K1258" s="4" t="s">
        <v>556</v>
      </c>
    </row>
    <row r="1259" spans="1:43" s="3" customFormat="1" x14ac:dyDescent="0.3">
      <c r="B1259" s="44">
        <v>45948</v>
      </c>
      <c r="C1259" s="3" t="s">
        <v>416</v>
      </c>
      <c r="D1259" s="3" t="s">
        <v>590</v>
      </c>
      <c r="E1259" s="42"/>
      <c r="F1259" s="3" t="s">
        <v>699</v>
      </c>
      <c r="G1259" s="3" t="s">
        <v>594</v>
      </c>
      <c r="H1259" s="4">
        <v>3196407</v>
      </c>
      <c r="I1259" s="4" t="s">
        <v>648</v>
      </c>
      <c r="J1259" s="4" t="s">
        <v>449</v>
      </c>
      <c r="K1259" s="4">
        <v>3961500</v>
      </c>
    </row>
    <row r="1260" spans="1:43" s="3" customFormat="1" x14ac:dyDescent="0.3">
      <c r="B1260" s="44">
        <v>45948</v>
      </c>
      <c r="C1260" s="3" t="s">
        <v>416</v>
      </c>
      <c r="D1260" s="4" t="s">
        <v>614</v>
      </c>
      <c r="E1260" s="42"/>
      <c r="F1260" s="3" t="s">
        <v>699</v>
      </c>
      <c r="G1260" s="3" t="s">
        <v>624</v>
      </c>
      <c r="H1260" s="4">
        <v>3196105</v>
      </c>
      <c r="I1260" s="4" t="s">
        <v>713</v>
      </c>
      <c r="J1260" s="4" t="s">
        <v>386</v>
      </c>
      <c r="K1260" s="4">
        <v>3900807</v>
      </c>
    </row>
    <row r="1261" spans="1:43" s="3" customFormat="1" x14ac:dyDescent="0.3">
      <c r="B1261" s="44">
        <v>45948</v>
      </c>
      <c r="C1261" s="3" t="s">
        <v>416</v>
      </c>
      <c r="D1261" s="3" t="s">
        <v>486</v>
      </c>
      <c r="E1261" s="42"/>
      <c r="F1261" s="3" t="s">
        <v>681</v>
      </c>
      <c r="G1261" s="3" t="s">
        <v>105</v>
      </c>
      <c r="H1261" s="4">
        <v>3035809</v>
      </c>
      <c r="I1261" s="3" t="s">
        <v>671</v>
      </c>
      <c r="J1261" s="3" t="s">
        <v>108</v>
      </c>
      <c r="K1261" s="4">
        <v>3359700</v>
      </c>
    </row>
    <row r="1262" spans="1:43" s="3" customFormat="1" x14ac:dyDescent="0.3">
      <c r="B1262" s="44">
        <v>45948</v>
      </c>
      <c r="C1262" s="3" t="s">
        <v>416</v>
      </c>
      <c r="D1262" s="3" t="s">
        <v>497</v>
      </c>
      <c r="E1262" s="42"/>
      <c r="F1262" s="3" t="s">
        <v>681</v>
      </c>
      <c r="G1262" s="3" t="s">
        <v>175</v>
      </c>
      <c r="H1262" s="74">
        <v>3347800</v>
      </c>
      <c r="I1262" s="17" t="s">
        <v>653</v>
      </c>
      <c r="J1262" s="17" t="s">
        <v>209</v>
      </c>
      <c r="K1262" s="74">
        <v>3360705</v>
      </c>
    </row>
    <row r="1263" spans="1:43" s="3" customFormat="1" x14ac:dyDescent="0.3">
      <c r="B1263" s="44">
        <v>45948</v>
      </c>
      <c r="C1263" s="3" t="s">
        <v>416</v>
      </c>
      <c r="D1263" s="3" t="s">
        <v>593</v>
      </c>
      <c r="E1263" s="42"/>
      <c r="F1263" s="3" t="s">
        <v>681</v>
      </c>
      <c r="G1263" s="3" t="s">
        <v>397</v>
      </c>
      <c r="H1263" s="4">
        <v>3195908</v>
      </c>
      <c r="I1263" s="4" t="s">
        <v>679</v>
      </c>
      <c r="J1263" s="4" t="s">
        <v>633</v>
      </c>
      <c r="K1263" s="4">
        <v>3194607</v>
      </c>
    </row>
    <row r="1264" spans="1:43" s="3" customFormat="1" x14ac:dyDescent="0.3">
      <c r="A1264" s="4"/>
      <c r="B1264" s="100">
        <v>45948</v>
      </c>
      <c r="C1264" s="98" t="s">
        <v>553</v>
      </c>
      <c r="D1264" s="4" t="s">
        <v>508</v>
      </c>
      <c r="E1264" s="4"/>
      <c r="F1264" s="73" t="s">
        <v>509</v>
      </c>
      <c r="G1264" s="73" t="s">
        <v>509</v>
      </c>
      <c r="H1264" s="73"/>
      <c r="I1264" s="73" t="s">
        <v>475</v>
      </c>
      <c r="J1264" s="73" t="s">
        <v>475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</row>
    <row r="1265" spans="1:43" s="3" customFormat="1" x14ac:dyDescent="0.3">
      <c r="B1265" s="44">
        <v>45948</v>
      </c>
      <c r="C1265" s="3" t="s">
        <v>416</v>
      </c>
      <c r="D1265" s="3" t="s">
        <v>64</v>
      </c>
      <c r="E1265" s="42">
        <v>4370907</v>
      </c>
      <c r="F1265" s="3" t="s">
        <v>670</v>
      </c>
      <c r="G1265" s="3" t="s">
        <v>343</v>
      </c>
      <c r="H1265" s="4">
        <v>3195606</v>
      </c>
      <c r="I1265" s="4" t="s">
        <v>710</v>
      </c>
      <c r="J1265" s="4" t="s">
        <v>354</v>
      </c>
      <c r="K1265" s="4">
        <v>3199404</v>
      </c>
    </row>
    <row r="1266" spans="1:43" s="3" customFormat="1" x14ac:dyDescent="0.3">
      <c r="B1266" s="44">
        <v>45948</v>
      </c>
      <c r="C1266" s="3" t="s">
        <v>416</v>
      </c>
      <c r="D1266" s="3" t="s">
        <v>495</v>
      </c>
      <c r="E1266" s="42"/>
      <c r="F1266" s="3" t="s">
        <v>670</v>
      </c>
      <c r="G1266" s="3" t="s">
        <v>224</v>
      </c>
      <c r="H1266" s="4">
        <v>3347008</v>
      </c>
      <c r="I1266" s="3" t="s">
        <v>685</v>
      </c>
      <c r="J1266" s="3" t="s">
        <v>196</v>
      </c>
      <c r="K1266" s="4">
        <v>3353102</v>
      </c>
    </row>
    <row r="1267" spans="1:43" s="3" customFormat="1" x14ac:dyDescent="0.3">
      <c r="B1267" s="44">
        <v>45948</v>
      </c>
      <c r="C1267" s="3" t="s">
        <v>416</v>
      </c>
      <c r="D1267" s="3" t="s">
        <v>64</v>
      </c>
      <c r="E1267" s="42">
        <v>4370907</v>
      </c>
      <c r="F1267" s="3" t="s">
        <v>673</v>
      </c>
      <c r="G1267" s="3" t="s">
        <v>355</v>
      </c>
      <c r="H1267" s="4">
        <v>3195002</v>
      </c>
      <c r="I1267" s="4" t="s">
        <v>662</v>
      </c>
      <c r="J1267" s="4" t="s">
        <v>372</v>
      </c>
      <c r="K1267" s="4">
        <v>3207703</v>
      </c>
    </row>
    <row r="1268" spans="1:43" s="3" customFormat="1" x14ac:dyDescent="0.3">
      <c r="B1268" s="44">
        <v>45948</v>
      </c>
      <c r="C1268" s="3" t="s">
        <v>416</v>
      </c>
      <c r="D1268" s="4" t="s">
        <v>614</v>
      </c>
      <c r="E1268" s="42"/>
      <c r="F1268" s="3" t="s">
        <v>673</v>
      </c>
      <c r="G1268" s="3" t="s">
        <v>455</v>
      </c>
      <c r="H1268" s="4">
        <v>3961604</v>
      </c>
      <c r="I1268" s="4" t="s">
        <v>713</v>
      </c>
      <c r="J1268" s="4" t="s">
        <v>623</v>
      </c>
      <c r="K1268" s="4">
        <v>3819305</v>
      </c>
    </row>
    <row r="1269" spans="1:43" s="3" customFormat="1" x14ac:dyDescent="0.3">
      <c r="B1269" s="44">
        <v>45948</v>
      </c>
      <c r="C1269" s="3" t="s">
        <v>416</v>
      </c>
      <c r="D1269" s="3" t="s">
        <v>495</v>
      </c>
      <c r="E1269" s="42"/>
      <c r="F1269" s="3" t="s">
        <v>673</v>
      </c>
      <c r="G1269" s="3" t="s">
        <v>200</v>
      </c>
      <c r="H1269" s="53">
        <v>3901004</v>
      </c>
      <c r="I1269" s="3" t="s">
        <v>713</v>
      </c>
      <c r="J1269" s="3" t="s">
        <v>199</v>
      </c>
      <c r="K1269" s="4">
        <v>3349100</v>
      </c>
    </row>
    <row r="1270" spans="1:43" s="3" customFormat="1" x14ac:dyDescent="0.3">
      <c r="B1270" s="44">
        <v>45948</v>
      </c>
      <c r="C1270" s="3" t="s">
        <v>416</v>
      </c>
      <c r="D1270" s="3" t="s">
        <v>67</v>
      </c>
      <c r="E1270" s="42"/>
      <c r="F1270" s="3" t="s">
        <v>717</v>
      </c>
      <c r="G1270" s="3" t="s">
        <v>435</v>
      </c>
      <c r="H1270" s="4">
        <v>3195200</v>
      </c>
      <c r="I1270" s="4" t="s">
        <v>570</v>
      </c>
      <c r="J1270" s="4" t="s">
        <v>570</v>
      </c>
      <c r="K1270" s="4" t="s">
        <v>556</v>
      </c>
    </row>
    <row r="1271" spans="1:43" s="3" customFormat="1" x14ac:dyDescent="0.3">
      <c r="B1271" s="44">
        <v>45948</v>
      </c>
      <c r="C1271" s="3" t="s">
        <v>416</v>
      </c>
      <c r="D1271" s="3" t="s">
        <v>58</v>
      </c>
      <c r="E1271" s="42"/>
      <c r="F1271" s="3" t="s">
        <v>721</v>
      </c>
      <c r="G1271" s="3" t="s">
        <v>271</v>
      </c>
      <c r="H1271" s="4">
        <v>3194701</v>
      </c>
      <c r="I1271" s="3" t="s">
        <v>712</v>
      </c>
      <c r="J1271" s="3" t="s">
        <v>270</v>
      </c>
      <c r="K1271" s="4">
        <v>3069605</v>
      </c>
    </row>
    <row r="1272" spans="1:43" s="3" customFormat="1" x14ac:dyDescent="0.3">
      <c r="B1272" s="44">
        <v>45948</v>
      </c>
      <c r="C1272" s="3" t="s">
        <v>416</v>
      </c>
      <c r="D1272" s="3" t="s">
        <v>60</v>
      </c>
      <c r="E1272" s="42"/>
      <c r="F1272" s="3" t="s">
        <v>721</v>
      </c>
      <c r="G1272" s="3" t="s">
        <v>300</v>
      </c>
      <c r="H1272" s="4">
        <v>3194805</v>
      </c>
      <c r="I1272" s="3" t="s">
        <v>473</v>
      </c>
      <c r="J1272" s="3" t="s">
        <v>445</v>
      </c>
      <c r="K1272" s="4">
        <v>3204102</v>
      </c>
    </row>
    <row r="1273" spans="1:43" s="3" customFormat="1" x14ac:dyDescent="0.3">
      <c r="B1273" s="44">
        <v>45948</v>
      </c>
      <c r="C1273" s="3" t="s">
        <v>416</v>
      </c>
      <c r="D1273" s="3" t="s">
        <v>56</v>
      </c>
      <c r="E1273" s="42"/>
      <c r="F1273" s="4" t="s">
        <v>688</v>
      </c>
      <c r="G1273" s="4" t="s">
        <v>264</v>
      </c>
      <c r="H1273" s="4">
        <v>3055603</v>
      </c>
      <c r="I1273" s="4" t="s">
        <v>696</v>
      </c>
      <c r="J1273" s="4" t="s">
        <v>261</v>
      </c>
      <c r="K1273" s="4">
        <v>3202302</v>
      </c>
    </row>
    <row r="1274" spans="1:43" s="3" customFormat="1" x14ac:dyDescent="0.3">
      <c r="B1274" s="44">
        <v>45948</v>
      </c>
      <c r="C1274" s="3" t="s">
        <v>416</v>
      </c>
      <c r="D1274" s="3" t="s">
        <v>67</v>
      </c>
      <c r="E1274" s="42"/>
      <c r="F1274" s="3" t="s">
        <v>688</v>
      </c>
      <c r="G1274" s="3" t="s">
        <v>344</v>
      </c>
      <c r="H1274" s="4">
        <v>3194909</v>
      </c>
      <c r="I1274" s="3" t="s">
        <v>472</v>
      </c>
      <c r="J1274" s="3" t="s">
        <v>374</v>
      </c>
      <c r="K1274" s="4">
        <v>3207203</v>
      </c>
    </row>
    <row r="1275" spans="1:43" s="3" customFormat="1" x14ac:dyDescent="0.3">
      <c r="B1275" s="44">
        <v>45948</v>
      </c>
      <c r="C1275" s="3" t="s">
        <v>416</v>
      </c>
      <c r="D1275" s="3" t="s">
        <v>487</v>
      </c>
      <c r="E1275" s="4"/>
      <c r="F1275" s="3" t="s">
        <v>647</v>
      </c>
      <c r="G1275" s="3" t="s">
        <v>116</v>
      </c>
      <c r="H1275" s="4">
        <v>3346009</v>
      </c>
      <c r="I1275" s="3" t="s">
        <v>695</v>
      </c>
      <c r="J1275" s="3" t="s">
        <v>101</v>
      </c>
      <c r="K1275" s="4">
        <v>3067305</v>
      </c>
    </row>
    <row r="1276" spans="1:43" s="3" customFormat="1" x14ac:dyDescent="0.3">
      <c r="B1276" s="44">
        <v>45948</v>
      </c>
      <c r="C1276" s="3" t="s">
        <v>416</v>
      </c>
      <c r="D1276" s="3" t="s">
        <v>67</v>
      </c>
      <c r="E1276" s="42"/>
      <c r="F1276" s="4" t="s">
        <v>647</v>
      </c>
      <c r="G1276" s="4" t="s">
        <v>345</v>
      </c>
      <c r="H1276" s="4">
        <v>3194003</v>
      </c>
      <c r="I1276" s="3" t="s">
        <v>708</v>
      </c>
      <c r="J1276" s="3" t="s">
        <v>339</v>
      </c>
      <c r="K1276" s="4">
        <v>3204300</v>
      </c>
    </row>
    <row r="1277" spans="1:43" s="3" customFormat="1" x14ac:dyDescent="0.3">
      <c r="A1277" s="4"/>
      <c r="B1277" s="100">
        <v>45949</v>
      </c>
      <c r="C1277" s="98" t="s">
        <v>553</v>
      </c>
      <c r="D1277" s="4" t="s">
        <v>516</v>
      </c>
      <c r="E1277" s="4"/>
      <c r="F1277" s="73" t="s">
        <v>474</v>
      </c>
      <c r="G1277" s="73" t="s">
        <v>474</v>
      </c>
      <c r="H1277" s="73"/>
      <c r="I1277" s="73" t="s">
        <v>527</v>
      </c>
      <c r="J1277" s="73" t="s">
        <v>527</v>
      </c>
      <c r="K1277" s="15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</row>
    <row r="1278" spans="1:43" s="3" customFormat="1" x14ac:dyDescent="0.3">
      <c r="A1278" s="4"/>
      <c r="B1278" s="100">
        <v>45949</v>
      </c>
      <c r="C1278" s="98" t="s">
        <v>553</v>
      </c>
      <c r="D1278" s="4" t="s">
        <v>516</v>
      </c>
      <c r="E1278" s="4"/>
      <c r="F1278" s="73" t="s">
        <v>518</v>
      </c>
      <c r="G1278" s="73" t="s">
        <v>518</v>
      </c>
      <c r="H1278" s="73"/>
      <c r="I1278" s="73" t="s">
        <v>476</v>
      </c>
      <c r="J1278" s="73" t="s">
        <v>476</v>
      </c>
      <c r="K1278" s="4"/>
      <c r="L1278" s="32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</row>
    <row r="1279" spans="1:43" s="3" customFormat="1" x14ac:dyDescent="0.3">
      <c r="A1279" s="4"/>
      <c r="B1279" s="100">
        <v>45949</v>
      </c>
      <c r="C1279" s="98" t="s">
        <v>553</v>
      </c>
      <c r="D1279" s="4" t="s">
        <v>521</v>
      </c>
      <c r="E1279" s="4"/>
      <c r="F1279" s="73" t="s">
        <v>529</v>
      </c>
      <c r="G1279" s="73" t="s">
        <v>529</v>
      </c>
      <c r="H1279" s="73"/>
      <c r="I1279" s="73" t="s">
        <v>472</v>
      </c>
      <c r="J1279" s="73" t="s">
        <v>472</v>
      </c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</row>
    <row r="1280" spans="1:43" s="3" customFormat="1" x14ac:dyDescent="0.3">
      <c r="A1280" s="4"/>
      <c r="B1280" s="100">
        <v>45949</v>
      </c>
      <c r="C1280" s="98" t="s">
        <v>553</v>
      </c>
      <c r="D1280" s="4" t="s">
        <v>521</v>
      </c>
      <c r="E1280" s="4"/>
      <c r="F1280" s="73" t="s">
        <v>471</v>
      </c>
      <c r="G1280" s="73" t="s">
        <v>471</v>
      </c>
      <c r="H1280" s="73"/>
      <c r="I1280" s="73" t="s">
        <v>479</v>
      </c>
      <c r="J1280" s="73" t="s">
        <v>479</v>
      </c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</row>
    <row r="1281" spans="1:43" s="3" customFormat="1" x14ac:dyDescent="0.3">
      <c r="A1281" s="4"/>
      <c r="B1281" s="99">
        <v>45955</v>
      </c>
      <c r="C1281" s="98" t="s">
        <v>553</v>
      </c>
      <c r="D1281" s="4" t="s">
        <v>506</v>
      </c>
      <c r="E1281" s="4"/>
      <c r="F1281" s="73" t="s">
        <v>526</v>
      </c>
      <c r="G1281" s="73" t="s">
        <v>526</v>
      </c>
      <c r="H1281" s="73"/>
      <c r="I1281" s="73" t="s">
        <v>480</v>
      </c>
      <c r="J1281" s="73" t="s">
        <v>480</v>
      </c>
      <c r="K1281" s="4"/>
      <c r="L1281" s="32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</row>
    <row r="1282" spans="1:43" s="3" customFormat="1" x14ac:dyDescent="0.3">
      <c r="A1282" s="4"/>
      <c r="B1282" s="99">
        <v>45955</v>
      </c>
      <c r="C1282" s="98" t="s">
        <v>553</v>
      </c>
      <c r="D1282" s="4" t="s">
        <v>514</v>
      </c>
      <c r="E1282" s="4"/>
      <c r="F1282" s="73" t="s">
        <v>542</v>
      </c>
      <c r="G1282" s="73" t="s">
        <v>542</v>
      </c>
      <c r="H1282" s="73"/>
      <c r="I1282" s="73" t="s">
        <v>479</v>
      </c>
      <c r="J1282" s="73" t="s">
        <v>479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</row>
    <row r="1283" spans="1:43" s="3" customFormat="1" x14ac:dyDescent="0.3">
      <c r="A1283" s="4"/>
      <c r="B1283" s="99">
        <v>45956</v>
      </c>
      <c r="C1283" s="98" t="s">
        <v>553</v>
      </c>
      <c r="D1283" s="4" t="s">
        <v>506</v>
      </c>
      <c r="E1283" s="4"/>
      <c r="F1283" s="73" t="s">
        <v>545</v>
      </c>
      <c r="G1283" s="73" t="s">
        <v>545</v>
      </c>
      <c r="H1283" s="73"/>
      <c r="I1283" s="73" t="s">
        <v>480</v>
      </c>
      <c r="J1283" s="73" t="s">
        <v>480</v>
      </c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</row>
    <row r="1284" spans="1:43" s="3" customFormat="1" x14ac:dyDescent="0.3">
      <c r="A1284" s="4"/>
      <c r="B1284" s="99">
        <v>45956</v>
      </c>
      <c r="C1284" s="98" t="s">
        <v>553</v>
      </c>
      <c r="D1284" s="4" t="s">
        <v>514</v>
      </c>
      <c r="E1284" s="4"/>
      <c r="F1284" s="73" t="s">
        <v>545</v>
      </c>
      <c r="G1284" s="73" t="s">
        <v>545</v>
      </c>
      <c r="H1284" s="73"/>
      <c r="I1284" s="73" t="s">
        <v>479</v>
      </c>
      <c r="J1284" s="73" t="s">
        <v>479</v>
      </c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</row>
    <row r="1285" spans="1:43" s="3" customFormat="1" x14ac:dyDescent="0.3">
      <c r="A1285" s="4"/>
      <c r="B1285" s="100">
        <v>45962</v>
      </c>
      <c r="C1285" s="98" t="s">
        <v>553</v>
      </c>
      <c r="D1285" s="4" t="s">
        <v>508</v>
      </c>
      <c r="E1285" s="4"/>
      <c r="F1285" s="73" t="s">
        <v>475</v>
      </c>
      <c r="G1285" s="73" t="s">
        <v>475</v>
      </c>
      <c r="H1285" s="73"/>
      <c r="I1285" s="73" t="s">
        <v>532</v>
      </c>
      <c r="J1285" s="73" t="s">
        <v>532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</row>
    <row r="1286" spans="1:43" s="3" customFormat="1" x14ac:dyDescent="0.3">
      <c r="B1286" s="44">
        <v>45962</v>
      </c>
      <c r="C1286" s="3" t="s">
        <v>416</v>
      </c>
      <c r="D1286" s="3" t="s">
        <v>490</v>
      </c>
      <c r="E1286" s="4"/>
      <c r="F1286" s="3" t="s">
        <v>475</v>
      </c>
      <c r="G1286" s="3" t="s">
        <v>125</v>
      </c>
      <c r="H1286" s="4">
        <v>3362807</v>
      </c>
      <c r="I1286" s="4" t="s">
        <v>676</v>
      </c>
      <c r="J1286" s="4" t="s">
        <v>138</v>
      </c>
      <c r="K1286" s="4">
        <v>3067805</v>
      </c>
    </row>
    <row r="1287" spans="1:43" s="3" customFormat="1" x14ac:dyDescent="0.3">
      <c r="B1287" s="44">
        <v>45962</v>
      </c>
      <c r="C1287" s="3" t="s">
        <v>416</v>
      </c>
      <c r="D1287" s="3" t="s">
        <v>64</v>
      </c>
      <c r="E1287" s="42">
        <v>4370907</v>
      </c>
      <c r="F1287" s="3" t="s">
        <v>475</v>
      </c>
      <c r="G1287" s="3" t="s">
        <v>310</v>
      </c>
      <c r="H1287" s="4">
        <v>3212402</v>
      </c>
      <c r="I1287" s="4" t="s">
        <v>672</v>
      </c>
      <c r="J1287" s="4" t="s">
        <v>316</v>
      </c>
      <c r="K1287" s="4">
        <v>3069105</v>
      </c>
    </row>
    <row r="1288" spans="1:43" s="3" customFormat="1" x14ac:dyDescent="0.3">
      <c r="B1288" s="44">
        <v>45962</v>
      </c>
      <c r="C1288" s="3" t="s">
        <v>416</v>
      </c>
      <c r="D1288" s="3" t="s">
        <v>494</v>
      </c>
      <c r="E1288" s="42"/>
      <c r="F1288" s="3" t="s">
        <v>475</v>
      </c>
      <c r="G1288" s="3" t="s">
        <v>183</v>
      </c>
      <c r="H1288" s="4">
        <v>3362901</v>
      </c>
      <c r="I1288" s="3" t="s">
        <v>662</v>
      </c>
      <c r="J1288" s="3" t="s">
        <v>218</v>
      </c>
      <c r="K1288" s="4">
        <v>3358201</v>
      </c>
    </row>
    <row r="1289" spans="1:43" s="3" customFormat="1" x14ac:dyDescent="0.3">
      <c r="B1289" s="44">
        <v>45962</v>
      </c>
      <c r="C1289" s="3" t="s">
        <v>416</v>
      </c>
      <c r="D1289" s="3" t="s">
        <v>70</v>
      </c>
      <c r="E1289" s="42"/>
      <c r="F1289" s="3" t="s">
        <v>475</v>
      </c>
      <c r="G1289" s="3" t="s">
        <v>370</v>
      </c>
      <c r="H1289" s="4">
        <v>3211903</v>
      </c>
      <c r="I1289" s="3" t="s">
        <v>662</v>
      </c>
      <c r="J1289" s="3" t="s">
        <v>399</v>
      </c>
      <c r="K1289" s="4">
        <v>3207401</v>
      </c>
    </row>
    <row r="1290" spans="1:43" s="3" customFormat="1" x14ac:dyDescent="0.3">
      <c r="B1290" s="44">
        <v>45962</v>
      </c>
      <c r="C1290" s="3" t="s">
        <v>416</v>
      </c>
      <c r="D1290" s="3" t="s">
        <v>501</v>
      </c>
      <c r="E1290" s="42"/>
      <c r="F1290" s="3" t="s">
        <v>475</v>
      </c>
      <c r="G1290" s="3" t="s">
        <v>241</v>
      </c>
      <c r="H1290" s="4">
        <v>3362401</v>
      </c>
      <c r="I1290" s="3" t="s">
        <v>689</v>
      </c>
      <c r="J1290" s="3" t="s">
        <v>580</v>
      </c>
      <c r="K1290" s="4">
        <v>3350001</v>
      </c>
      <c r="M1290" s="51"/>
    </row>
    <row r="1291" spans="1:43" s="3" customFormat="1" x14ac:dyDescent="0.3">
      <c r="B1291" s="44">
        <v>45962</v>
      </c>
      <c r="C1291" s="3" t="s">
        <v>416</v>
      </c>
      <c r="D1291" s="3" t="s">
        <v>60</v>
      </c>
      <c r="E1291" s="42"/>
      <c r="F1291" s="32" t="s">
        <v>705</v>
      </c>
      <c r="G1291" s="32" t="s">
        <v>293</v>
      </c>
      <c r="H1291" s="15">
        <v>3211705</v>
      </c>
      <c r="I1291" s="3" t="s">
        <v>698</v>
      </c>
      <c r="J1291" s="3" t="s">
        <v>595</v>
      </c>
      <c r="K1291" s="32" t="s">
        <v>563</v>
      </c>
    </row>
    <row r="1292" spans="1:43" s="3" customFormat="1" x14ac:dyDescent="0.3">
      <c r="B1292" s="44">
        <v>45962</v>
      </c>
      <c r="C1292" s="3" t="s">
        <v>416</v>
      </c>
      <c r="D1292" s="3" t="s">
        <v>590</v>
      </c>
      <c r="E1292" s="42"/>
      <c r="F1292" s="3" t="s">
        <v>648</v>
      </c>
      <c r="G1292" s="3" t="s">
        <v>449</v>
      </c>
      <c r="H1292" s="4">
        <v>3961500</v>
      </c>
      <c r="I1292" s="3" t="s">
        <v>693</v>
      </c>
      <c r="J1292" s="3" t="s">
        <v>322</v>
      </c>
      <c r="K1292" s="4">
        <v>3207005</v>
      </c>
    </row>
    <row r="1293" spans="1:43" s="3" customFormat="1" x14ac:dyDescent="0.3">
      <c r="B1293" s="44">
        <v>45962</v>
      </c>
      <c r="C1293" s="3" t="s">
        <v>416</v>
      </c>
      <c r="D1293" s="3" t="s">
        <v>68</v>
      </c>
      <c r="E1293" s="42"/>
      <c r="F1293" s="3" t="s">
        <v>649</v>
      </c>
      <c r="G1293" s="3" t="s">
        <v>456</v>
      </c>
      <c r="H1293" s="4">
        <v>3545602</v>
      </c>
      <c r="I1293" s="15" t="s">
        <v>664</v>
      </c>
      <c r="J1293" s="15" t="s">
        <v>388</v>
      </c>
      <c r="K1293" s="74">
        <v>3165306</v>
      </c>
    </row>
    <row r="1294" spans="1:43" s="3" customFormat="1" x14ac:dyDescent="0.3">
      <c r="B1294" s="44">
        <v>45962</v>
      </c>
      <c r="C1294" s="3" t="s">
        <v>416</v>
      </c>
      <c r="D1294" s="3" t="s">
        <v>486</v>
      </c>
      <c r="E1294" s="42"/>
      <c r="F1294" s="4" t="s">
        <v>651</v>
      </c>
      <c r="G1294" s="4" t="s">
        <v>97</v>
      </c>
      <c r="H1294" s="4">
        <v>3362005</v>
      </c>
      <c r="I1294" s="3" t="s">
        <v>682</v>
      </c>
      <c r="J1294" s="3" t="s">
        <v>559</v>
      </c>
      <c r="K1294" s="4">
        <v>3969200</v>
      </c>
    </row>
    <row r="1295" spans="1:43" s="3" customFormat="1" x14ac:dyDescent="0.3">
      <c r="B1295" s="44">
        <v>45962</v>
      </c>
      <c r="C1295" s="3" t="s">
        <v>416</v>
      </c>
      <c r="D1295" s="3" t="s">
        <v>68</v>
      </c>
      <c r="E1295" s="42"/>
      <c r="F1295" s="3" t="s">
        <v>651</v>
      </c>
      <c r="G1295" s="3" t="s">
        <v>387</v>
      </c>
      <c r="H1295" s="4">
        <v>3211403</v>
      </c>
      <c r="I1295" s="4" t="s">
        <v>671</v>
      </c>
      <c r="J1295" s="4" t="s">
        <v>389</v>
      </c>
      <c r="K1295" s="4">
        <v>3209201</v>
      </c>
    </row>
    <row r="1296" spans="1:43" s="3" customFormat="1" x14ac:dyDescent="0.3">
      <c r="B1296" s="44">
        <v>45962</v>
      </c>
      <c r="C1296" s="3" t="s">
        <v>416</v>
      </c>
      <c r="D1296" s="3" t="s">
        <v>492</v>
      </c>
      <c r="E1296" s="42"/>
      <c r="F1296" s="3" t="s">
        <v>719</v>
      </c>
      <c r="G1296" s="3" t="s">
        <v>155</v>
      </c>
      <c r="H1296" s="4">
        <v>3361600</v>
      </c>
      <c r="I1296" s="3" t="s">
        <v>649</v>
      </c>
      <c r="J1296" s="3" t="s">
        <v>154</v>
      </c>
      <c r="K1296" s="4">
        <v>3362109</v>
      </c>
    </row>
    <row r="1297" spans="1:43" s="3" customFormat="1" x14ac:dyDescent="0.3">
      <c r="B1297" s="44">
        <v>45962</v>
      </c>
      <c r="C1297" s="3" t="s">
        <v>416</v>
      </c>
      <c r="D1297" s="3" t="s">
        <v>59</v>
      </c>
      <c r="E1297" s="42"/>
      <c r="F1297" s="3" t="s">
        <v>653</v>
      </c>
      <c r="G1297" s="3" t="s">
        <v>272</v>
      </c>
      <c r="H1297" s="4">
        <v>3211205</v>
      </c>
      <c r="I1297" s="3" t="s">
        <v>661</v>
      </c>
      <c r="J1297" s="3" t="s">
        <v>641</v>
      </c>
      <c r="K1297" s="4">
        <v>3055707</v>
      </c>
    </row>
    <row r="1298" spans="1:43" s="3" customFormat="1" x14ac:dyDescent="0.3">
      <c r="B1298" s="44">
        <v>45962</v>
      </c>
      <c r="C1298" s="3" t="s">
        <v>416</v>
      </c>
      <c r="D1298" s="3" t="s">
        <v>497</v>
      </c>
      <c r="E1298" s="42"/>
      <c r="F1298" s="17" t="s">
        <v>653</v>
      </c>
      <c r="G1298" s="17" t="s">
        <v>208</v>
      </c>
      <c r="H1298" s="74">
        <v>3361308</v>
      </c>
      <c r="I1298" s="17" t="s">
        <v>476</v>
      </c>
      <c r="J1298" s="17" t="s">
        <v>234</v>
      </c>
      <c r="K1298" s="74">
        <v>3356807</v>
      </c>
    </row>
    <row r="1299" spans="1:43" s="3" customFormat="1" x14ac:dyDescent="0.3">
      <c r="B1299" s="44">
        <v>45962</v>
      </c>
      <c r="C1299" s="3" t="s">
        <v>416</v>
      </c>
      <c r="D1299" s="3" t="s">
        <v>497</v>
      </c>
      <c r="E1299" s="42"/>
      <c r="F1299" s="17" t="s">
        <v>653</v>
      </c>
      <c r="G1299" s="17" t="s">
        <v>209</v>
      </c>
      <c r="H1299" s="74">
        <v>3360705</v>
      </c>
      <c r="I1299" s="3" t="s">
        <v>678</v>
      </c>
      <c r="J1299" s="3" t="s">
        <v>172</v>
      </c>
      <c r="K1299" s="74">
        <v>3350709</v>
      </c>
    </row>
    <row r="1300" spans="1:43" s="3" customFormat="1" x14ac:dyDescent="0.3">
      <c r="B1300" s="44">
        <v>45962</v>
      </c>
      <c r="C1300" s="3" t="s">
        <v>416</v>
      </c>
      <c r="D1300" s="3" t="s">
        <v>593</v>
      </c>
      <c r="E1300" s="42"/>
      <c r="F1300" s="3" t="s">
        <v>653</v>
      </c>
      <c r="G1300" s="3" t="s">
        <v>459</v>
      </c>
      <c r="H1300" s="4">
        <v>3211101</v>
      </c>
      <c r="I1300" s="4" t="s">
        <v>681</v>
      </c>
      <c r="J1300" s="4" t="s">
        <v>397</v>
      </c>
      <c r="K1300" s="4">
        <v>3195908</v>
      </c>
    </row>
    <row r="1301" spans="1:43" s="3" customFormat="1" x14ac:dyDescent="0.3">
      <c r="A1301" s="4"/>
      <c r="B1301" s="99">
        <v>45962</v>
      </c>
      <c r="C1301" s="98" t="s">
        <v>553</v>
      </c>
      <c r="D1301" s="4" t="s">
        <v>514</v>
      </c>
      <c r="E1301" s="4"/>
      <c r="F1301" s="73" t="s">
        <v>479</v>
      </c>
      <c r="G1301" s="73" t="s">
        <v>479</v>
      </c>
      <c r="H1301" s="73"/>
      <c r="I1301" s="73" t="s">
        <v>531</v>
      </c>
      <c r="J1301" s="73" t="s">
        <v>531</v>
      </c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</row>
    <row r="1302" spans="1:43" s="3" customFormat="1" x14ac:dyDescent="0.3">
      <c r="B1302" s="44">
        <v>45962</v>
      </c>
      <c r="C1302" s="3" t="s">
        <v>416</v>
      </c>
      <c r="D1302" s="3" t="s">
        <v>504</v>
      </c>
      <c r="E1302" s="42"/>
      <c r="F1302" s="3" t="s">
        <v>479</v>
      </c>
      <c r="G1302" s="3" t="s">
        <v>9</v>
      </c>
      <c r="H1302" s="4">
        <v>3033405</v>
      </c>
      <c r="I1302" s="3" t="s">
        <v>645</v>
      </c>
      <c r="J1302" s="3" t="s">
        <v>37</v>
      </c>
      <c r="K1302" s="4">
        <v>3029903</v>
      </c>
    </row>
    <row r="1303" spans="1:43" s="3" customFormat="1" x14ac:dyDescent="0.3">
      <c r="B1303" s="44">
        <v>45962</v>
      </c>
      <c r="C1303" s="3" t="s">
        <v>416</v>
      </c>
      <c r="D1303" s="3" t="s">
        <v>487</v>
      </c>
      <c r="E1303" s="4"/>
      <c r="F1303" s="3" t="s">
        <v>479</v>
      </c>
      <c r="G1303" s="3" t="s">
        <v>127</v>
      </c>
      <c r="H1303" s="4">
        <v>3360809</v>
      </c>
      <c r="I1303" s="3" t="s">
        <v>695</v>
      </c>
      <c r="J1303" s="3" t="s">
        <v>101</v>
      </c>
      <c r="K1303" s="4">
        <v>3067305</v>
      </c>
    </row>
    <row r="1304" spans="1:43" s="3" customFormat="1" x14ac:dyDescent="0.3">
      <c r="B1304" s="44">
        <v>45962</v>
      </c>
      <c r="C1304" s="3" t="s">
        <v>416</v>
      </c>
      <c r="D1304" s="3" t="s">
        <v>490</v>
      </c>
      <c r="E1304" s="4"/>
      <c r="F1304" s="3" t="s">
        <v>479</v>
      </c>
      <c r="G1304" s="3" t="s">
        <v>136</v>
      </c>
      <c r="H1304" s="4">
        <v>3360903</v>
      </c>
      <c r="I1304" s="4" t="s">
        <v>480</v>
      </c>
      <c r="J1304" s="4" t="s">
        <v>420</v>
      </c>
      <c r="K1304" s="4">
        <v>3360101</v>
      </c>
    </row>
    <row r="1305" spans="1:43" s="3" customFormat="1" x14ac:dyDescent="0.3">
      <c r="B1305" s="44">
        <v>45962</v>
      </c>
      <c r="C1305" s="3" t="s">
        <v>416</v>
      </c>
      <c r="D1305" s="3" t="s">
        <v>590</v>
      </c>
      <c r="E1305" s="42"/>
      <c r="F1305" s="4" t="s">
        <v>479</v>
      </c>
      <c r="G1305" s="4" t="s">
        <v>284</v>
      </c>
      <c r="H1305" s="4">
        <v>3210904</v>
      </c>
      <c r="I1305" s="4" t="s">
        <v>676</v>
      </c>
      <c r="J1305" s="4" t="s">
        <v>285</v>
      </c>
      <c r="K1305" s="4">
        <v>3208504</v>
      </c>
    </row>
    <row r="1306" spans="1:43" s="3" customFormat="1" x14ac:dyDescent="0.3">
      <c r="B1306" s="44">
        <v>45962</v>
      </c>
      <c r="C1306" s="3" t="s">
        <v>416</v>
      </c>
      <c r="D1306" s="3" t="s">
        <v>490</v>
      </c>
      <c r="E1306" s="4"/>
      <c r="F1306" s="3" t="s">
        <v>479</v>
      </c>
      <c r="G1306" s="3" t="s">
        <v>166</v>
      </c>
      <c r="H1306" s="4">
        <v>3361006</v>
      </c>
      <c r="I1306" s="4" t="s">
        <v>472</v>
      </c>
      <c r="J1306" s="4" t="s">
        <v>140</v>
      </c>
      <c r="K1306" s="4">
        <v>3357900</v>
      </c>
    </row>
    <row r="1307" spans="1:43" s="3" customFormat="1" x14ac:dyDescent="0.3">
      <c r="B1307" s="44">
        <v>45962</v>
      </c>
      <c r="C1307" s="3" t="s">
        <v>416</v>
      </c>
      <c r="D1307" s="3" t="s">
        <v>62</v>
      </c>
      <c r="E1307" s="42"/>
      <c r="F1307" s="3" t="s">
        <v>479</v>
      </c>
      <c r="G1307" s="3" t="s">
        <v>319</v>
      </c>
      <c r="H1307" s="4">
        <v>3210508</v>
      </c>
      <c r="I1307" s="3" t="s">
        <v>660</v>
      </c>
      <c r="J1307" s="3" t="s">
        <v>443</v>
      </c>
      <c r="K1307" s="4">
        <v>3210008</v>
      </c>
    </row>
    <row r="1308" spans="1:43" s="3" customFormat="1" x14ac:dyDescent="0.3">
      <c r="B1308" s="44">
        <v>45962</v>
      </c>
      <c r="C1308" s="3" t="s">
        <v>416</v>
      </c>
      <c r="D1308" s="3" t="s">
        <v>493</v>
      </c>
      <c r="E1308" s="42"/>
      <c r="F1308" s="3" t="s">
        <v>479</v>
      </c>
      <c r="G1308" s="3" t="s">
        <v>210</v>
      </c>
      <c r="H1308" s="4">
        <v>3361100</v>
      </c>
      <c r="I1308" s="4" t="s">
        <v>471</v>
      </c>
      <c r="J1308" s="4" t="s">
        <v>217</v>
      </c>
      <c r="K1308" s="4">
        <v>3348309</v>
      </c>
    </row>
    <row r="1309" spans="1:43" s="3" customFormat="1" x14ac:dyDescent="0.3">
      <c r="B1309" s="44">
        <v>45962</v>
      </c>
      <c r="C1309" s="3" t="s">
        <v>416</v>
      </c>
      <c r="D1309" s="3" t="s">
        <v>65</v>
      </c>
      <c r="E1309" s="42"/>
      <c r="F1309" s="3" t="s">
        <v>479</v>
      </c>
      <c r="G1309" s="3" t="s">
        <v>320</v>
      </c>
      <c r="H1309" s="4">
        <v>3210602</v>
      </c>
      <c r="I1309" s="15" t="s">
        <v>691</v>
      </c>
      <c r="J1309" s="15" t="s">
        <v>327</v>
      </c>
      <c r="K1309" s="74">
        <v>3198603</v>
      </c>
    </row>
    <row r="1310" spans="1:43" s="3" customFormat="1" x14ac:dyDescent="0.3">
      <c r="B1310" s="44">
        <v>45962</v>
      </c>
      <c r="C1310" s="3" t="s">
        <v>416</v>
      </c>
      <c r="D1310" s="3" t="s">
        <v>63</v>
      </c>
      <c r="E1310" s="42"/>
      <c r="F1310" s="3" t="s">
        <v>658</v>
      </c>
      <c r="G1310" s="3" t="s">
        <v>366</v>
      </c>
      <c r="H1310" s="74">
        <v>3210404</v>
      </c>
      <c r="I1310" s="3" t="s">
        <v>683</v>
      </c>
      <c r="J1310" s="3" t="s">
        <v>368</v>
      </c>
      <c r="K1310" s="74">
        <v>3203009</v>
      </c>
    </row>
    <row r="1311" spans="1:43" s="3" customFormat="1" x14ac:dyDescent="0.3">
      <c r="A1311" s="4"/>
      <c r="B1311" s="99">
        <v>45962</v>
      </c>
      <c r="C1311" s="98" t="s">
        <v>553</v>
      </c>
      <c r="D1311" s="4" t="s">
        <v>506</v>
      </c>
      <c r="E1311" s="4"/>
      <c r="F1311" s="73" t="s">
        <v>480</v>
      </c>
      <c r="G1311" s="73" t="s">
        <v>480</v>
      </c>
      <c r="H1311" s="73"/>
      <c r="I1311" s="73" t="s">
        <v>546</v>
      </c>
      <c r="J1311" s="73" t="s">
        <v>546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</row>
    <row r="1312" spans="1:43" s="3" customFormat="1" x14ac:dyDescent="0.3">
      <c r="B1312" s="44">
        <v>45962</v>
      </c>
      <c r="C1312" s="3" t="s">
        <v>416</v>
      </c>
      <c r="D1312" s="3" t="s">
        <v>486</v>
      </c>
      <c r="E1312" s="42"/>
      <c r="F1312" s="3" t="s">
        <v>480</v>
      </c>
      <c r="G1312" s="3" t="s">
        <v>406</v>
      </c>
      <c r="H1312" s="4">
        <v>3124501</v>
      </c>
      <c r="I1312" s="3" t="s">
        <v>681</v>
      </c>
      <c r="J1312" s="3" t="s">
        <v>105</v>
      </c>
      <c r="K1312" s="4">
        <v>3035809</v>
      </c>
    </row>
    <row r="1313" spans="2:14" s="3" customFormat="1" x14ac:dyDescent="0.3">
      <c r="B1313" s="44">
        <v>45962</v>
      </c>
      <c r="C1313" s="3" t="s">
        <v>416</v>
      </c>
      <c r="D1313" s="3" t="s">
        <v>493</v>
      </c>
      <c r="E1313" s="42"/>
      <c r="F1313" s="3" t="s">
        <v>480</v>
      </c>
      <c r="G1313" s="3" t="s">
        <v>423</v>
      </c>
      <c r="H1313" s="4">
        <v>3360403</v>
      </c>
      <c r="I1313" s="4" t="s">
        <v>471</v>
      </c>
      <c r="J1313" s="4" t="s">
        <v>174</v>
      </c>
      <c r="K1313" s="4">
        <v>3348101</v>
      </c>
    </row>
    <row r="1314" spans="2:14" s="3" customFormat="1" x14ac:dyDescent="0.3">
      <c r="B1314" s="44">
        <v>45962</v>
      </c>
      <c r="C1314" s="3" t="s">
        <v>416</v>
      </c>
      <c r="D1314" s="3" t="s">
        <v>497</v>
      </c>
      <c r="E1314" s="42"/>
      <c r="F1314" s="17" t="s">
        <v>480</v>
      </c>
      <c r="G1314" s="17" t="s">
        <v>428</v>
      </c>
      <c r="H1314" s="74">
        <v>3360309</v>
      </c>
      <c r="I1314" s="17" t="s">
        <v>660</v>
      </c>
      <c r="J1314" s="17" t="s">
        <v>212</v>
      </c>
      <c r="K1314" s="74">
        <v>3360007</v>
      </c>
    </row>
    <row r="1315" spans="2:14" s="3" customFormat="1" x14ac:dyDescent="0.3">
      <c r="B1315" s="44">
        <v>45962</v>
      </c>
      <c r="C1315" s="3" t="s">
        <v>416</v>
      </c>
      <c r="D1315" s="3" t="s">
        <v>56</v>
      </c>
      <c r="E1315" s="42"/>
      <c r="F1315" s="4" t="s">
        <v>661</v>
      </c>
      <c r="G1315" s="4" t="s">
        <v>439</v>
      </c>
      <c r="H1315" s="4">
        <v>3023701</v>
      </c>
      <c r="I1315" s="4" t="s">
        <v>688</v>
      </c>
      <c r="J1315" s="4" t="s">
        <v>264</v>
      </c>
      <c r="K1315" s="4">
        <v>3055603</v>
      </c>
    </row>
    <row r="1316" spans="2:14" s="3" customFormat="1" x14ac:dyDescent="0.3">
      <c r="B1316" s="44">
        <v>45962</v>
      </c>
      <c r="C1316" s="3" t="s">
        <v>416</v>
      </c>
      <c r="D1316" s="3" t="s">
        <v>590</v>
      </c>
      <c r="E1316" s="42"/>
      <c r="F1316" s="3" t="s">
        <v>657</v>
      </c>
      <c r="G1316" s="3" t="s">
        <v>321</v>
      </c>
      <c r="H1316" s="4">
        <v>3209607</v>
      </c>
      <c r="I1316" s="3" t="s">
        <v>474</v>
      </c>
      <c r="J1316" s="3" t="s">
        <v>317</v>
      </c>
      <c r="K1316" s="4">
        <v>3200700</v>
      </c>
    </row>
    <row r="1317" spans="2:14" s="3" customFormat="1" x14ac:dyDescent="0.3">
      <c r="B1317" s="44">
        <v>45962</v>
      </c>
      <c r="C1317" s="3" t="s">
        <v>416</v>
      </c>
      <c r="D1317" s="3" t="s">
        <v>69</v>
      </c>
      <c r="E1317" s="42"/>
      <c r="F1317" s="3" t="s">
        <v>657</v>
      </c>
      <c r="G1317" s="3" t="s">
        <v>393</v>
      </c>
      <c r="H1317" s="4">
        <v>3209701</v>
      </c>
      <c r="I1317" s="3" t="s">
        <v>479</v>
      </c>
      <c r="J1317" s="3" t="s">
        <v>392</v>
      </c>
      <c r="K1317" s="53">
        <v>3210706</v>
      </c>
    </row>
    <row r="1318" spans="2:14" s="3" customFormat="1" x14ac:dyDescent="0.3">
      <c r="B1318" s="44">
        <v>45962</v>
      </c>
      <c r="C1318" s="3" t="s">
        <v>416</v>
      </c>
      <c r="D1318" s="3" t="s">
        <v>497</v>
      </c>
      <c r="E1318" s="42"/>
      <c r="F1318" s="17" t="s">
        <v>657</v>
      </c>
      <c r="G1318" s="17" t="s">
        <v>213</v>
      </c>
      <c r="H1318" s="74">
        <v>3359502</v>
      </c>
      <c r="I1318" s="3" t="s">
        <v>681</v>
      </c>
      <c r="J1318" s="3" t="s">
        <v>175</v>
      </c>
      <c r="K1318" s="74">
        <v>3347800</v>
      </c>
    </row>
    <row r="1319" spans="2:14" s="3" customFormat="1" x14ac:dyDescent="0.3">
      <c r="B1319" s="44">
        <v>45962</v>
      </c>
      <c r="C1319" s="3" t="s">
        <v>416</v>
      </c>
      <c r="D1319" s="3" t="s">
        <v>495</v>
      </c>
      <c r="E1319" s="42"/>
      <c r="F1319" s="3" t="s">
        <v>570</v>
      </c>
      <c r="G1319" s="3" t="s">
        <v>570</v>
      </c>
      <c r="H1319" s="4" t="s">
        <v>556</v>
      </c>
      <c r="I1319" s="3" t="s">
        <v>682</v>
      </c>
      <c r="J1319" s="3" t="s">
        <v>568</v>
      </c>
      <c r="K1319" s="4">
        <v>3969908</v>
      </c>
    </row>
    <row r="1320" spans="2:14" s="3" customFormat="1" x14ac:dyDescent="0.3">
      <c r="B1320" s="44">
        <v>45962</v>
      </c>
      <c r="C1320" s="3" t="s">
        <v>416</v>
      </c>
      <c r="D1320" s="3" t="s">
        <v>67</v>
      </c>
      <c r="E1320" s="42"/>
      <c r="F1320" s="4" t="s">
        <v>570</v>
      </c>
      <c r="G1320" s="4" t="s">
        <v>570</v>
      </c>
      <c r="H1320" s="4" t="s">
        <v>556</v>
      </c>
      <c r="I1320" s="4" t="s">
        <v>715</v>
      </c>
      <c r="J1320" s="4" t="s">
        <v>377</v>
      </c>
      <c r="K1320" s="4">
        <v>3200106</v>
      </c>
    </row>
    <row r="1321" spans="2:14" s="3" customFormat="1" x14ac:dyDescent="0.3">
      <c r="B1321" s="44">
        <v>45962</v>
      </c>
      <c r="C1321" s="3" t="s">
        <v>416</v>
      </c>
      <c r="D1321" s="3" t="s">
        <v>592</v>
      </c>
      <c r="E1321" s="42"/>
      <c r="F1321" s="3" t="s">
        <v>570</v>
      </c>
      <c r="G1321" s="3" t="s">
        <v>570</v>
      </c>
      <c r="H1321" s="4" t="s">
        <v>556</v>
      </c>
      <c r="I1321" s="3" t="s">
        <v>475</v>
      </c>
      <c r="J1321" s="3" t="s">
        <v>398</v>
      </c>
      <c r="K1321" s="74">
        <v>3211601</v>
      </c>
    </row>
    <row r="1322" spans="2:14" s="3" customFormat="1" x14ac:dyDescent="0.3">
      <c r="B1322" s="44">
        <v>45962</v>
      </c>
      <c r="C1322" s="3" t="s">
        <v>416</v>
      </c>
      <c r="D1322" s="3" t="s">
        <v>499</v>
      </c>
      <c r="E1322" s="42"/>
      <c r="F1322" s="3" t="s">
        <v>723</v>
      </c>
      <c r="G1322" s="3" t="s">
        <v>599</v>
      </c>
      <c r="H1322" s="4" t="s">
        <v>556</v>
      </c>
      <c r="I1322" s="3" t="s">
        <v>675</v>
      </c>
      <c r="J1322" s="3" t="s">
        <v>572</v>
      </c>
      <c r="K1322" s="53">
        <v>3350303</v>
      </c>
      <c r="M1322" s="3" t="s">
        <v>583</v>
      </c>
      <c r="N1322" s="3" t="s">
        <v>572</v>
      </c>
    </row>
    <row r="1323" spans="2:14" s="3" customFormat="1" x14ac:dyDescent="0.3">
      <c r="B1323" s="44">
        <v>45962</v>
      </c>
      <c r="C1323" s="3" t="s">
        <v>416</v>
      </c>
      <c r="D1323" s="3" t="s">
        <v>501</v>
      </c>
      <c r="E1323" s="42"/>
      <c r="F1323" s="3" t="s">
        <v>722</v>
      </c>
      <c r="G1323" s="3" t="s">
        <v>600</v>
      </c>
      <c r="H1323" s="4" t="s">
        <v>556</v>
      </c>
      <c r="I1323" s="3" t="s">
        <v>717</v>
      </c>
      <c r="J1323" s="3" t="s">
        <v>583</v>
      </c>
      <c r="K1323" s="4">
        <v>4022908</v>
      </c>
      <c r="M1323" s="3" t="s">
        <v>583</v>
      </c>
      <c r="N1323" s="3" t="s">
        <v>572</v>
      </c>
    </row>
    <row r="1324" spans="2:14" s="3" customFormat="1" x14ac:dyDescent="0.3">
      <c r="B1324" s="44">
        <v>45962</v>
      </c>
      <c r="C1324" s="3" t="s">
        <v>416</v>
      </c>
      <c r="D1324" s="3" t="s">
        <v>60</v>
      </c>
      <c r="E1324" s="42"/>
      <c r="F1324" s="3" t="s">
        <v>667</v>
      </c>
      <c r="G1324" s="3" t="s">
        <v>444</v>
      </c>
      <c r="H1324" s="4">
        <v>3209909</v>
      </c>
      <c r="I1324" s="3" t="s">
        <v>473</v>
      </c>
      <c r="J1324" s="3" t="s">
        <v>298</v>
      </c>
      <c r="K1324" s="32">
        <v>3817807</v>
      </c>
    </row>
    <row r="1325" spans="2:14" s="3" customFormat="1" x14ac:dyDescent="0.3">
      <c r="B1325" s="44">
        <v>45962</v>
      </c>
      <c r="C1325" s="3" t="s">
        <v>416</v>
      </c>
      <c r="D1325" s="3" t="s">
        <v>60</v>
      </c>
      <c r="E1325" s="42"/>
      <c r="F1325" s="3" t="s">
        <v>667</v>
      </c>
      <c r="G1325" s="3" t="s">
        <v>294</v>
      </c>
      <c r="H1325" s="4">
        <v>3209409</v>
      </c>
      <c r="I1325" s="3" t="s">
        <v>706</v>
      </c>
      <c r="J1325" s="3" t="s">
        <v>299</v>
      </c>
      <c r="K1325" s="32">
        <v>3199102</v>
      </c>
    </row>
    <row r="1326" spans="2:14" s="3" customFormat="1" x14ac:dyDescent="0.3">
      <c r="B1326" s="44">
        <v>45962</v>
      </c>
      <c r="C1326" s="3" t="s">
        <v>416</v>
      </c>
      <c r="D1326" s="3" t="s">
        <v>56</v>
      </c>
      <c r="E1326" s="42"/>
      <c r="F1326" s="73" t="s">
        <v>671</v>
      </c>
      <c r="G1326" s="73" t="s">
        <v>247</v>
      </c>
      <c r="H1326" s="4">
        <v>3034102</v>
      </c>
      <c r="I1326" s="106" t="s">
        <v>672</v>
      </c>
      <c r="J1326" s="106" t="s">
        <v>252</v>
      </c>
      <c r="K1326" s="106">
        <v>3070204</v>
      </c>
    </row>
    <row r="1327" spans="2:14" s="3" customFormat="1" x14ac:dyDescent="0.3">
      <c r="B1327" s="44">
        <v>45962</v>
      </c>
      <c r="C1327" s="3" t="s">
        <v>416</v>
      </c>
      <c r="D1327" s="3" t="s">
        <v>486</v>
      </c>
      <c r="E1327" s="42"/>
      <c r="F1327" s="3" t="s">
        <v>671</v>
      </c>
      <c r="G1327" s="3" t="s">
        <v>108</v>
      </c>
      <c r="H1327" s="4">
        <v>3359700</v>
      </c>
      <c r="I1327" s="3" t="s">
        <v>474</v>
      </c>
      <c r="J1327" s="3" t="s">
        <v>103</v>
      </c>
      <c r="K1327" s="4">
        <v>3353206</v>
      </c>
    </row>
    <row r="1328" spans="2:14" s="3" customFormat="1" x14ac:dyDescent="0.3">
      <c r="B1328" s="44">
        <v>45962</v>
      </c>
      <c r="C1328" s="3" t="s">
        <v>416</v>
      </c>
      <c r="D1328" s="3" t="s">
        <v>590</v>
      </c>
      <c r="E1328" s="42"/>
      <c r="F1328" s="4" t="s">
        <v>671</v>
      </c>
      <c r="G1328" s="4" t="s">
        <v>311</v>
      </c>
      <c r="H1328" s="4">
        <v>3209003</v>
      </c>
      <c r="I1328" s="4" t="s">
        <v>650</v>
      </c>
      <c r="J1328" s="4" t="s">
        <v>277</v>
      </c>
      <c r="K1328" s="4">
        <v>3088400</v>
      </c>
    </row>
    <row r="1329" spans="2:11" s="3" customFormat="1" x14ac:dyDescent="0.3">
      <c r="B1329" s="44">
        <v>45962</v>
      </c>
      <c r="C1329" s="3" t="s">
        <v>416</v>
      </c>
      <c r="D1329" s="3" t="s">
        <v>496</v>
      </c>
      <c r="E1329" s="42"/>
      <c r="F1329" s="3" t="s">
        <v>671</v>
      </c>
      <c r="G1329" s="3" t="s">
        <v>203</v>
      </c>
      <c r="H1329" s="4">
        <v>3359304</v>
      </c>
      <c r="I1329" s="3" t="s">
        <v>652</v>
      </c>
      <c r="J1329" s="3" t="s">
        <v>229</v>
      </c>
      <c r="K1329" s="4">
        <v>3358409</v>
      </c>
    </row>
    <row r="1330" spans="2:11" s="3" customFormat="1" x14ac:dyDescent="0.3">
      <c r="B1330" s="44">
        <v>45962</v>
      </c>
      <c r="C1330" s="3" t="s">
        <v>416</v>
      </c>
      <c r="D1330" s="3" t="s">
        <v>496</v>
      </c>
      <c r="E1330" s="42"/>
      <c r="F1330" s="3" t="s">
        <v>671</v>
      </c>
      <c r="G1330" s="3" t="s">
        <v>227</v>
      </c>
      <c r="H1330" s="4">
        <v>3359408</v>
      </c>
      <c r="I1330" s="3" t="s">
        <v>710</v>
      </c>
      <c r="J1330" s="3" t="s">
        <v>462</v>
      </c>
      <c r="K1330" s="4">
        <v>3352207</v>
      </c>
    </row>
    <row r="1331" spans="2:11" s="3" customFormat="1" x14ac:dyDescent="0.3">
      <c r="B1331" s="44">
        <v>45962</v>
      </c>
      <c r="C1331" s="3" t="s">
        <v>416</v>
      </c>
      <c r="D1331" s="3" t="s">
        <v>66</v>
      </c>
      <c r="E1331" s="42"/>
      <c r="F1331" s="104" t="s">
        <v>659</v>
      </c>
      <c r="G1331" s="104" t="s">
        <v>602</v>
      </c>
      <c r="H1331" s="74">
        <v>4023001</v>
      </c>
      <c r="I1331" s="104" t="s">
        <v>680</v>
      </c>
      <c r="J1331" s="104" t="s">
        <v>603</v>
      </c>
      <c r="K1331" s="74">
        <v>3945400</v>
      </c>
    </row>
    <row r="1332" spans="2:11" s="3" customFormat="1" x14ac:dyDescent="0.3">
      <c r="B1332" s="44">
        <v>45962</v>
      </c>
      <c r="C1332" s="3" t="s">
        <v>416</v>
      </c>
      <c r="D1332" s="4" t="s">
        <v>614</v>
      </c>
      <c r="E1332" s="42"/>
      <c r="F1332" s="3" t="s">
        <v>674</v>
      </c>
      <c r="G1332" s="3" t="s">
        <v>346</v>
      </c>
      <c r="H1332" s="4">
        <v>3208900</v>
      </c>
      <c r="I1332" s="4" t="s">
        <v>666</v>
      </c>
      <c r="J1332" s="4" t="s">
        <v>453</v>
      </c>
      <c r="K1332" s="4">
        <v>3206006</v>
      </c>
    </row>
    <row r="1333" spans="2:11" s="3" customFormat="1" x14ac:dyDescent="0.3">
      <c r="B1333" s="44">
        <v>45962</v>
      </c>
      <c r="C1333" s="3" t="s">
        <v>416</v>
      </c>
      <c r="D1333" s="3" t="s">
        <v>65</v>
      </c>
      <c r="E1333" s="42"/>
      <c r="F1333" s="3" t="s">
        <v>676</v>
      </c>
      <c r="G1333" s="3" t="s">
        <v>356</v>
      </c>
      <c r="H1333" s="4">
        <v>3208608</v>
      </c>
      <c r="I1333" s="4" t="s">
        <v>653</v>
      </c>
      <c r="J1333" s="4" t="s">
        <v>451</v>
      </c>
      <c r="K1333" s="4">
        <v>3211309</v>
      </c>
    </row>
    <row r="1334" spans="2:11" s="3" customFormat="1" x14ac:dyDescent="0.3">
      <c r="B1334" s="44">
        <v>45962</v>
      </c>
      <c r="C1334" s="3" t="s">
        <v>416</v>
      </c>
      <c r="D1334" s="3" t="s">
        <v>500</v>
      </c>
      <c r="E1334" s="42"/>
      <c r="F1334" s="3" t="s">
        <v>676</v>
      </c>
      <c r="G1334" s="3" t="s">
        <v>577</v>
      </c>
      <c r="H1334" s="4" t="s">
        <v>556</v>
      </c>
      <c r="I1334" s="4" t="s">
        <v>691</v>
      </c>
      <c r="J1334" s="4" t="s">
        <v>238</v>
      </c>
      <c r="K1334" s="4">
        <v>3350105</v>
      </c>
    </row>
    <row r="1335" spans="2:11" s="3" customFormat="1" x14ac:dyDescent="0.3">
      <c r="B1335" s="44">
        <v>45962</v>
      </c>
      <c r="C1335" s="3" t="s">
        <v>416</v>
      </c>
      <c r="D1335" s="3" t="s">
        <v>593</v>
      </c>
      <c r="E1335" s="42"/>
      <c r="F1335" s="3" t="s">
        <v>676</v>
      </c>
      <c r="G1335" s="3" t="s">
        <v>639</v>
      </c>
      <c r="H1335" s="4">
        <v>3776805</v>
      </c>
      <c r="I1335" s="4" t="s">
        <v>476</v>
      </c>
      <c r="J1335" s="4" t="s">
        <v>630</v>
      </c>
      <c r="K1335" s="4">
        <v>3206308</v>
      </c>
    </row>
    <row r="1336" spans="2:11" s="3" customFormat="1" x14ac:dyDescent="0.3">
      <c r="B1336" s="44">
        <v>45962</v>
      </c>
      <c r="C1336" s="3" t="s">
        <v>416</v>
      </c>
      <c r="D1336" s="3" t="s">
        <v>61</v>
      </c>
      <c r="E1336" s="42"/>
      <c r="F1336" s="73" t="s">
        <v>680</v>
      </c>
      <c r="G1336" s="73" t="s">
        <v>302</v>
      </c>
      <c r="H1336" s="4">
        <v>3208400</v>
      </c>
      <c r="I1336" s="106" t="s">
        <v>659</v>
      </c>
      <c r="J1336" s="106" t="s">
        <v>367</v>
      </c>
      <c r="K1336" s="106">
        <v>3208806</v>
      </c>
    </row>
    <row r="1337" spans="2:11" s="3" customFormat="1" x14ac:dyDescent="0.3">
      <c r="B1337" s="44">
        <v>45962</v>
      </c>
      <c r="C1337" s="3" t="s">
        <v>416</v>
      </c>
      <c r="D1337" s="3" t="s">
        <v>63</v>
      </c>
      <c r="E1337" s="42"/>
      <c r="F1337" s="3" t="s">
        <v>680</v>
      </c>
      <c r="G1337" s="3" t="s">
        <v>329</v>
      </c>
      <c r="H1337" s="74">
        <v>3208108</v>
      </c>
      <c r="I1337" s="3" t="s">
        <v>697</v>
      </c>
      <c r="J1337" s="3" t="s">
        <v>448</v>
      </c>
      <c r="K1337" s="4">
        <v>3036808</v>
      </c>
    </row>
    <row r="1338" spans="2:11" s="3" customFormat="1" x14ac:dyDescent="0.3">
      <c r="B1338" s="44">
        <v>45962</v>
      </c>
      <c r="C1338" s="3" t="s">
        <v>416</v>
      </c>
      <c r="D1338" s="3" t="s">
        <v>491</v>
      </c>
      <c r="E1338" s="42"/>
      <c r="F1338" s="4" t="s">
        <v>680</v>
      </c>
      <c r="G1338" s="4" t="s">
        <v>177</v>
      </c>
      <c r="H1338" s="4">
        <v>3899709</v>
      </c>
      <c r="I1338" s="3" t="s">
        <v>478</v>
      </c>
      <c r="J1338" s="3" t="s">
        <v>463</v>
      </c>
      <c r="K1338" s="74">
        <v>3125500</v>
      </c>
    </row>
    <row r="1339" spans="2:11" s="3" customFormat="1" x14ac:dyDescent="0.3">
      <c r="B1339" s="44">
        <v>45962</v>
      </c>
      <c r="C1339" s="3" t="s">
        <v>416</v>
      </c>
      <c r="D1339" s="3" t="s">
        <v>486</v>
      </c>
      <c r="E1339" s="42"/>
      <c r="F1339" s="4" t="s">
        <v>652</v>
      </c>
      <c r="G1339" s="4" t="s">
        <v>110</v>
      </c>
      <c r="H1339" s="4">
        <v>3359106</v>
      </c>
      <c r="I1339" s="4" t="s">
        <v>646</v>
      </c>
      <c r="J1339" s="4" t="s">
        <v>102</v>
      </c>
      <c r="K1339" s="4">
        <v>3125406</v>
      </c>
    </row>
    <row r="1340" spans="2:11" s="3" customFormat="1" x14ac:dyDescent="0.3">
      <c r="B1340" s="44">
        <v>45962</v>
      </c>
      <c r="C1340" s="3" t="s">
        <v>416</v>
      </c>
      <c r="D1340" s="3" t="s">
        <v>59</v>
      </c>
      <c r="E1340" s="42"/>
      <c r="F1340" s="3" t="s">
        <v>652</v>
      </c>
      <c r="G1340" s="3" t="s">
        <v>313</v>
      </c>
      <c r="H1340" s="4">
        <v>3207901</v>
      </c>
      <c r="I1340" s="3" t="s">
        <v>662</v>
      </c>
      <c r="J1340" s="3" t="s">
        <v>314</v>
      </c>
      <c r="K1340" s="4">
        <v>3208004</v>
      </c>
    </row>
    <row r="1341" spans="2:11" s="3" customFormat="1" x14ac:dyDescent="0.3">
      <c r="B1341" s="44">
        <v>45962</v>
      </c>
      <c r="C1341" s="3" t="s">
        <v>416</v>
      </c>
      <c r="D1341" s="3" t="s">
        <v>610</v>
      </c>
      <c r="E1341" s="42"/>
      <c r="F1341" s="3" t="s">
        <v>652</v>
      </c>
      <c r="G1341" s="3" t="s">
        <v>347</v>
      </c>
      <c r="H1341" s="4">
        <v>3818504</v>
      </c>
      <c r="I1341" s="4" t="s">
        <v>646</v>
      </c>
      <c r="J1341" s="4" t="s">
        <v>350</v>
      </c>
      <c r="K1341" s="4">
        <v>3202802</v>
      </c>
    </row>
    <row r="1342" spans="2:11" s="3" customFormat="1" x14ac:dyDescent="0.3">
      <c r="B1342" s="44">
        <v>45962</v>
      </c>
      <c r="C1342" s="3" t="s">
        <v>416</v>
      </c>
      <c r="D1342" s="3" t="s">
        <v>68</v>
      </c>
      <c r="E1342" s="42"/>
      <c r="F1342" s="3" t="s">
        <v>652</v>
      </c>
      <c r="G1342" s="3" t="s">
        <v>625</v>
      </c>
      <c r="H1342" s="4">
        <v>3899803</v>
      </c>
      <c r="I1342" s="4" t="s">
        <v>665</v>
      </c>
      <c r="J1342" s="4" t="s">
        <v>457</v>
      </c>
      <c r="K1342" s="4">
        <v>3818806</v>
      </c>
    </row>
    <row r="1343" spans="2:11" s="3" customFormat="1" x14ac:dyDescent="0.3">
      <c r="B1343" s="44">
        <v>45962</v>
      </c>
      <c r="C1343" s="3" t="s">
        <v>416</v>
      </c>
      <c r="D1343" s="3" t="s">
        <v>68</v>
      </c>
      <c r="E1343" s="42"/>
      <c r="F1343" s="3" t="s">
        <v>686</v>
      </c>
      <c r="G1343" s="3" t="s">
        <v>626</v>
      </c>
      <c r="H1343" s="4" t="s">
        <v>637</v>
      </c>
      <c r="I1343" s="4" t="s">
        <v>570</v>
      </c>
      <c r="J1343" s="4" t="s">
        <v>570</v>
      </c>
      <c r="K1343" s="4" t="s">
        <v>556</v>
      </c>
    </row>
    <row r="1344" spans="2:11" s="3" customFormat="1" x14ac:dyDescent="0.3">
      <c r="B1344" s="44">
        <v>45962</v>
      </c>
      <c r="C1344" s="3" t="s">
        <v>416</v>
      </c>
      <c r="D1344" s="3" t="s">
        <v>504</v>
      </c>
      <c r="E1344" s="42"/>
      <c r="F1344" s="3" t="s">
        <v>662</v>
      </c>
      <c r="G1344" s="3" t="s">
        <v>99</v>
      </c>
      <c r="H1344" s="4">
        <v>3125604</v>
      </c>
      <c r="I1344" s="3" t="s">
        <v>475</v>
      </c>
      <c r="J1344" s="3" t="s">
        <v>15</v>
      </c>
      <c r="K1344" s="4">
        <v>3029601</v>
      </c>
    </row>
    <row r="1345" spans="1:43" s="3" customFormat="1" x14ac:dyDescent="0.3">
      <c r="B1345" s="44">
        <v>45962</v>
      </c>
      <c r="C1345" s="3" t="s">
        <v>416</v>
      </c>
      <c r="D1345" s="3" t="s">
        <v>64</v>
      </c>
      <c r="E1345" s="42">
        <v>4370907</v>
      </c>
      <c r="F1345" s="3" t="s">
        <v>662</v>
      </c>
      <c r="G1345" s="3" t="s">
        <v>372</v>
      </c>
      <c r="H1345" s="4">
        <v>3207703</v>
      </c>
      <c r="I1345" s="4" t="s">
        <v>671</v>
      </c>
      <c r="J1345" s="4" t="s">
        <v>312</v>
      </c>
      <c r="K1345" s="4">
        <v>3209107</v>
      </c>
    </row>
    <row r="1346" spans="1:43" s="3" customFormat="1" x14ac:dyDescent="0.3">
      <c r="B1346" s="44">
        <v>45962</v>
      </c>
      <c r="C1346" s="3" t="s">
        <v>416</v>
      </c>
      <c r="D1346" s="3" t="s">
        <v>494</v>
      </c>
      <c r="E1346" s="42"/>
      <c r="F1346" s="4" t="s">
        <v>662</v>
      </c>
      <c r="G1346" s="4" t="s">
        <v>242</v>
      </c>
      <c r="H1346" s="4">
        <v>3358107</v>
      </c>
      <c r="I1346" s="4" t="s">
        <v>472</v>
      </c>
      <c r="J1346" s="4" t="s">
        <v>186</v>
      </c>
      <c r="K1346" s="4">
        <v>3357702</v>
      </c>
    </row>
    <row r="1347" spans="1:43" s="3" customFormat="1" x14ac:dyDescent="0.3">
      <c r="B1347" s="44">
        <v>45962</v>
      </c>
      <c r="C1347" s="3" t="s">
        <v>416</v>
      </c>
      <c r="D1347" s="3" t="s">
        <v>60</v>
      </c>
      <c r="E1347" s="42"/>
      <c r="F1347" s="3" t="s">
        <v>707</v>
      </c>
      <c r="G1347" s="3" t="s">
        <v>295</v>
      </c>
      <c r="H1347" s="32">
        <v>3207505</v>
      </c>
      <c r="I1347" s="3" t="s">
        <v>668</v>
      </c>
      <c r="J1347" s="3" t="s">
        <v>431</v>
      </c>
      <c r="K1347" s="4">
        <v>3900703</v>
      </c>
    </row>
    <row r="1348" spans="1:43" s="3" customFormat="1" x14ac:dyDescent="0.3">
      <c r="B1348" s="44">
        <v>45962</v>
      </c>
      <c r="C1348" s="3" t="s">
        <v>416</v>
      </c>
      <c r="D1348" s="3" t="s">
        <v>590</v>
      </c>
      <c r="E1348" s="42"/>
      <c r="F1348" s="4" t="s">
        <v>472</v>
      </c>
      <c r="G1348" s="4" t="s">
        <v>315</v>
      </c>
      <c r="H1348" s="4">
        <v>3455307</v>
      </c>
      <c r="I1348" s="3" t="s">
        <v>471</v>
      </c>
      <c r="J1348" s="3" t="s">
        <v>291</v>
      </c>
      <c r="K1348" s="4">
        <v>3196709</v>
      </c>
    </row>
    <row r="1349" spans="1:43" s="3" customFormat="1" x14ac:dyDescent="0.3">
      <c r="B1349" s="44">
        <v>45962</v>
      </c>
      <c r="C1349" s="3" t="s">
        <v>416</v>
      </c>
      <c r="D1349" s="3" t="s">
        <v>67</v>
      </c>
      <c r="E1349" s="42"/>
      <c r="F1349" s="4" t="s">
        <v>472</v>
      </c>
      <c r="G1349" s="4" t="s">
        <v>338</v>
      </c>
      <c r="H1349" s="4">
        <v>3207307</v>
      </c>
      <c r="I1349" s="3" t="s">
        <v>647</v>
      </c>
      <c r="J1349" s="3" t="s">
        <v>345</v>
      </c>
      <c r="K1349" s="4">
        <v>3194003</v>
      </c>
    </row>
    <row r="1350" spans="1:43" s="3" customFormat="1" x14ac:dyDescent="0.3">
      <c r="B1350" s="44">
        <v>45962</v>
      </c>
      <c r="C1350" s="3" t="s">
        <v>416</v>
      </c>
      <c r="D1350" s="3" t="s">
        <v>494</v>
      </c>
      <c r="E1350" s="42"/>
      <c r="F1350" s="4" t="s">
        <v>472</v>
      </c>
      <c r="G1350" s="4" t="s">
        <v>185</v>
      </c>
      <c r="H1350" s="4">
        <v>3357806</v>
      </c>
      <c r="I1350" s="4" t="s">
        <v>708</v>
      </c>
      <c r="J1350" s="4" t="s">
        <v>141</v>
      </c>
      <c r="K1350" s="4">
        <v>3125802</v>
      </c>
    </row>
    <row r="1351" spans="1:43" s="3" customFormat="1" x14ac:dyDescent="0.3">
      <c r="B1351" s="44">
        <v>45962</v>
      </c>
      <c r="C1351" s="3" t="s">
        <v>416</v>
      </c>
      <c r="D1351" s="3" t="s">
        <v>67</v>
      </c>
      <c r="E1351" s="42"/>
      <c r="F1351" s="3" t="s">
        <v>472</v>
      </c>
      <c r="G1351" s="3" t="s">
        <v>374</v>
      </c>
      <c r="H1351" s="4">
        <v>3207203</v>
      </c>
      <c r="I1351" s="3" t="s">
        <v>662</v>
      </c>
      <c r="J1351" s="3" t="s">
        <v>373</v>
      </c>
      <c r="K1351" s="4">
        <v>3207807</v>
      </c>
    </row>
    <row r="1352" spans="1:43" s="3" customFormat="1" x14ac:dyDescent="0.3">
      <c r="B1352" s="44">
        <v>45962</v>
      </c>
      <c r="C1352" s="3" t="s">
        <v>416</v>
      </c>
      <c r="D1352" s="3" t="s">
        <v>498</v>
      </c>
      <c r="E1352" s="42"/>
      <c r="F1352" s="3" t="s">
        <v>472</v>
      </c>
      <c r="G1352" s="3" t="s">
        <v>219</v>
      </c>
      <c r="H1352" s="4">
        <v>3357608</v>
      </c>
      <c r="I1352" s="3" t="s">
        <v>688</v>
      </c>
      <c r="J1352" s="3" t="s">
        <v>146</v>
      </c>
      <c r="K1352" s="53">
        <v>3346405</v>
      </c>
    </row>
    <row r="1353" spans="1:43" s="3" customFormat="1" x14ac:dyDescent="0.3">
      <c r="B1353" s="44">
        <v>45962</v>
      </c>
      <c r="C1353" s="3" t="s">
        <v>416</v>
      </c>
      <c r="D1353" s="3" t="s">
        <v>498</v>
      </c>
      <c r="E1353" s="42"/>
      <c r="F1353" s="3" t="s">
        <v>472</v>
      </c>
      <c r="G1353" s="3" t="s">
        <v>244</v>
      </c>
      <c r="H1353" s="4">
        <v>3357504</v>
      </c>
      <c r="I1353" s="3" t="s">
        <v>692</v>
      </c>
      <c r="J1353" s="3" t="s">
        <v>223</v>
      </c>
      <c r="K1353" s="4">
        <v>3348007</v>
      </c>
    </row>
    <row r="1354" spans="1:43" s="3" customFormat="1" x14ac:dyDescent="0.3">
      <c r="B1354" s="44">
        <v>45962</v>
      </c>
      <c r="C1354" s="3" t="s">
        <v>416</v>
      </c>
      <c r="D1354" s="3" t="s">
        <v>501</v>
      </c>
      <c r="E1354" s="42"/>
      <c r="F1354" s="3" t="s">
        <v>472</v>
      </c>
      <c r="G1354" s="3" t="s">
        <v>578</v>
      </c>
      <c r="H1354" s="4">
        <v>4022700</v>
      </c>
      <c r="I1354" s="3" t="s">
        <v>692</v>
      </c>
      <c r="J1354" s="3" t="s">
        <v>582</v>
      </c>
      <c r="K1354" s="53">
        <v>3900901</v>
      </c>
      <c r="M1354" s="51"/>
    </row>
    <row r="1355" spans="1:43" s="3" customFormat="1" x14ac:dyDescent="0.3">
      <c r="B1355" s="44">
        <v>45962</v>
      </c>
      <c r="C1355" s="3" t="s">
        <v>416</v>
      </c>
      <c r="D1355" s="3" t="s">
        <v>499</v>
      </c>
      <c r="E1355" s="42"/>
      <c r="F1355" s="3" t="s">
        <v>665</v>
      </c>
      <c r="G1355" s="3" t="s">
        <v>461</v>
      </c>
      <c r="H1355" s="4">
        <v>3818702</v>
      </c>
      <c r="I1355" s="3" t="s">
        <v>652</v>
      </c>
      <c r="J1355" s="3" t="s">
        <v>573</v>
      </c>
      <c r="K1355" s="4">
        <v>3818400</v>
      </c>
    </row>
    <row r="1356" spans="1:43" s="3" customFormat="1" x14ac:dyDescent="0.3">
      <c r="B1356" s="44">
        <v>45962</v>
      </c>
      <c r="C1356" s="3" t="s">
        <v>416</v>
      </c>
      <c r="D1356" s="3" t="s">
        <v>57</v>
      </c>
      <c r="E1356" s="42"/>
      <c r="F1356" s="3" t="s">
        <v>693</v>
      </c>
      <c r="G1356" s="3" t="s">
        <v>258</v>
      </c>
      <c r="H1356" s="4">
        <v>3207109</v>
      </c>
      <c r="I1356" s="15" t="s">
        <v>703</v>
      </c>
      <c r="J1356" s="15" t="s">
        <v>585</v>
      </c>
      <c r="K1356" s="74" t="s">
        <v>556</v>
      </c>
    </row>
    <row r="1357" spans="1:43" s="3" customFormat="1" x14ac:dyDescent="0.3">
      <c r="B1357" s="44">
        <v>45962</v>
      </c>
      <c r="C1357" s="3" t="s">
        <v>416</v>
      </c>
      <c r="D1357" s="3" t="s">
        <v>593</v>
      </c>
      <c r="E1357" s="42"/>
      <c r="F1357" s="3" t="s">
        <v>693</v>
      </c>
      <c r="G1357" s="3" t="s">
        <v>629</v>
      </c>
      <c r="H1357" s="4">
        <v>3961708</v>
      </c>
      <c r="I1357" s="4" t="s">
        <v>661</v>
      </c>
      <c r="J1357" s="4" t="s">
        <v>640</v>
      </c>
      <c r="K1357" s="4">
        <v>3210102</v>
      </c>
    </row>
    <row r="1358" spans="1:43" s="3" customFormat="1" x14ac:dyDescent="0.3">
      <c r="A1358" s="4"/>
      <c r="B1358" s="100">
        <v>45962</v>
      </c>
      <c r="C1358" s="98" t="s">
        <v>553</v>
      </c>
      <c r="D1358" s="4" t="s">
        <v>508</v>
      </c>
      <c r="E1358" s="4"/>
      <c r="F1358" s="73" t="s">
        <v>476</v>
      </c>
      <c r="G1358" s="73" t="s">
        <v>476</v>
      </c>
      <c r="H1358" s="73"/>
      <c r="I1358" s="73" t="s">
        <v>554</v>
      </c>
      <c r="J1358" s="73" t="s">
        <v>9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</row>
    <row r="1359" spans="1:43" s="3" customFormat="1" x14ac:dyDescent="0.3">
      <c r="B1359" s="44">
        <v>45962</v>
      </c>
      <c r="C1359" s="3" t="s">
        <v>416</v>
      </c>
      <c r="D1359" s="3" t="s">
        <v>504</v>
      </c>
      <c r="E1359" s="42"/>
      <c r="F1359" s="4" t="s">
        <v>476</v>
      </c>
      <c r="G1359" s="4" t="s">
        <v>100</v>
      </c>
      <c r="H1359" s="4">
        <v>3125302</v>
      </c>
      <c r="I1359" s="4" t="s">
        <v>671</v>
      </c>
      <c r="J1359" s="4" t="s">
        <v>8</v>
      </c>
      <c r="K1359" s="4">
        <v>3034008</v>
      </c>
    </row>
    <row r="1360" spans="1:43" s="3" customFormat="1" x14ac:dyDescent="0.3">
      <c r="B1360" s="44">
        <v>45962</v>
      </c>
      <c r="C1360" s="3" t="s">
        <v>416</v>
      </c>
      <c r="D1360" s="3" t="s">
        <v>57</v>
      </c>
      <c r="E1360" s="42"/>
      <c r="F1360" s="32" t="s">
        <v>476</v>
      </c>
      <c r="G1360" s="32" t="s">
        <v>249</v>
      </c>
      <c r="H1360" s="15">
        <v>3038202</v>
      </c>
      <c r="I1360" s="32" t="s">
        <v>709</v>
      </c>
      <c r="J1360" s="32" t="s">
        <v>268</v>
      </c>
      <c r="K1360" s="15">
        <v>3203103</v>
      </c>
    </row>
    <row r="1361" spans="2:11" s="3" customFormat="1" x14ac:dyDescent="0.3">
      <c r="B1361" s="44">
        <v>45962</v>
      </c>
      <c r="C1361" s="3" t="s">
        <v>416</v>
      </c>
      <c r="D1361" s="3" t="s">
        <v>489</v>
      </c>
      <c r="E1361" s="4"/>
      <c r="F1361" s="4" t="s">
        <v>476</v>
      </c>
      <c r="G1361" s="4" t="s">
        <v>128</v>
      </c>
      <c r="H1361" s="4">
        <v>3357202</v>
      </c>
      <c r="I1361" s="3" t="s">
        <v>672</v>
      </c>
      <c r="J1361" s="3" t="s">
        <v>129</v>
      </c>
      <c r="K1361" s="4">
        <v>3067503</v>
      </c>
    </row>
    <row r="1362" spans="2:11" s="3" customFormat="1" x14ac:dyDescent="0.3">
      <c r="B1362" s="44">
        <v>45962</v>
      </c>
      <c r="C1362" s="3" t="s">
        <v>416</v>
      </c>
      <c r="D1362" s="3" t="s">
        <v>59</v>
      </c>
      <c r="E1362" s="42"/>
      <c r="F1362" s="3" t="s">
        <v>476</v>
      </c>
      <c r="G1362" s="3" t="s">
        <v>274</v>
      </c>
      <c r="H1362" s="4">
        <v>3206902</v>
      </c>
      <c r="I1362" s="3" t="s">
        <v>655</v>
      </c>
      <c r="J1362" s="3" t="s">
        <v>288</v>
      </c>
      <c r="K1362" s="4">
        <v>3200908</v>
      </c>
    </row>
    <row r="1363" spans="2:11" s="3" customFormat="1" x14ac:dyDescent="0.3">
      <c r="B1363" s="44">
        <v>45962</v>
      </c>
      <c r="C1363" s="3" t="s">
        <v>416</v>
      </c>
      <c r="D1363" s="3" t="s">
        <v>490</v>
      </c>
      <c r="E1363" s="4"/>
      <c r="F1363" s="3" t="s">
        <v>476</v>
      </c>
      <c r="G1363" s="3" t="s">
        <v>168</v>
      </c>
      <c r="H1363" s="4">
        <v>3356505</v>
      </c>
      <c r="I1363" s="4" t="s">
        <v>653</v>
      </c>
      <c r="J1363" s="4" t="s">
        <v>126</v>
      </c>
      <c r="K1363" s="4">
        <v>3361402</v>
      </c>
    </row>
    <row r="1364" spans="2:11" s="3" customFormat="1" x14ac:dyDescent="0.3">
      <c r="B1364" s="44">
        <v>45962</v>
      </c>
      <c r="C1364" s="3" t="s">
        <v>416</v>
      </c>
      <c r="D1364" s="3" t="s">
        <v>493</v>
      </c>
      <c r="E1364" s="42"/>
      <c r="F1364" s="3" t="s">
        <v>476</v>
      </c>
      <c r="G1364" s="3" t="s">
        <v>170</v>
      </c>
      <c r="H1364" s="4">
        <v>3356703</v>
      </c>
      <c r="I1364" s="4" t="s">
        <v>476</v>
      </c>
      <c r="J1364" s="4" t="s">
        <v>169</v>
      </c>
      <c r="K1364" s="4">
        <v>3356609</v>
      </c>
    </row>
    <row r="1365" spans="2:11" s="3" customFormat="1" x14ac:dyDescent="0.3">
      <c r="B1365" s="44">
        <v>45962</v>
      </c>
      <c r="C1365" s="3" t="s">
        <v>416</v>
      </c>
      <c r="D1365" s="3" t="s">
        <v>500</v>
      </c>
      <c r="E1365" s="42"/>
      <c r="F1365" s="3" t="s">
        <v>476</v>
      </c>
      <c r="G1365" s="3" t="s">
        <v>575</v>
      </c>
      <c r="H1365" s="4">
        <v>3900005</v>
      </c>
      <c r="I1365" s="4" t="s">
        <v>471</v>
      </c>
      <c r="J1365" s="4" t="s">
        <v>467</v>
      </c>
      <c r="K1365" s="4">
        <v>3819409</v>
      </c>
    </row>
    <row r="1366" spans="2:11" s="3" customFormat="1" x14ac:dyDescent="0.3">
      <c r="B1366" s="44">
        <v>45962</v>
      </c>
      <c r="C1366" s="3" t="s">
        <v>416</v>
      </c>
      <c r="D1366" s="3" t="s">
        <v>57</v>
      </c>
      <c r="E1366" s="42"/>
      <c r="F1366" s="4" t="s">
        <v>666</v>
      </c>
      <c r="G1366" s="4" t="s">
        <v>259</v>
      </c>
      <c r="H1366" s="4">
        <v>3205809</v>
      </c>
      <c r="I1366" s="74" t="s">
        <v>694</v>
      </c>
      <c r="J1366" s="74" t="s">
        <v>276</v>
      </c>
      <c r="K1366" s="74">
        <v>3201709</v>
      </c>
    </row>
    <row r="1367" spans="2:11" s="3" customFormat="1" x14ac:dyDescent="0.3">
      <c r="B1367" s="44">
        <v>45962</v>
      </c>
      <c r="C1367" s="3" t="s">
        <v>416</v>
      </c>
      <c r="D1367" s="3" t="s">
        <v>610</v>
      </c>
      <c r="E1367" s="42"/>
      <c r="F1367" s="3" t="s">
        <v>666</v>
      </c>
      <c r="G1367" s="3" t="s">
        <v>348</v>
      </c>
      <c r="H1367" s="4">
        <v>3205903</v>
      </c>
      <c r="I1367" s="4" t="s">
        <v>711</v>
      </c>
      <c r="J1367" s="4" t="s">
        <v>381</v>
      </c>
      <c r="K1367" s="4">
        <v>3201209</v>
      </c>
    </row>
    <row r="1368" spans="2:11" s="3" customFormat="1" x14ac:dyDescent="0.3">
      <c r="B1368" s="44">
        <v>45962</v>
      </c>
      <c r="C1368" s="3" t="s">
        <v>416</v>
      </c>
      <c r="D1368" s="3" t="s">
        <v>495</v>
      </c>
      <c r="E1368" s="42"/>
      <c r="F1368" s="3" t="s">
        <v>666</v>
      </c>
      <c r="G1368" s="3" t="s">
        <v>192</v>
      </c>
      <c r="H1368" s="53">
        <v>3357004</v>
      </c>
      <c r="I1368" s="3" t="s">
        <v>670</v>
      </c>
      <c r="J1368" s="3" t="s">
        <v>224</v>
      </c>
      <c r="K1368" s="4">
        <v>3347008</v>
      </c>
    </row>
    <row r="1369" spans="2:11" s="3" customFormat="1" x14ac:dyDescent="0.3">
      <c r="B1369" s="44">
        <v>45962</v>
      </c>
      <c r="C1369" s="3" t="s">
        <v>416</v>
      </c>
      <c r="D1369" s="3" t="s">
        <v>57</v>
      </c>
      <c r="E1369" s="42"/>
      <c r="F1369" s="73" t="s">
        <v>478</v>
      </c>
      <c r="G1369" s="73" t="s">
        <v>260</v>
      </c>
      <c r="H1369" s="15">
        <v>3205705</v>
      </c>
      <c r="I1369" s="3" t="s">
        <v>667</v>
      </c>
      <c r="J1369" s="3" t="s">
        <v>257</v>
      </c>
      <c r="K1369" s="4">
        <v>3209805</v>
      </c>
    </row>
    <row r="1370" spans="2:11" s="3" customFormat="1" x14ac:dyDescent="0.3">
      <c r="B1370" s="44">
        <v>45962</v>
      </c>
      <c r="C1370" s="3" t="s">
        <v>416</v>
      </c>
      <c r="D1370" s="3" t="s">
        <v>58</v>
      </c>
      <c r="E1370" s="42"/>
      <c r="F1370" s="32" t="s">
        <v>478</v>
      </c>
      <c r="G1370" s="32" t="s">
        <v>267</v>
      </c>
      <c r="H1370" s="15">
        <v>3205205</v>
      </c>
      <c r="I1370" s="3" t="s">
        <v>659</v>
      </c>
      <c r="J1370" s="3" t="s">
        <v>265</v>
      </c>
      <c r="K1370" s="32">
        <v>3208702</v>
      </c>
    </row>
    <row r="1371" spans="2:11" s="3" customFormat="1" x14ac:dyDescent="0.3">
      <c r="B1371" s="44">
        <v>45962</v>
      </c>
      <c r="C1371" s="3" t="s">
        <v>416</v>
      </c>
      <c r="D1371" s="3" t="s">
        <v>61</v>
      </c>
      <c r="E1371" s="42"/>
      <c r="F1371" s="4" t="s">
        <v>478</v>
      </c>
      <c r="G1371" s="4" t="s">
        <v>330</v>
      </c>
      <c r="H1371" s="4">
        <v>3205309</v>
      </c>
      <c r="I1371" s="3" t="s">
        <v>645</v>
      </c>
      <c r="J1371" s="3" t="s">
        <v>309</v>
      </c>
      <c r="K1371" s="4">
        <v>3082104</v>
      </c>
    </row>
    <row r="1372" spans="2:11" s="3" customFormat="1" x14ac:dyDescent="0.3">
      <c r="B1372" s="44">
        <v>45962</v>
      </c>
      <c r="C1372" s="3" t="s">
        <v>416</v>
      </c>
      <c r="D1372" s="3" t="s">
        <v>58</v>
      </c>
      <c r="E1372" s="42"/>
      <c r="F1372" s="3" t="s">
        <v>690</v>
      </c>
      <c r="G1372" s="3" t="s">
        <v>303</v>
      </c>
      <c r="H1372" s="4">
        <v>3205101</v>
      </c>
      <c r="I1372" s="3" t="s">
        <v>721</v>
      </c>
      <c r="J1372" s="3" t="s">
        <v>271</v>
      </c>
      <c r="K1372" s="32">
        <v>3194701</v>
      </c>
    </row>
    <row r="1373" spans="2:11" s="3" customFormat="1" x14ac:dyDescent="0.3">
      <c r="B1373" s="44">
        <v>45962</v>
      </c>
      <c r="C1373" s="3" t="s">
        <v>416</v>
      </c>
      <c r="D1373" s="3" t="s">
        <v>66</v>
      </c>
      <c r="E1373" s="42"/>
      <c r="F1373" s="3" t="s">
        <v>690</v>
      </c>
      <c r="G1373" s="3" t="s">
        <v>605</v>
      </c>
      <c r="H1373" s="74">
        <v>3900109</v>
      </c>
      <c r="I1373" s="3" t="s">
        <v>478</v>
      </c>
      <c r="J1373" s="3" t="s">
        <v>604</v>
      </c>
      <c r="K1373" s="74">
        <v>3205507</v>
      </c>
    </row>
    <row r="1374" spans="2:11" s="3" customFormat="1" x14ac:dyDescent="0.3">
      <c r="B1374" s="44">
        <v>45962</v>
      </c>
      <c r="C1374" s="3" t="s">
        <v>416</v>
      </c>
      <c r="D1374" s="3" t="s">
        <v>489</v>
      </c>
      <c r="E1374" s="4"/>
      <c r="F1374" s="4" t="s">
        <v>682</v>
      </c>
      <c r="G1374" s="4" t="s">
        <v>564</v>
      </c>
      <c r="H1374" s="4">
        <v>3969804</v>
      </c>
      <c r="I1374" s="4" t="s">
        <v>712</v>
      </c>
      <c r="J1374" s="4" t="s">
        <v>132</v>
      </c>
      <c r="K1374" s="4">
        <v>3068304</v>
      </c>
    </row>
    <row r="1375" spans="2:11" s="3" customFormat="1" x14ac:dyDescent="0.3">
      <c r="B1375" s="44">
        <v>45962</v>
      </c>
      <c r="C1375" s="3" t="s">
        <v>416</v>
      </c>
      <c r="D1375" s="3" t="s">
        <v>62</v>
      </c>
      <c r="E1375" s="42"/>
      <c r="F1375" s="3" t="s">
        <v>700</v>
      </c>
      <c r="G1375" s="3" t="s">
        <v>442</v>
      </c>
      <c r="H1375" s="4">
        <v>3205007</v>
      </c>
      <c r="I1375" s="3" t="s">
        <v>476</v>
      </c>
      <c r="J1375" s="3" t="s">
        <v>323</v>
      </c>
      <c r="K1375" s="4">
        <v>3206506</v>
      </c>
    </row>
    <row r="1376" spans="2:11" s="3" customFormat="1" x14ac:dyDescent="0.3">
      <c r="B1376" s="44">
        <v>45962</v>
      </c>
      <c r="C1376" s="3" t="s">
        <v>416</v>
      </c>
      <c r="D1376" s="3" t="s">
        <v>493</v>
      </c>
      <c r="E1376" s="42"/>
      <c r="F1376" s="3" t="s">
        <v>701</v>
      </c>
      <c r="G1376" s="3" t="s">
        <v>171</v>
      </c>
      <c r="H1376" s="4">
        <v>3355600</v>
      </c>
      <c r="I1376" s="4" t="s">
        <v>657</v>
      </c>
      <c r="J1376" s="4" t="s">
        <v>167</v>
      </c>
      <c r="K1376" s="4">
        <v>3359804</v>
      </c>
    </row>
    <row r="1377" spans="1:43" s="3" customFormat="1" x14ac:dyDescent="0.3">
      <c r="B1377" s="44">
        <v>45962</v>
      </c>
      <c r="C1377" s="3" t="s">
        <v>416</v>
      </c>
      <c r="D1377" s="3" t="s">
        <v>62</v>
      </c>
      <c r="E1377" s="42"/>
      <c r="F1377" s="3" t="s">
        <v>701</v>
      </c>
      <c r="G1377" s="3" t="s">
        <v>360</v>
      </c>
      <c r="H1377" s="4">
        <v>3203801</v>
      </c>
      <c r="I1377" s="3" t="s">
        <v>676</v>
      </c>
      <c r="J1377" s="3" t="s">
        <v>286</v>
      </c>
      <c r="K1377" s="4">
        <v>3019605</v>
      </c>
    </row>
    <row r="1378" spans="1:43" s="3" customFormat="1" x14ac:dyDescent="0.3">
      <c r="B1378" s="44">
        <v>45962</v>
      </c>
      <c r="C1378" s="3" t="s">
        <v>416</v>
      </c>
      <c r="D1378" s="3" t="s">
        <v>500</v>
      </c>
      <c r="E1378" s="42"/>
      <c r="F1378" s="3" t="s">
        <v>701</v>
      </c>
      <c r="G1378" s="3" t="s">
        <v>236</v>
      </c>
      <c r="H1378" s="4">
        <v>3355704</v>
      </c>
      <c r="I1378" s="4" t="s">
        <v>479</v>
      </c>
      <c r="J1378" s="4" t="s">
        <v>465</v>
      </c>
      <c r="K1378" s="4">
        <v>3962207</v>
      </c>
    </row>
    <row r="1379" spans="1:43" s="3" customFormat="1" x14ac:dyDescent="0.3">
      <c r="B1379" s="44">
        <v>45962</v>
      </c>
      <c r="C1379" s="3" t="s">
        <v>416</v>
      </c>
      <c r="D1379" s="3" t="s">
        <v>593</v>
      </c>
      <c r="E1379" s="42"/>
      <c r="F1379" s="3" t="s">
        <v>701</v>
      </c>
      <c r="G1379" s="3" t="s">
        <v>631</v>
      </c>
      <c r="H1379" s="4">
        <v>4023209</v>
      </c>
      <c r="I1379" s="15" t="s">
        <v>570</v>
      </c>
      <c r="J1379" s="15" t="s">
        <v>570</v>
      </c>
      <c r="K1379" s="74" t="s">
        <v>556</v>
      </c>
    </row>
    <row r="1380" spans="1:43" s="3" customFormat="1" x14ac:dyDescent="0.3">
      <c r="B1380" s="44">
        <v>45962</v>
      </c>
      <c r="C1380" s="3" t="s">
        <v>416</v>
      </c>
      <c r="D1380" s="3" t="s">
        <v>58</v>
      </c>
      <c r="E1380" s="42"/>
      <c r="F1380" s="3" t="s">
        <v>702</v>
      </c>
      <c r="G1380" s="3" t="s">
        <v>447</v>
      </c>
      <c r="H1380" s="32">
        <v>3055207</v>
      </c>
      <c r="I1380" s="3" t="s">
        <v>706</v>
      </c>
      <c r="J1380" s="3" t="s">
        <v>269</v>
      </c>
      <c r="K1380" s="4">
        <v>3069407</v>
      </c>
    </row>
    <row r="1381" spans="1:43" s="3" customFormat="1" x14ac:dyDescent="0.3">
      <c r="B1381" s="44">
        <v>45962</v>
      </c>
      <c r="C1381" s="3" t="s">
        <v>416</v>
      </c>
      <c r="D1381" s="3" t="s">
        <v>60</v>
      </c>
      <c r="E1381" s="42"/>
      <c r="F1381" s="3" t="s">
        <v>695</v>
      </c>
      <c r="G1381" s="3" t="s">
        <v>296</v>
      </c>
      <c r="H1381" s="4">
        <v>3203905</v>
      </c>
      <c r="I1381" s="3" t="s">
        <v>721</v>
      </c>
      <c r="J1381" s="3" t="s">
        <v>300</v>
      </c>
      <c r="K1381" s="32">
        <v>3194805</v>
      </c>
    </row>
    <row r="1382" spans="1:43" s="3" customFormat="1" x14ac:dyDescent="0.3">
      <c r="B1382" s="44">
        <v>45962</v>
      </c>
      <c r="C1382" s="3" t="s">
        <v>416</v>
      </c>
      <c r="D1382" s="3" t="s">
        <v>488</v>
      </c>
      <c r="E1382" s="42"/>
      <c r="F1382" s="4" t="s">
        <v>695</v>
      </c>
      <c r="G1382" s="4" t="s">
        <v>147</v>
      </c>
      <c r="H1382" s="4">
        <v>3067409</v>
      </c>
      <c r="I1382" s="4" t="s">
        <v>684</v>
      </c>
      <c r="J1382" s="4" t="s">
        <v>121</v>
      </c>
      <c r="K1382" s="4">
        <v>3354309</v>
      </c>
    </row>
    <row r="1383" spans="1:43" s="3" customFormat="1" x14ac:dyDescent="0.3">
      <c r="B1383" s="44">
        <v>45962</v>
      </c>
      <c r="C1383" s="3" t="s">
        <v>416</v>
      </c>
      <c r="D1383" s="3" t="s">
        <v>488</v>
      </c>
      <c r="E1383" s="42"/>
      <c r="F1383" s="3" t="s">
        <v>704</v>
      </c>
      <c r="G1383" s="3" t="s">
        <v>120</v>
      </c>
      <c r="H1383" s="4">
        <v>3355506</v>
      </c>
      <c r="I1383" s="3" t="s">
        <v>702</v>
      </c>
      <c r="J1383" s="3" t="s">
        <v>119</v>
      </c>
      <c r="K1383" s="4">
        <v>3067909</v>
      </c>
    </row>
    <row r="1384" spans="1:43" s="3" customFormat="1" x14ac:dyDescent="0.3">
      <c r="A1384" s="4"/>
      <c r="B1384" s="100">
        <v>45962</v>
      </c>
      <c r="C1384" s="98" t="s">
        <v>553</v>
      </c>
      <c r="D1384" s="4" t="s">
        <v>508</v>
      </c>
      <c r="E1384" s="4"/>
      <c r="F1384" s="73" t="s">
        <v>473</v>
      </c>
      <c r="G1384" s="73" t="s">
        <v>473</v>
      </c>
      <c r="H1384" s="73"/>
      <c r="I1384" s="73" t="s">
        <v>534</v>
      </c>
      <c r="J1384" s="73" t="s">
        <v>524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</row>
    <row r="1385" spans="1:43" s="3" customFormat="1" x14ac:dyDescent="0.3">
      <c r="B1385" s="44">
        <v>45962</v>
      </c>
      <c r="C1385" s="3" t="s">
        <v>416</v>
      </c>
      <c r="D1385" s="3" t="s">
        <v>60</v>
      </c>
      <c r="E1385" s="42"/>
      <c r="F1385" s="3" t="s">
        <v>473</v>
      </c>
      <c r="G1385" s="3" t="s">
        <v>445</v>
      </c>
      <c r="H1385" s="4">
        <v>3204102</v>
      </c>
      <c r="I1385" s="3" t="s">
        <v>473</v>
      </c>
      <c r="J1385" s="3" t="s">
        <v>446</v>
      </c>
      <c r="K1385" s="32">
        <v>3204206</v>
      </c>
    </row>
    <row r="1386" spans="1:43" s="3" customFormat="1" x14ac:dyDescent="0.3">
      <c r="B1386" s="44">
        <v>45962</v>
      </c>
      <c r="C1386" s="3" t="s">
        <v>416</v>
      </c>
      <c r="D1386" s="3" t="s">
        <v>67</v>
      </c>
      <c r="E1386" s="42"/>
      <c r="F1386" s="4" t="s">
        <v>708</v>
      </c>
      <c r="G1386" s="4" t="s">
        <v>339</v>
      </c>
      <c r="H1386" s="4">
        <v>3204300</v>
      </c>
      <c r="I1386" s="4" t="s">
        <v>475</v>
      </c>
      <c r="J1386" s="4" t="s">
        <v>336</v>
      </c>
      <c r="K1386" s="4">
        <v>3211809</v>
      </c>
    </row>
    <row r="1387" spans="1:43" s="3" customFormat="1" x14ac:dyDescent="0.3">
      <c r="B1387" s="44">
        <v>45962</v>
      </c>
      <c r="C1387" s="3" t="s">
        <v>416</v>
      </c>
      <c r="D1387" s="3" t="s">
        <v>501</v>
      </c>
      <c r="E1387" s="42"/>
      <c r="F1387" s="3" t="s">
        <v>708</v>
      </c>
      <c r="G1387" s="3" t="s">
        <v>598</v>
      </c>
      <c r="H1387" s="4">
        <v>3354903</v>
      </c>
      <c r="I1387" s="3" t="s">
        <v>662</v>
      </c>
      <c r="J1387" s="3" t="s">
        <v>243</v>
      </c>
      <c r="K1387" s="4">
        <v>3899907</v>
      </c>
      <c r="M1387" s="51"/>
    </row>
    <row r="1388" spans="1:43" s="3" customFormat="1" x14ac:dyDescent="0.3">
      <c r="B1388" s="44">
        <v>45962</v>
      </c>
      <c r="C1388" s="3" t="s">
        <v>416</v>
      </c>
      <c r="D1388" s="3" t="s">
        <v>488</v>
      </c>
      <c r="E1388" s="42"/>
      <c r="F1388" s="3" t="s">
        <v>703</v>
      </c>
      <c r="G1388" s="3" t="s">
        <v>560</v>
      </c>
      <c r="H1388" s="4" t="s">
        <v>562</v>
      </c>
      <c r="I1388" s="3" t="s">
        <v>680</v>
      </c>
      <c r="J1388" s="3" t="s">
        <v>117</v>
      </c>
      <c r="K1388" s="4">
        <v>3359002</v>
      </c>
    </row>
    <row r="1389" spans="1:43" s="3" customFormat="1" x14ac:dyDescent="0.3">
      <c r="B1389" s="44">
        <v>45962</v>
      </c>
      <c r="C1389" s="3" t="s">
        <v>416</v>
      </c>
      <c r="D1389" s="3" t="s">
        <v>66</v>
      </c>
      <c r="E1389" s="42"/>
      <c r="F1389" s="3" t="s">
        <v>703</v>
      </c>
      <c r="G1389" s="3" t="s">
        <v>606</v>
      </c>
      <c r="H1389" s="74" t="s">
        <v>588</v>
      </c>
      <c r="I1389" s="3" t="s">
        <v>709</v>
      </c>
      <c r="J1389" s="3" t="s">
        <v>607</v>
      </c>
      <c r="K1389" s="4">
        <v>3596309</v>
      </c>
    </row>
    <row r="1390" spans="1:43" s="3" customFormat="1" x14ac:dyDescent="0.3">
      <c r="B1390" s="44">
        <v>45962</v>
      </c>
      <c r="C1390" s="3" t="s">
        <v>416</v>
      </c>
      <c r="D1390" s="3" t="s">
        <v>491</v>
      </c>
      <c r="E1390" s="42"/>
      <c r="F1390" s="4" t="s">
        <v>709</v>
      </c>
      <c r="G1390" s="4" t="s">
        <v>566</v>
      </c>
      <c r="H1390" s="4">
        <v>3560703</v>
      </c>
      <c r="I1390" s="3" t="s">
        <v>690</v>
      </c>
      <c r="J1390" s="3" t="s">
        <v>179</v>
      </c>
      <c r="K1390" s="4">
        <v>3818900</v>
      </c>
    </row>
    <row r="1391" spans="1:43" s="3" customFormat="1" x14ac:dyDescent="0.3">
      <c r="B1391" s="44">
        <v>45962</v>
      </c>
      <c r="C1391" s="3" t="s">
        <v>416</v>
      </c>
      <c r="D1391" s="3" t="s">
        <v>61</v>
      </c>
      <c r="E1391" s="42"/>
      <c r="F1391" s="3" t="s">
        <v>684</v>
      </c>
      <c r="G1391" s="3" t="s">
        <v>306</v>
      </c>
      <c r="H1391" s="4">
        <v>3202604</v>
      </c>
      <c r="I1391" s="3" t="s">
        <v>703</v>
      </c>
      <c r="J1391" s="3" t="s">
        <v>596</v>
      </c>
      <c r="K1391" s="4" t="s">
        <v>556</v>
      </c>
    </row>
    <row r="1392" spans="1:43" s="3" customFormat="1" x14ac:dyDescent="0.3">
      <c r="B1392" s="44">
        <v>45962</v>
      </c>
      <c r="C1392" s="3" t="s">
        <v>416</v>
      </c>
      <c r="D1392" s="3" t="s">
        <v>491</v>
      </c>
      <c r="E1392" s="42"/>
      <c r="F1392" s="3" t="s">
        <v>684</v>
      </c>
      <c r="G1392" s="3" t="s">
        <v>149</v>
      </c>
      <c r="H1392" s="4">
        <v>3354507</v>
      </c>
      <c r="I1392" s="3" t="s">
        <v>645</v>
      </c>
      <c r="J1392" s="3" t="s">
        <v>152</v>
      </c>
      <c r="K1392" s="4">
        <v>3351302</v>
      </c>
    </row>
    <row r="1393" spans="2:11" s="3" customFormat="1" x14ac:dyDescent="0.3">
      <c r="B1393" s="44">
        <v>45962</v>
      </c>
      <c r="C1393" s="3" t="s">
        <v>416</v>
      </c>
      <c r="D1393" s="3" t="s">
        <v>63</v>
      </c>
      <c r="E1393" s="42"/>
      <c r="F1393" s="3" t="s">
        <v>684</v>
      </c>
      <c r="G1393" s="3" t="s">
        <v>369</v>
      </c>
      <c r="H1393" s="74">
        <v>3202708</v>
      </c>
      <c r="I1393" s="3" t="s">
        <v>478</v>
      </c>
      <c r="J1393" s="3" t="s">
        <v>331</v>
      </c>
      <c r="K1393" s="74">
        <v>3205403</v>
      </c>
    </row>
    <row r="1394" spans="2:11" s="3" customFormat="1" x14ac:dyDescent="0.3">
      <c r="B1394" s="44">
        <v>45962</v>
      </c>
      <c r="C1394" s="3" t="s">
        <v>416</v>
      </c>
      <c r="D1394" s="3" t="s">
        <v>491</v>
      </c>
      <c r="E1394" s="42"/>
      <c r="F1394" s="104" t="s">
        <v>684</v>
      </c>
      <c r="G1394" s="104" t="s">
        <v>182</v>
      </c>
      <c r="H1394" s="53">
        <v>3900203</v>
      </c>
      <c r="I1394" s="3" t="s">
        <v>698</v>
      </c>
      <c r="J1394" s="3" t="s">
        <v>567</v>
      </c>
      <c r="K1394" s="4" t="s">
        <v>556</v>
      </c>
    </row>
    <row r="1395" spans="2:11" s="3" customFormat="1" x14ac:dyDescent="0.3">
      <c r="B1395" s="44">
        <v>45962</v>
      </c>
      <c r="C1395" s="3" t="s">
        <v>416</v>
      </c>
      <c r="D1395" s="3" t="s">
        <v>56</v>
      </c>
      <c r="E1395" s="42"/>
      <c r="F1395" s="3" t="s">
        <v>646</v>
      </c>
      <c r="G1395" s="3" t="s">
        <v>251</v>
      </c>
      <c r="H1395" s="4">
        <v>3036704</v>
      </c>
      <c r="I1395" s="3" t="s">
        <v>475</v>
      </c>
      <c r="J1395" s="3" t="s">
        <v>256</v>
      </c>
      <c r="K1395" s="4">
        <v>3068700</v>
      </c>
    </row>
    <row r="1396" spans="2:11" s="3" customFormat="1" x14ac:dyDescent="0.3">
      <c r="B1396" s="44">
        <v>45962</v>
      </c>
      <c r="C1396" s="3" t="s">
        <v>416</v>
      </c>
      <c r="D1396" s="3" t="s">
        <v>64</v>
      </c>
      <c r="E1396" s="42">
        <v>4370907</v>
      </c>
      <c r="F1396" s="3" t="s">
        <v>646</v>
      </c>
      <c r="G1396" s="3" t="s">
        <v>349</v>
      </c>
      <c r="H1396" s="4">
        <v>3202500</v>
      </c>
      <c r="I1396" s="4" t="s">
        <v>670</v>
      </c>
      <c r="J1396" s="4" t="s">
        <v>343</v>
      </c>
      <c r="K1396" s="4">
        <v>3195606</v>
      </c>
    </row>
    <row r="1397" spans="2:11" s="3" customFormat="1" x14ac:dyDescent="0.3">
      <c r="B1397" s="44">
        <v>45962</v>
      </c>
      <c r="C1397" s="3" t="s">
        <v>416</v>
      </c>
      <c r="D1397" s="3" t="s">
        <v>495</v>
      </c>
      <c r="E1397" s="42"/>
      <c r="F1397" s="3" t="s">
        <v>646</v>
      </c>
      <c r="G1397" s="3" t="s">
        <v>195</v>
      </c>
      <c r="H1397" s="74">
        <v>3361600</v>
      </c>
      <c r="I1397" s="3" t="s">
        <v>666</v>
      </c>
      <c r="J1397" s="3" t="s">
        <v>193</v>
      </c>
      <c r="K1397" s="4">
        <v>3357108</v>
      </c>
    </row>
    <row r="1398" spans="2:11" s="3" customFormat="1" x14ac:dyDescent="0.3">
      <c r="B1398" s="44">
        <v>45962</v>
      </c>
      <c r="C1398" s="3" t="s">
        <v>416</v>
      </c>
      <c r="D1398" s="3" t="s">
        <v>56</v>
      </c>
      <c r="E1398" s="42"/>
      <c r="F1398" s="4" t="s">
        <v>696</v>
      </c>
      <c r="G1398" s="4" t="s">
        <v>261</v>
      </c>
      <c r="H1398" s="4">
        <v>3202302</v>
      </c>
      <c r="I1398" s="4" t="s">
        <v>472</v>
      </c>
      <c r="J1398" s="4" t="s">
        <v>248</v>
      </c>
      <c r="K1398" s="4">
        <v>3207609</v>
      </c>
    </row>
    <row r="1399" spans="2:11" s="3" customFormat="1" x14ac:dyDescent="0.3">
      <c r="B1399" s="44">
        <v>45962</v>
      </c>
      <c r="C1399" s="3" t="s">
        <v>416</v>
      </c>
      <c r="D1399" s="3" t="s">
        <v>61</v>
      </c>
      <c r="E1399" s="42"/>
      <c r="F1399" s="3" t="s">
        <v>696</v>
      </c>
      <c r="G1399" s="3" t="s">
        <v>307</v>
      </c>
      <c r="H1399" s="4">
        <v>3201907</v>
      </c>
      <c r="I1399" s="3" t="s">
        <v>690</v>
      </c>
      <c r="J1399" s="3" t="s">
        <v>304</v>
      </c>
      <c r="K1399" s="4">
        <v>3204404</v>
      </c>
    </row>
    <row r="1400" spans="2:11" s="3" customFormat="1" x14ac:dyDescent="0.3">
      <c r="B1400" s="44">
        <v>45962</v>
      </c>
      <c r="C1400" s="3" t="s">
        <v>416</v>
      </c>
      <c r="D1400" s="3" t="s">
        <v>66</v>
      </c>
      <c r="E1400" s="42"/>
      <c r="F1400" s="3" t="s">
        <v>696</v>
      </c>
      <c r="G1400" s="3" t="s">
        <v>609</v>
      </c>
      <c r="H1400" s="74">
        <v>3900401</v>
      </c>
      <c r="I1400" s="3" t="s">
        <v>684</v>
      </c>
      <c r="J1400" s="3" t="s">
        <v>608</v>
      </c>
      <c r="K1400" s="74">
        <v>3819107</v>
      </c>
    </row>
    <row r="1401" spans="2:11" s="3" customFormat="1" x14ac:dyDescent="0.3">
      <c r="B1401" s="44">
        <v>45962</v>
      </c>
      <c r="C1401" s="3" t="s">
        <v>416</v>
      </c>
      <c r="D1401" s="3" t="s">
        <v>500</v>
      </c>
      <c r="E1401" s="42"/>
      <c r="F1401" s="3" t="s">
        <v>672</v>
      </c>
      <c r="G1401" s="3" t="s">
        <v>187</v>
      </c>
      <c r="H1401" s="4">
        <v>3354101</v>
      </c>
      <c r="I1401" s="4" t="s">
        <v>479</v>
      </c>
      <c r="J1401" s="4" t="s">
        <v>232</v>
      </c>
      <c r="K1401" s="4">
        <v>3360507</v>
      </c>
    </row>
    <row r="1402" spans="2:11" s="3" customFormat="1" x14ac:dyDescent="0.3">
      <c r="B1402" s="44">
        <v>45962</v>
      </c>
      <c r="C1402" s="3" t="s">
        <v>416</v>
      </c>
      <c r="D1402" s="3" t="s">
        <v>67</v>
      </c>
      <c r="E1402" s="42"/>
      <c r="F1402" s="3" t="s">
        <v>672</v>
      </c>
      <c r="G1402" s="3" t="s">
        <v>375</v>
      </c>
      <c r="H1402" s="4">
        <v>3069209</v>
      </c>
      <c r="I1402" s="3" t="s">
        <v>717</v>
      </c>
      <c r="J1402" s="3" t="s">
        <v>435</v>
      </c>
      <c r="K1402" s="4">
        <v>3195200</v>
      </c>
    </row>
    <row r="1403" spans="2:11" s="3" customFormat="1" x14ac:dyDescent="0.3">
      <c r="B1403" s="44">
        <v>45962</v>
      </c>
      <c r="C1403" s="3" t="s">
        <v>416</v>
      </c>
      <c r="D1403" s="3" t="s">
        <v>70</v>
      </c>
      <c r="E1403" s="42"/>
      <c r="F1403" s="3" t="s">
        <v>672</v>
      </c>
      <c r="G1403" s="3" t="s">
        <v>401</v>
      </c>
      <c r="H1403" s="4">
        <v>3202000</v>
      </c>
      <c r="I1403" s="3" t="s">
        <v>689</v>
      </c>
      <c r="J1403" s="3" t="s">
        <v>404</v>
      </c>
      <c r="K1403" s="53">
        <v>3196605</v>
      </c>
    </row>
    <row r="1404" spans="2:11" s="3" customFormat="1" x14ac:dyDescent="0.3">
      <c r="B1404" s="44">
        <v>45962</v>
      </c>
      <c r="C1404" s="3" t="s">
        <v>416</v>
      </c>
      <c r="D1404" s="3" t="s">
        <v>58</v>
      </c>
      <c r="E1404" s="42"/>
      <c r="F1404" s="3" t="s">
        <v>697</v>
      </c>
      <c r="G1404" s="3" t="s">
        <v>262</v>
      </c>
      <c r="H1404" s="4">
        <v>3055405</v>
      </c>
      <c r="I1404" s="3" t="s">
        <v>703</v>
      </c>
      <c r="J1404" s="3" t="s">
        <v>586</v>
      </c>
      <c r="K1404" s="32" t="s">
        <v>588</v>
      </c>
    </row>
    <row r="1405" spans="2:11" s="3" customFormat="1" x14ac:dyDescent="0.3">
      <c r="B1405" s="44">
        <v>45962</v>
      </c>
      <c r="C1405" s="3" t="s">
        <v>416</v>
      </c>
      <c r="D1405" s="3" t="s">
        <v>491</v>
      </c>
      <c r="E1405" s="42"/>
      <c r="F1405" s="3" t="s">
        <v>697</v>
      </c>
      <c r="G1405" s="3" t="s">
        <v>150</v>
      </c>
      <c r="H1405" s="4">
        <v>3353706</v>
      </c>
      <c r="I1405" s="3" t="s">
        <v>695</v>
      </c>
      <c r="J1405" s="3" t="s">
        <v>148</v>
      </c>
      <c r="K1405" s="4">
        <v>3355402</v>
      </c>
    </row>
    <row r="1406" spans="2:11" s="3" customFormat="1" x14ac:dyDescent="0.3">
      <c r="B1406" s="44">
        <v>45962</v>
      </c>
      <c r="C1406" s="3" t="s">
        <v>416</v>
      </c>
      <c r="D1406" s="3" t="s">
        <v>504</v>
      </c>
      <c r="E1406" s="42"/>
      <c r="F1406" s="4" t="s">
        <v>694</v>
      </c>
      <c r="G1406" s="4" t="s">
        <v>112</v>
      </c>
      <c r="H1406" s="4">
        <v>3353602</v>
      </c>
      <c r="I1406" s="4" t="s">
        <v>480</v>
      </c>
      <c r="J1406" s="4" t="s">
        <v>505</v>
      </c>
      <c r="K1406" s="4">
        <v>3033207</v>
      </c>
    </row>
    <row r="1407" spans="2:11" s="3" customFormat="1" x14ac:dyDescent="0.3">
      <c r="B1407" s="44">
        <v>45962</v>
      </c>
      <c r="C1407" s="3" t="s">
        <v>416</v>
      </c>
      <c r="D1407" s="3" t="s">
        <v>498</v>
      </c>
      <c r="E1407" s="42"/>
      <c r="F1407" s="3" t="s">
        <v>694</v>
      </c>
      <c r="G1407" s="3" t="s">
        <v>245</v>
      </c>
      <c r="H1407" s="4">
        <v>3352905</v>
      </c>
      <c r="I1407" s="3" t="s">
        <v>647</v>
      </c>
      <c r="J1407" s="3" t="s">
        <v>225</v>
      </c>
      <c r="K1407" s="4">
        <v>3345802</v>
      </c>
    </row>
    <row r="1408" spans="2:11" s="3" customFormat="1" x14ac:dyDescent="0.3">
      <c r="B1408" s="44">
        <v>45962</v>
      </c>
      <c r="C1408" s="3" t="s">
        <v>416</v>
      </c>
      <c r="D1408" s="3" t="s">
        <v>593</v>
      </c>
      <c r="E1408" s="42"/>
      <c r="F1408" s="3" t="s">
        <v>694</v>
      </c>
      <c r="G1408" s="3" t="s">
        <v>632</v>
      </c>
      <c r="H1408" s="4">
        <v>4023303</v>
      </c>
      <c r="I1408" s="4" t="s">
        <v>479</v>
      </c>
      <c r="J1408" s="4" t="s">
        <v>628</v>
      </c>
      <c r="K1408" s="4" t="s">
        <v>642</v>
      </c>
    </row>
    <row r="1409" spans="2:13" s="3" customFormat="1" x14ac:dyDescent="0.3">
      <c r="B1409" s="44">
        <v>45962</v>
      </c>
      <c r="C1409" s="3" t="s">
        <v>416</v>
      </c>
      <c r="D1409" s="3" t="s">
        <v>65</v>
      </c>
      <c r="E1409" s="42"/>
      <c r="F1409" s="3" t="s">
        <v>655</v>
      </c>
      <c r="G1409" s="3" t="s">
        <v>325</v>
      </c>
      <c r="H1409" s="4">
        <v>3201501</v>
      </c>
      <c r="I1409" s="4" t="s">
        <v>693</v>
      </c>
      <c r="J1409" s="4" t="s">
        <v>357</v>
      </c>
      <c r="K1409" s="4">
        <v>3206704</v>
      </c>
    </row>
    <row r="1410" spans="2:13" s="3" customFormat="1" x14ac:dyDescent="0.3">
      <c r="B1410" s="44">
        <v>45962</v>
      </c>
      <c r="C1410" s="3" t="s">
        <v>416</v>
      </c>
      <c r="D1410" s="3" t="s">
        <v>69</v>
      </c>
      <c r="E1410" s="42"/>
      <c r="F1410" s="3" t="s">
        <v>655</v>
      </c>
      <c r="G1410" s="3" t="s">
        <v>394</v>
      </c>
      <c r="H1410" s="4">
        <v>3201105</v>
      </c>
      <c r="I1410" s="3" t="s">
        <v>694</v>
      </c>
      <c r="J1410" s="3" t="s">
        <v>402</v>
      </c>
      <c r="K1410" s="4">
        <v>3201407</v>
      </c>
    </row>
    <row r="1411" spans="2:13" s="3" customFormat="1" x14ac:dyDescent="0.3">
      <c r="B1411" s="44">
        <v>45962</v>
      </c>
      <c r="C1411" s="3" t="s">
        <v>416</v>
      </c>
      <c r="D1411" s="3" t="s">
        <v>489</v>
      </c>
      <c r="E1411" s="4"/>
      <c r="F1411" s="4" t="s">
        <v>685</v>
      </c>
      <c r="G1411" s="4" t="s">
        <v>160</v>
      </c>
      <c r="H1411" s="4">
        <v>3353008</v>
      </c>
      <c r="I1411" s="3" t="s">
        <v>671</v>
      </c>
      <c r="J1411" s="3" t="s">
        <v>156</v>
      </c>
      <c r="K1411" s="4">
        <v>3359200</v>
      </c>
    </row>
    <row r="1412" spans="2:13" s="3" customFormat="1" x14ac:dyDescent="0.3">
      <c r="B1412" s="44">
        <v>45962</v>
      </c>
      <c r="C1412" s="3" t="s">
        <v>416</v>
      </c>
      <c r="D1412" s="3" t="s">
        <v>610</v>
      </c>
      <c r="E1412" s="42"/>
      <c r="F1412" s="3" t="s">
        <v>685</v>
      </c>
      <c r="G1412" s="3" t="s">
        <v>351</v>
      </c>
      <c r="H1412" s="4">
        <v>3201001</v>
      </c>
      <c r="I1412" s="4" t="s">
        <v>716</v>
      </c>
      <c r="J1412" s="4" t="s">
        <v>433</v>
      </c>
      <c r="K1412" s="4">
        <v>3198905</v>
      </c>
    </row>
    <row r="1413" spans="2:13" s="3" customFormat="1" x14ac:dyDescent="0.3">
      <c r="B1413" s="44">
        <v>45962</v>
      </c>
      <c r="C1413" s="3" t="s">
        <v>416</v>
      </c>
      <c r="D1413" s="3" t="s">
        <v>495</v>
      </c>
      <c r="E1413" s="42"/>
      <c r="F1413" s="3" t="s">
        <v>685</v>
      </c>
      <c r="G1413" s="3" t="s">
        <v>196</v>
      </c>
      <c r="H1413" s="4">
        <v>3353102</v>
      </c>
      <c r="I1413" s="3" t="s">
        <v>699</v>
      </c>
      <c r="J1413" s="3" t="s">
        <v>569</v>
      </c>
      <c r="K1413" s="4">
        <v>3125708</v>
      </c>
    </row>
    <row r="1414" spans="2:13" s="3" customFormat="1" x14ac:dyDescent="0.3">
      <c r="B1414" s="44">
        <v>45962</v>
      </c>
      <c r="C1414" s="3" t="s">
        <v>416</v>
      </c>
      <c r="D1414" s="3" t="s">
        <v>610</v>
      </c>
      <c r="E1414" s="42"/>
      <c r="F1414" s="3" t="s">
        <v>685</v>
      </c>
      <c r="G1414" s="3" t="s">
        <v>382</v>
      </c>
      <c r="H1414" s="4">
        <v>3200804</v>
      </c>
      <c r="I1414" s="4" t="s">
        <v>650</v>
      </c>
      <c r="J1414" s="4" t="s">
        <v>353</v>
      </c>
      <c r="K1414" s="4">
        <v>3200200</v>
      </c>
    </row>
    <row r="1415" spans="2:13" s="3" customFormat="1" x14ac:dyDescent="0.3">
      <c r="B1415" s="44">
        <v>45962</v>
      </c>
      <c r="C1415" s="3" t="s">
        <v>416</v>
      </c>
      <c r="D1415" s="3" t="s">
        <v>610</v>
      </c>
      <c r="E1415" s="42"/>
      <c r="F1415" s="3" t="s">
        <v>474</v>
      </c>
      <c r="G1415" s="3" t="s">
        <v>458</v>
      </c>
      <c r="H1415" s="4">
        <v>3200304</v>
      </c>
      <c r="I1415" s="4" t="s">
        <v>682</v>
      </c>
      <c r="J1415" s="4" t="s">
        <v>611</v>
      </c>
      <c r="K1415" s="4">
        <v>3204800</v>
      </c>
    </row>
    <row r="1416" spans="2:13" s="3" customFormat="1" x14ac:dyDescent="0.3">
      <c r="B1416" s="44">
        <v>45962</v>
      </c>
      <c r="C1416" s="3" t="s">
        <v>416</v>
      </c>
      <c r="D1416" s="3" t="s">
        <v>492</v>
      </c>
      <c r="E1416" s="42"/>
      <c r="F1416" s="3" t="s">
        <v>474</v>
      </c>
      <c r="G1416" s="3" t="s">
        <v>161</v>
      </c>
      <c r="H1416" s="4">
        <v>3352509</v>
      </c>
      <c r="I1416" s="3" t="s">
        <v>646</v>
      </c>
      <c r="J1416" s="3" t="s">
        <v>159</v>
      </c>
      <c r="K1416" s="4">
        <v>3354403</v>
      </c>
    </row>
    <row r="1417" spans="2:13" s="3" customFormat="1" x14ac:dyDescent="0.3">
      <c r="B1417" s="44">
        <v>45962</v>
      </c>
      <c r="C1417" s="3" t="s">
        <v>416</v>
      </c>
      <c r="D1417" s="3" t="s">
        <v>496</v>
      </c>
      <c r="E1417" s="42"/>
      <c r="F1417" s="4" t="s">
        <v>474</v>
      </c>
      <c r="G1417" s="4" t="s">
        <v>426</v>
      </c>
      <c r="H1417" s="4">
        <v>3352603</v>
      </c>
      <c r="I1417" s="4" t="s">
        <v>710</v>
      </c>
      <c r="J1417" s="4" t="s">
        <v>206</v>
      </c>
      <c r="K1417" s="4">
        <v>3352103</v>
      </c>
    </row>
    <row r="1418" spans="2:13" s="3" customFormat="1" x14ac:dyDescent="0.3">
      <c r="B1418" s="44">
        <v>45962</v>
      </c>
      <c r="C1418" s="3" t="s">
        <v>416</v>
      </c>
      <c r="D1418" s="3" t="s">
        <v>492</v>
      </c>
      <c r="E1418" s="42"/>
      <c r="F1418" s="3" t="s">
        <v>714</v>
      </c>
      <c r="G1418" s="3" t="s">
        <v>162</v>
      </c>
      <c r="H1418" s="4">
        <v>3348903</v>
      </c>
      <c r="I1418" s="3" t="s">
        <v>666</v>
      </c>
      <c r="J1418" s="3" t="s">
        <v>158</v>
      </c>
      <c r="K1418" s="4">
        <v>3356901</v>
      </c>
    </row>
    <row r="1419" spans="2:13" s="3" customFormat="1" x14ac:dyDescent="0.3">
      <c r="B1419" s="44">
        <v>45962</v>
      </c>
      <c r="C1419" s="3" t="s">
        <v>416</v>
      </c>
      <c r="D1419" s="3" t="s">
        <v>496</v>
      </c>
      <c r="E1419" s="42"/>
      <c r="F1419" s="3" t="s">
        <v>650</v>
      </c>
      <c r="G1419" s="3" t="s">
        <v>205</v>
      </c>
      <c r="H1419" s="74">
        <v>3351906</v>
      </c>
      <c r="I1419" s="3" t="s">
        <v>716</v>
      </c>
      <c r="J1419" s="3" t="s">
        <v>427</v>
      </c>
      <c r="K1419" s="4">
        <v>3351500</v>
      </c>
    </row>
    <row r="1420" spans="2:13" s="3" customFormat="1" x14ac:dyDescent="0.3">
      <c r="B1420" s="44">
        <v>45962</v>
      </c>
      <c r="C1420" s="3" t="s">
        <v>416</v>
      </c>
      <c r="D1420" s="3" t="s">
        <v>499</v>
      </c>
      <c r="E1420" s="42"/>
      <c r="F1420" s="3" t="s">
        <v>650</v>
      </c>
      <c r="G1420" s="3" t="s">
        <v>571</v>
      </c>
      <c r="H1420" s="4">
        <v>3900505</v>
      </c>
      <c r="I1420" s="3" t="s">
        <v>474</v>
      </c>
      <c r="J1420" s="3" t="s">
        <v>597</v>
      </c>
      <c r="K1420" s="4">
        <v>3352707</v>
      </c>
      <c r="M1420" s="51"/>
    </row>
    <row r="1421" spans="2:13" s="3" customFormat="1" x14ac:dyDescent="0.3">
      <c r="B1421" s="44">
        <v>45962</v>
      </c>
      <c r="C1421" s="3" t="s">
        <v>416</v>
      </c>
      <c r="D1421" s="3" t="s">
        <v>68</v>
      </c>
      <c r="E1421" s="42"/>
      <c r="F1421" s="3" t="s">
        <v>650</v>
      </c>
      <c r="G1421" s="3" t="s">
        <v>390</v>
      </c>
      <c r="H1421" s="4">
        <v>3544509</v>
      </c>
      <c r="I1421" s="4" t="s">
        <v>474</v>
      </c>
      <c r="J1421" s="4" t="s">
        <v>383</v>
      </c>
      <c r="K1421" s="4">
        <v>3200502</v>
      </c>
    </row>
    <row r="1422" spans="2:13" s="3" customFormat="1" x14ac:dyDescent="0.3">
      <c r="B1422" s="44">
        <v>45962</v>
      </c>
      <c r="C1422" s="3" t="s">
        <v>416</v>
      </c>
      <c r="D1422" s="3" t="s">
        <v>59</v>
      </c>
      <c r="E1422" s="42"/>
      <c r="F1422" s="4" t="s">
        <v>656</v>
      </c>
      <c r="G1422" s="4" t="s">
        <v>278</v>
      </c>
      <c r="H1422" s="4">
        <v>3199800</v>
      </c>
      <c r="I1422" s="4" t="s">
        <v>479</v>
      </c>
      <c r="J1422" s="4" t="s">
        <v>273</v>
      </c>
      <c r="K1422" s="4">
        <v>3211007</v>
      </c>
    </row>
    <row r="1423" spans="2:13" s="3" customFormat="1" x14ac:dyDescent="0.3">
      <c r="B1423" s="44">
        <v>45962</v>
      </c>
      <c r="C1423" s="3" t="s">
        <v>416</v>
      </c>
      <c r="D1423" s="3" t="s">
        <v>65</v>
      </c>
      <c r="E1423" s="42"/>
      <c r="F1423" s="3" t="s">
        <v>656</v>
      </c>
      <c r="G1423" s="3" t="s">
        <v>326</v>
      </c>
      <c r="H1423" s="4">
        <v>3199904</v>
      </c>
      <c r="I1423" s="4" t="s">
        <v>476</v>
      </c>
      <c r="J1423" s="4" t="s">
        <v>358</v>
      </c>
      <c r="K1423" s="4">
        <v>3206402</v>
      </c>
    </row>
    <row r="1424" spans="2:13" s="3" customFormat="1" x14ac:dyDescent="0.3">
      <c r="B1424" s="44">
        <v>45962</v>
      </c>
      <c r="C1424" s="3" t="s">
        <v>416</v>
      </c>
      <c r="D1424" s="3" t="s">
        <v>69</v>
      </c>
      <c r="E1424" s="42"/>
      <c r="F1424" s="3" t="s">
        <v>656</v>
      </c>
      <c r="G1424" s="3" t="s">
        <v>361</v>
      </c>
      <c r="H1424" s="4">
        <v>3200002</v>
      </c>
      <c r="I1424" s="3" t="s">
        <v>694</v>
      </c>
      <c r="J1424" s="3" t="s">
        <v>376</v>
      </c>
      <c r="K1424" s="53">
        <v>3201303</v>
      </c>
    </row>
    <row r="1425" spans="1:43" s="3" customFormat="1" x14ac:dyDescent="0.3">
      <c r="A1425" s="4"/>
      <c r="B1425" s="100">
        <v>45962</v>
      </c>
      <c r="C1425" s="98" t="s">
        <v>553</v>
      </c>
      <c r="D1425" s="4" t="s">
        <v>512</v>
      </c>
      <c r="E1425" s="4"/>
      <c r="F1425" s="73" t="s">
        <v>528</v>
      </c>
      <c r="G1425" s="73" t="s">
        <v>528</v>
      </c>
      <c r="H1425" s="73"/>
      <c r="I1425" s="73" t="s">
        <v>477</v>
      </c>
      <c r="J1425" s="73" t="s">
        <v>477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</row>
    <row r="1426" spans="1:43" s="3" customFormat="1" x14ac:dyDescent="0.3">
      <c r="B1426" s="44">
        <v>45962</v>
      </c>
      <c r="C1426" s="3" t="s">
        <v>416</v>
      </c>
      <c r="D1426" s="3" t="s">
        <v>64</v>
      </c>
      <c r="E1426" s="42">
        <v>4370907</v>
      </c>
      <c r="F1426" s="3" t="s">
        <v>710</v>
      </c>
      <c r="G1426" s="3" t="s">
        <v>354</v>
      </c>
      <c r="H1426" s="4">
        <v>3199404</v>
      </c>
      <c r="I1426" s="4" t="s">
        <v>673</v>
      </c>
      <c r="J1426" s="4" t="s">
        <v>355</v>
      </c>
      <c r="K1426" s="4">
        <v>3195002</v>
      </c>
    </row>
    <row r="1427" spans="1:43" s="3" customFormat="1" x14ac:dyDescent="0.3">
      <c r="B1427" s="44">
        <v>45962</v>
      </c>
      <c r="C1427" s="3" t="s">
        <v>416</v>
      </c>
      <c r="D1427" s="4" t="s">
        <v>614</v>
      </c>
      <c r="E1427" s="42"/>
      <c r="F1427" s="3" t="s">
        <v>710</v>
      </c>
      <c r="G1427" s="3" t="s">
        <v>384</v>
      </c>
      <c r="H1427" s="4">
        <v>3199508</v>
      </c>
      <c r="I1427" s="4" t="s">
        <v>682</v>
      </c>
      <c r="J1427" s="4" t="s">
        <v>622</v>
      </c>
      <c r="K1427" s="4">
        <v>3969502</v>
      </c>
    </row>
    <row r="1428" spans="1:43" s="3" customFormat="1" x14ac:dyDescent="0.3">
      <c r="B1428" s="44">
        <v>45962</v>
      </c>
      <c r="C1428" s="3" t="s">
        <v>416</v>
      </c>
      <c r="D1428" s="3" t="s">
        <v>499</v>
      </c>
      <c r="E1428" s="42"/>
      <c r="F1428" s="3" t="s">
        <v>710</v>
      </c>
      <c r="G1428" s="3" t="s">
        <v>230</v>
      </c>
      <c r="H1428" s="4">
        <v>3900609</v>
      </c>
      <c r="I1428" s="3" t="s">
        <v>651</v>
      </c>
      <c r="J1428" s="3" t="s">
        <v>226</v>
      </c>
      <c r="K1428" s="4">
        <v>3361902</v>
      </c>
      <c r="M1428" s="51"/>
    </row>
    <row r="1429" spans="1:43" s="3" customFormat="1" x14ac:dyDescent="0.3">
      <c r="B1429" s="44">
        <v>45962</v>
      </c>
      <c r="C1429" s="3" t="s">
        <v>416</v>
      </c>
      <c r="D1429" s="4" t="s">
        <v>614</v>
      </c>
      <c r="E1429" s="42"/>
      <c r="F1429" s="3" t="s">
        <v>710</v>
      </c>
      <c r="G1429" s="3" t="s">
        <v>385</v>
      </c>
      <c r="H1429" s="4">
        <v>3199602</v>
      </c>
      <c r="I1429" s="4" t="s">
        <v>714</v>
      </c>
      <c r="J1429" s="4" t="s">
        <v>454</v>
      </c>
      <c r="K1429" s="4">
        <v>3820300</v>
      </c>
    </row>
    <row r="1430" spans="1:43" s="3" customFormat="1" x14ac:dyDescent="0.3">
      <c r="B1430" s="44">
        <v>45962</v>
      </c>
      <c r="C1430" s="3" t="s">
        <v>416</v>
      </c>
      <c r="D1430" s="3" t="s">
        <v>61</v>
      </c>
      <c r="E1430" s="42"/>
      <c r="F1430" s="4" t="s">
        <v>477</v>
      </c>
      <c r="G1430" s="4" t="s">
        <v>308</v>
      </c>
      <c r="H1430" s="4">
        <v>3199300</v>
      </c>
      <c r="I1430" s="4" t="s">
        <v>477</v>
      </c>
      <c r="J1430" s="4" t="s">
        <v>332</v>
      </c>
      <c r="K1430" s="4">
        <v>3199206</v>
      </c>
    </row>
    <row r="1431" spans="1:43" s="3" customFormat="1" x14ac:dyDescent="0.3">
      <c r="B1431" s="44">
        <v>45962</v>
      </c>
      <c r="C1431" s="3" t="s">
        <v>416</v>
      </c>
      <c r="D1431" s="3" t="s">
        <v>57</v>
      </c>
      <c r="E1431" s="42"/>
      <c r="F1431" s="3" t="s">
        <v>645</v>
      </c>
      <c r="G1431" s="3" t="s">
        <v>263</v>
      </c>
      <c r="H1431" s="4">
        <v>3198707</v>
      </c>
      <c r="I1431" s="3" t="s">
        <v>682</v>
      </c>
      <c r="J1431" s="3" t="s">
        <v>584</v>
      </c>
      <c r="K1431" s="4">
        <v>3069303</v>
      </c>
    </row>
    <row r="1432" spans="1:43" s="3" customFormat="1" x14ac:dyDescent="0.3">
      <c r="B1432" s="44">
        <v>45962</v>
      </c>
      <c r="C1432" s="3" t="s">
        <v>416</v>
      </c>
      <c r="D1432" s="3" t="s">
        <v>486</v>
      </c>
      <c r="E1432" s="42"/>
      <c r="F1432" s="4" t="s">
        <v>645</v>
      </c>
      <c r="G1432" s="4" t="s">
        <v>104</v>
      </c>
      <c r="H1432" s="4">
        <v>3036308</v>
      </c>
      <c r="I1432" s="4" t="s">
        <v>680</v>
      </c>
      <c r="J1432" s="4" t="s">
        <v>98</v>
      </c>
      <c r="K1432" s="4">
        <v>3358909</v>
      </c>
    </row>
    <row r="1433" spans="1:43" s="3" customFormat="1" x14ac:dyDescent="0.3">
      <c r="B1433" s="44">
        <v>45962</v>
      </c>
      <c r="C1433" s="3" t="s">
        <v>416</v>
      </c>
      <c r="D1433" s="3" t="s">
        <v>487</v>
      </c>
      <c r="E1433" s="4"/>
      <c r="F1433" s="4" t="s">
        <v>645</v>
      </c>
      <c r="G1433" s="4" t="s">
        <v>114</v>
      </c>
      <c r="H1433" s="4">
        <v>3351000</v>
      </c>
      <c r="I1433" s="3" t="s">
        <v>709</v>
      </c>
      <c r="J1433" s="3" t="s">
        <v>111</v>
      </c>
      <c r="K1433" s="4">
        <v>3354601</v>
      </c>
    </row>
    <row r="1434" spans="1:43" s="3" customFormat="1" x14ac:dyDescent="0.3">
      <c r="B1434" s="44">
        <v>45962</v>
      </c>
      <c r="C1434" s="3" t="s">
        <v>416</v>
      </c>
      <c r="D1434" s="3" t="s">
        <v>63</v>
      </c>
      <c r="E1434" s="42"/>
      <c r="F1434" s="104" t="s">
        <v>645</v>
      </c>
      <c r="G1434" s="104" t="s">
        <v>333</v>
      </c>
      <c r="H1434" s="74">
        <v>3198801</v>
      </c>
      <c r="I1434" s="104" t="s">
        <v>712</v>
      </c>
      <c r="J1434" s="104" t="s">
        <v>334</v>
      </c>
      <c r="K1434" s="74">
        <v>3198009</v>
      </c>
    </row>
    <row r="1435" spans="1:43" s="3" customFormat="1" x14ac:dyDescent="0.3">
      <c r="B1435" s="44">
        <v>45962</v>
      </c>
      <c r="C1435" s="3" t="s">
        <v>416</v>
      </c>
      <c r="D1435" s="3" t="s">
        <v>488</v>
      </c>
      <c r="E1435" s="42"/>
      <c r="F1435" s="4" t="s">
        <v>645</v>
      </c>
      <c r="G1435" s="4" t="s">
        <v>151</v>
      </c>
      <c r="H1435" s="4">
        <v>3351208</v>
      </c>
      <c r="I1435" s="4" t="s">
        <v>697</v>
      </c>
      <c r="J1435" s="4" t="s">
        <v>122</v>
      </c>
      <c r="K1435" s="4">
        <v>3353800</v>
      </c>
    </row>
    <row r="1436" spans="1:43" s="3" customFormat="1" x14ac:dyDescent="0.3">
      <c r="B1436" s="44">
        <v>45962</v>
      </c>
      <c r="C1436" s="3" t="s">
        <v>416</v>
      </c>
      <c r="D1436" s="3" t="s">
        <v>491</v>
      </c>
      <c r="E1436" s="42"/>
      <c r="F1436" s="4" t="s">
        <v>645</v>
      </c>
      <c r="G1436" s="4" t="s">
        <v>464</v>
      </c>
      <c r="H1436" s="4">
        <v>3351406</v>
      </c>
      <c r="I1436" s="4" t="s">
        <v>702</v>
      </c>
      <c r="J1436" s="4" t="s">
        <v>180</v>
      </c>
      <c r="K1436" s="4">
        <v>3355308</v>
      </c>
    </row>
    <row r="1437" spans="1:43" s="3" customFormat="1" x14ac:dyDescent="0.3">
      <c r="B1437" s="44">
        <v>45962</v>
      </c>
      <c r="C1437" s="3" t="s">
        <v>416</v>
      </c>
      <c r="D1437" s="3" t="s">
        <v>489</v>
      </c>
      <c r="E1437" s="4"/>
      <c r="F1437" s="3" t="s">
        <v>678</v>
      </c>
      <c r="G1437" s="3" t="s">
        <v>131</v>
      </c>
      <c r="H1437" s="4">
        <v>3350605</v>
      </c>
      <c r="I1437" s="3" t="s">
        <v>662</v>
      </c>
      <c r="J1437" s="3" t="s">
        <v>139</v>
      </c>
      <c r="K1437" s="4">
        <v>3358305</v>
      </c>
    </row>
    <row r="1438" spans="1:43" s="3" customFormat="1" x14ac:dyDescent="0.3">
      <c r="B1438" s="44">
        <v>45962</v>
      </c>
      <c r="C1438" s="3" t="s">
        <v>416</v>
      </c>
      <c r="D1438" s="3" t="s">
        <v>65</v>
      </c>
      <c r="E1438" s="42"/>
      <c r="F1438" s="3" t="s">
        <v>678</v>
      </c>
      <c r="G1438" s="3" t="s">
        <v>452</v>
      </c>
      <c r="H1438" s="4">
        <v>3198207</v>
      </c>
      <c r="I1438" s="4" t="s">
        <v>718</v>
      </c>
      <c r="J1438" s="4" t="s">
        <v>359</v>
      </c>
      <c r="K1438" s="4">
        <v>3204602</v>
      </c>
    </row>
    <row r="1439" spans="1:43" s="3" customFormat="1" x14ac:dyDescent="0.3">
      <c r="B1439" s="44">
        <v>45962</v>
      </c>
      <c r="C1439" s="3" t="s">
        <v>416</v>
      </c>
      <c r="D1439" s="3" t="s">
        <v>496</v>
      </c>
      <c r="E1439" s="42"/>
      <c r="F1439" s="3" t="s">
        <v>675</v>
      </c>
      <c r="G1439" s="3" t="s">
        <v>198</v>
      </c>
      <c r="H1439" s="4">
        <v>3350803</v>
      </c>
      <c r="I1439" s="3" t="s">
        <v>651</v>
      </c>
      <c r="J1439" s="3" t="s">
        <v>202</v>
      </c>
      <c r="K1439" s="74">
        <v>3361808</v>
      </c>
    </row>
    <row r="1440" spans="1:43" s="3" customFormat="1" x14ac:dyDescent="0.3">
      <c r="B1440" s="44">
        <v>45962</v>
      </c>
      <c r="C1440" s="3" t="s">
        <v>416</v>
      </c>
      <c r="D1440" s="3" t="s">
        <v>610</v>
      </c>
      <c r="E1440" s="42"/>
      <c r="F1440" s="3" t="s">
        <v>675</v>
      </c>
      <c r="G1440" s="3" t="s">
        <v>450</v>
      </c>
      <c r="H1440" s="4">
        <v>3198405</v>
      </c>
      <c r="I1440" s="4" t="s">
        <v>714</v>
      </c>
      <c r="J1440" s="4" t="s">
        <v>352</v>
      </c>
      <c r="K1440" s="4">
        <v>3197208</v>
      </c>
    </row>
    <row r="1441" spans="2:13" s="3" customFormat="1" x14ac:dyDescent="0.3">
      <c r="B1441" s="44">
        <v>45962</v>
      </c>
      <c r="C1441" s="3" t="s">
        <v>416</v>
      </c>
      <c r="D1441" s="4" t="s">
        <v>614</v>
      </c>
      <c r="E1441" s="42"/>
      <c r="F1441" s="3" t="s">
        <v>675</v>
      </c>
      <c r="G1441" s="3" t="s">
        <v>403</v>
      </c>
      <c r="H1441" s="4">
        <v>3198509</v>
      </c>
      <c r="I1441" s="4" t="s">
        <v>699</v>
      </c>
      <c r="J1441" s="4" t="s">
        <v>624</v>
      </c>
      <c r="K1441" s="4">
        <v>3196105</v>
      </c>
    </row>
    <row r="1442" spans="2:13" s="3" customFormat="1" x14ac:dyDescent="0.3">
      <c r="B1442" s="44">
        <v>45962</v>
      </c>
      <c r="C1442" s="3" t="s">
        <v>416</v>
      </c>
      <c r="D1442" s="3" t="s">
        <v>490</v>
      </c>
      <c r="E1442" s="4"/>
      <c r="F1442" s="3" t="s">
        <v>691</v>
      </c>
      <c r="G1442" s="3" t="s">
        <v>142</v>
      </c>
      <c r="H1442" s="4">
        <v>3350501</v>
      </c>
      <c r="I1442" s="4" t="s">
        <v>654</v>
      </c>
      <c r="J1442" s="4" t="s">
        <v>143</v>
      </c>
      <c r="K1442" s="4">
        <v>3349704</v>
      </c>
    </row>
    <row r="1443" spans="2:13" s="3" customFormat="1" x14ac:dyDescent="0.3">
      <c r="B1443" s="44">
        <v>45962</v>
      </c>
      <c r="C1443" s="3" t="s">
        <v>416</v>
      </c>
      <c r="D1443" s="3" t="s">
        <v>590</v>
      </c>
      <c r="E1443" s="42"/>
      <c r="F1443" s="3" t="s">
        <v>691</v>
      </c>
      <c r="G1443" s="3" t="s">
        <v>289</v>
      </c>
      <c r="H1443" s="4">
        <v>3068804</v>
      </c>
      <c r="I1443" s="3" t="s">
        <v>699</v>
      </c>
      <c r="J1443" s="3" t="s">
        <v>594</v>
      </c>
      <c r="K1443" s="4">
        <v>3196407</v>
      </c>
    </row>
    <row r="1444" spans="2:13" s="3" customFormat="1" x14ac:dyDescent="0.3">
      <c r="B1444" s="44">
        <v>45962</v>
      </c>
      <c r="C1444" s="3" t="s">
        <v>416</v>
      </c>
      <c r="D1444" s="3" t="s">
        <v>69</v>
      </c>
      <c r="E1444" s="42"/>
      <c r="F1444" s="3" t="s">
        <v>691</v>
      </c>
      <c r="G1444" s="3" t="s">
        <v>395</v>
      </c>
      <c r="H1444" s="4">
        <v>3197604</v>
      </c>
      <c r="I1444" s="3" t="s">
        <v>663</v>
      </c>
      <c r="J1444" s="3" t="s">
        <v>362</v>
      </c>
      <c r="K1444" s="4">
        <v>3197406</v>
      </c>
    </row>
    <row r="1445" spans="2:13" s="3" customFormat="1" x14ac:dyDescent="0.3">
      <c r="B1445" s="44">
        <v>45962</v>
      </c>
      <c r="C1445" s="3" t="s">
        <v>416</v>
      </c>
      <c r="D1445" s="3" t="s">
        <v>494</v>
      </c>
      <c r="E1445" s="42"/>
      <c r="F1445" s="3" t="s">
        <v>689</v>
      </c>
      <c r="G1445" s="3" t="s">
        <v>189</v>
      </c>
      <c r="H1445" s="4">
        <v>3350209</v>
      </c>
      <c r="I1445" s="3" t="s">
        <v>708</v>
      </c>
      <c r="J1445" s="3" t="s">
        <v>220</v>
      </c>
      <c r="K1445" s="4">
        <v>3354809</v>
      </c>
    </row>
    <row r="1446" spans="2:13" s="3" customFormat="1" x14ac:dyDescent="0.3">
      <c r="B1446" s="44">
        <v>45962</v>
      </c>
      <c r="C1446" s="3" t="s">
        <v>416</v>
      </c>
      <c r="D1446" s="3" t="s">
        <v>67</v>
      </c>
      <c r="E1446" s="42"/>
      <c r="F1446" s="3" t="s">
        <v>689</v>
      </c>
      <c r="G1446" s="3" t="s">
        <v>341</v>
      </c>
      <c r="H1446" s="4">
        <v>3197708</v>
      </c>
      <c r="I1446" s="3" t="s">
        <v>688</v>
      </c>
      <c r="J1446" s="3" t="s">
        <v>344</v>
      </c>
      <c r="K1446" s="4">
        <v>3194909</v>
      </c>
    </row>
    <row r="1447" spans="2:13" s="3" customFormat="1" x14ac:dyDescent="0.3">
      <c r="B1447" s="44">
        <v>45962</v>
      </c>
      <c r="C1447" s="3" t="s">
        <v>416</v>
      </c>
      <c r="D1447" s="3" t="s">
        <v>498</v>
      </c>
      <c r="E1447" s="42"/>
      <c r="F1447" s="3" t="s">
        <v>689</v>
      </c>
      <c r="G1447" s="3" t="s">
        <v>468</v>
      </c>
      <c r="H1447" s="4">
        <v>3349902</v>
      </c>
      <c r="I1447" s="3" t="s">
        <v>475</v>
      </c>
      <c r="J1447" s="3" t="s">
        <v>184</v>
      </c>
      <c r="K1447" s="53">
        <v>3363004</v>
      </c>
    </row>
    <row r="1448" spans="2:13" s="3" customFormat="1" x14ac:dyDescent="0.3">
      <c r="B1448" s="44">
        <v>45962</v>
      </c>
      <c r="C1448" s="3" t="s">
        <v>416</v>
      </c>
      <c r="D1448" s="3" t="s">
        <v>501</v>
      </c>
      <c r="E1448" s="42"/>
      <c r="F1448" s="3" t="s">
        <v>689</v>
      </c>
      <c r="G1448" s="3" t="s">
        <v>581</v>
      </c>
      <c r="H1448" s="4">
        <v>4022804</v>
      </c>
      <c r="I1448" s="3" t="s">
        <v>682</v>
      </c>
      <c r="J1448" s="3" t="s">
        <v>579</v>
      </c>
      <c r="K1448" s="53">
        <v>3970007</v>
      </c>
      <c r="M1448" s="51"/>
    </row>
    <row r="1449" spans="2:13" s="3" customFormat="1" x14ac:dyDescent="0.3">
      <c r="B1449" s="44">
        <v>45962</v>
      </c>
      <c r="C1449" s="3" t="s">
        <v>416</v>
      </c>
      <c r="D1449" s="3" t="s">
        <v>497</v>
      </c>
      <c r="E1449" s="42"/>
      <c r="F1449" s="3" t="s">
        <v>654</v>
      </c>
      <c r="G1449" s="3" t="s">
        <v>216</v>
      </c>
      <c r="H1449" s="4">
        <v>3349808</v>
      </c>
      <c r="I1449" s="3" t="s">
        <v>654</v>
      </c>
      <c r="J1449" s="3" t="s">
        <v>438</v>
      </c>
      <c r="K1449" s="74">
        <v>3906207</v>
      </c>
    </row>
    <row r="1450" spans="2:13" s="3" customFormat="1" x14ac:dyDescent="0.3">
      <c r="B1450" s="44">
        <v>45962</v>
      </c>
      <c r="C1450" s="3" t="s">
        <v>416</v>
      </c>
      <c r="D1450" s="3" t="s">
        <v>500</v>
      </c>
      <c r="E1450" s="42"/>
      <c r="F1450" s="3" t="s">
        <v>654</v>
      </c>
      <c r="G1450" s="3" t="s">
        <v>576</v>
      </c>
      <c r="H1450" s="4">
        <v>4009003</v>
      </c>
      <c r="I1450" s="4" t="s">
        <v>657</v>
      </c>
      <c r="J1450" s="4" t="s">
        <v>574</v>
      </c>
      <c r="K1450" s="4">
        <v>3359606</v>
      </c>
    </row>
    <row r="1451" spans="2:13" s="3" customFormat="1" x14ac:dyDescent="0.3">
      <c r="B1451" s="44">
        <v>45962</v>
      </c>
      <c r="C1451" s="3" t="s">
        <v>416</v>
      </c>
      <c r="D1451" s="3" t="s">
        <v>58</v>
      </c>
      <c r="E1451" s="42"/>
      <c r="F1451" s="3" t="s">
        <v>712</v>
      </c>
      <c r="G1451" s="3" t="s">
        <v>270</v>
      </c>
      <c r="H1451" s="4">
        <v>3069605</v>
      </c>
      <c r="I1451" s="3" t="s">
        <v>683</v>
      </c>
      <c r="J1451" s="3" t="s">
        <v>305</v>
      </c>
      <c r="K1451" s="32">
        <v>3202906</v>
      </c>
    </row>
    <row r="1452" spans="2:13" s="3" customFormat="1" x14ac:dyDescent="0.3">
      <c r="B1452" s="44">
        <v>45962</v>
      </c>
      <c r="C1452" s="3" t="s">
        <v>416</v>
      </c>
      <c r="D1452" s="3" t="s">
        <v>495</v>
      </c>
      <c r="E1452" s="42"/>
      <c r="F1452" s="3" t="s">
        <v>712</v>
      </c>
      <c r="G1452" s="3" t="s">
        <v>164</v>
      </c>
      <c r="H1452" s="4">
        <v>3349402</v>
      </c>
      <c r="I1452" s="3" t="s">
        <v>673</v>
      </c>
      <c r="J1452" s="3" t="s">
        <v>200</v>
      </c>
      <c r="K1452" s="53">
        <v>3901004</v>
      </c>
    </row>
    <row r="1453" spans="2:13" s="3" customFormat="1" x14ac:dyDescent="0.3">
      <c r="B1453" s="44">
        <v>45962</v>
      </c>
      <c r="C1453" s="3" t="s">
        <v>416</v>
      </c>
      <c r="D1453" s="3" t="s">
        <v>492</v>
      </c>
      <c r="E1453" s="42"/>
      <c r="F1453" s="4" t="s">
        <v>713</v>
      </c>
      <c r="G1453" s="4" t="s">
        <v>165</v>
      </c>
      <c r="H1453" s="4">
        <v>3349006</v>
      </c>
      <c r="I1453" s="4" t="s">
        <v>646</v>
      </c>
      <c r="J1453" s="4" t="s">
        <v>194</v>
      </c>
      <c r="K1453" s="4">
        <v>3354205</v>
      </c>
    </row>
    <row r="1454" spans="2:13" s="3" customFormat="1" x14ac:dyDescent="0.3">
      <c r="B1454" s="44">
        <v>45962</v>
      </c>
      <c r="C1454" s="3" t="s">
        <v>416</v>
      </c>
      <c r="D1454" s="4" t="s">
        <v>614</v>
      </c>
      <c r="E1454" s="42"/>
      <c r="F1454" s="3" t="s">
        <v>713</v>
      </c>
      <c r="G1454" s="3" t="s">
        <v>386</v>
      </c>
      <c r="H1454" s="4">
        <v>3900807</v>
      </c>
      <c r="I1454" s="4" t="s">
        <v>673</v>
      </c>
      <c r="J1454" s="4" t="s">
        <v>455</v>
      </c>
      <c r="K1454" s="4">
        <v>3961604</v>
      </c>
    </row>
    <row r="1455" spans="2:13" s="3" customFormat="1" x14ac:dyDescent="0.3">
      <c r="B1455" s="44">
        <v>45962</v>
      </c>
      <c r="C1455" s="3" t="s">
        <v>416</v>
      </c>
      <c r="D1455" s="3" t="s">
        <v>495</v>
      </c>
      <c r="E1455" s="42"/>
      <c r="F1455" s="3" t="s">
        <v>713</v>
      </c>
      <c r="G1455" s="3" t="s">
        <v>199</v>
      </c>
      <c r="H1455" s="4">
        <v>3349100</v>
      </c>
      <c r="I1455" s="3" t="s">
        <v>685</v>
      </c>
      <c r="J1455" s="3" t="s">
        <v>197</v>
      </c>
      <c r="K1455" s="4">
        <v>3353300</v>
      </c>
    </row>
    <row r="1456" spans="2:13" s="3" customFormat="1" x14ac:dyDescent="0.3">
      <c r="B1456" s="44">
        <v>45962</v>
      </c>
      <c r="C1456" s="3" t="s">
        <v>416</v>
      </c>
      <c r="D1456" s="4" t="s">
        <v>614</v>
      </c>
      <c r="E1456" s="42"/>
      <c r="F1456" s="3" t="s">
        <v>713</v>
      </c>
      <c r="G1456" s="3" t="s">
        <v>623</v>
      </c>
      <c r="H1456" s="4">
        <v>3819305</v>
      </c>
      <c r="I1456" s="4" t="s">
        <v>646</v>
      </c>
      <c r="J1456" s="4" t="s">
        <v>380</v>
      </c>
      <c r="K1456" s="4">
        <v>3202208</v>
      </c>
    </row>
    <row r="1457" spans="2:11" s="3" customFormat="1" x14ac:dyDescent="0.3">
      <c r="B1457" s="44">
        <v>45962</v>
      </c>
      <c r="C1457" s="3" t="s">
        <v>416</v>
      </c>
      <c r="D1457" s="3" t="s">
        <v>487</v>
      </c>
      <c r="E1457" s="4"/>
      <c r="F1457" s="3" t="s">
        <v>663</v>
      </c>
      <c r="G1457" s="3" t="s">
        <v>419</v>
      </c>
      <c r="H1457" s="4">
        <v>3349204</v>
      </c>
      <c r="I1457" s="3" t="s">
        <v>647</v>
      </c>
      <c r="J1457" s="3" t="s">
        <v>116</v>
      </c>
      <c r="K1457" s="4">
        <v>3346009</v>
      </c>
    </row>
    <row r="1458" spans="2:11" s="3" customFormat="1" x14ac:dyDescent="0.3">
      <c r="B1458" s="44">
        <v>45962</v>
      </c>
      <c r="C1458" s="3" t="s">
        <v>416</v>
      </c>
      <c r="D1458" s="3" t="s">
        <v>62</v>
      </c>
      <c r="E1458" s="42"/>
      <c r="F1458" s="4" t="s">
        <v>663</v>
      </c>
      <c r="G1458" s="4" t="s">
        <v>280</v>
      </c>
      <c r="H1458" s="4">
        <v>3198103</v>
      </c>
      <c r="I1458" s="4" t="s">
        <v>476</v>
      </c>
      <c r="J1458" s="4" t="s">
        <v>287</v>
      </c>
      <c r="K1458" s="4">
        <v>3206600</v>
      </c>
    </row>
    <row r="1459" spans="2:11" s="3" customFormat="1" x14ac:dyDescent="0.3">
      <c r="B1459" s="44">
        <v>45962</v>
      </c>
      <c r="C1459" s="3" t="s">
        <v>416</v>
      </c>
      <c r="D1459" s="3" t="s">
        <v>493</v>
      </c>
      <c r="E1459" s="42"/>
      <c r="F1459" s="3" t="s">
        <v>663</v>
      </c>
      <c r="G1459" s="3" t="s">
        <v>173</v>
      </c>
      <c r="H1459" s="4">
        <v>3349308</v>
      </c>
      <c r="I1459" s="4" t="s">
        <v>676</v>
      </c>
      <c r="J1459" s="4" t="s">
        <v>214</v>
      </c>
      <c r="K1459" s="4">
        <v>3358805</v>
      </c>
    </row>
    <row r="1460" spans="2:11" s="3" customFormat="1" x14ac:dyDescent="0.3">
      <c r="B1460" s="44">
        <v>45962</v>
      </c>
      <c r="C1460" s="3" t="s">
        <v>416</v>
      </c>
      <c r="D1460" s="3" t="s">
        <v>65</v>
      </c>
      <c r="E1460" s="42"/>
      <c r="F1460" s="3" t="s">
        <v>663</v>
      </c>
      <c r="G1460" s="3" t="s">
        <v>290</v>
      </c>
      <c r="H1460" s="4">
        <v>3197500</v>
      </c>
      <c r="I1460" s="4" t="s">
        <v>471</v>
      </c>
      <c r="J1460" s="4" t="s">
        <v>363</v>
      </c>
      <c r="K1460" s="4">
        <v>3196907</v>
      </c>
    </row>
    <row r="1461" spans="2:11" s="3" customFormat="1" x14ac:dyDescent="0.3">
      <c r="B1461" s="44">
        <v>45962</v>
      </c>
      <c r="C1461" s="3" t="s">
        <v>416</v>
      </c>
      <c r="D1461" s="3" t="s">
        <v>56</v>
      </c>
      <c r="E1461" s="42"/>
      <c r="F1461" s="4" t="s">
        <v>471</v>
      </c>
      <c r="G1461" s="4" t="s">
        <v>441</v>
      </c>
      <c r="H1461" s="4">
        <v>3023409</v>
      </c>
      <c r="I1461" s="73" t="s">
        <v>474</v>
      </c>
      <c r="J1461" s="73" t="s">
        <v>253</v>
      </c>
      <c r="K1461" s="4">
        <v>3037109</v>
      </c>
    </row>
    <row r="1462" spans="2:11" s="3" customFormat="1" x14ac:dyDescent="0.3">
      <c r="B1462" s="44">
        <v>45962</v>
      </c>
      <c r="C1462" s="3" t="s">
        <v>416</v>
      </c>
      <c r="D1462" s="3" t="s">
        <v>504</v>
      </c>
      <c r="E1462" s="42"/>
      <c r="F1462" s="3" t="s">
        <v>471</v>
      </c>
      <c r="G1462" s="3" t="s">
        <v>14</v>
      </c>
      <c r="H1462" s="4">
        <v>3348601</v>
      </c>
      <c r="I1462" s="3" t="s">
        <v>472</v>
      </c>
      <c r="J1462" s="3" t="s">
        <v>11</v>
      </c>
      <c r="K1462" s="4">
        <v>3034800</v>
      </c>
    </row>
    <row r="1463" spans="2:11" s="3" customFormat="1" x14ac:dyDescent="0.3">
      <c r="B1463" s="44">
        <v>45962</v>
      </c>
      <c r="C1463" s="3" t="s">
        <v>416</v>
      </c>
      <c r="D1463" s="3" t="s">
        <v>56</v>
      </c>
      <c r="E1463" s="42"/>
      <c r="F1463" s="3" t="s">
        <v>471</v>
      </c>
      <c r="G1463" s="3" t="s">
        <v>254</v>
      </c>
      <c r="H1463" s="4">
        <v>3068908</v>
      </c>
      <c r="I1463" s="3" t="s">
        <v>690</v>
      </c>
      <c r="J1463" s="3" t="s">
        <v>250</v>
      </c>
      <c r="K1463" s="4">
        <v>3070100</v>
      </c>
    </row>
    <row r="1464" spans="2:11" s="3" customFormat="1" x14ac:dyDescent="0.3">
      <c r="B1464" s="44">
        <v>45962</v>
      </c>
      <c r="C1464" s="3" t="s">
        <v>416</v>
      </c>
      <c r="D1464" s="3" t="s">
        <v>487</v>
      </c>
      <c r="E1464" s="4"/>
      <c r="F1464" s="4" t="s">
        <v>471</v>
      </c>
      <c r="G1464" s="4" t="s">
        <v>133</v>
      </c>
      <c r="H1464" s="4">
        <v>3348705</v>
      </c>
      <c r="I1464" s="4" t="s">
        <v>657</v>
      </c>
      <c r="J1464" s="4" t="s">
        <v>107</v>
      </c>
      <c r="K1464" s="4">
        <v>3068408</v>
      </c>
    </row>
    <row r="1465" spans="2:11" s="3" customFormat="1" x14ac:dyDescent="0.3">
      <c r="B1465" s="44">
        <v>45962</v>
      </c>
      <c r="C1465" s="3" t="s">
        <v>416</v>
      </c>
      <c r="D1465" s="3" t="s">
        <v>62</v>
      </c>
      <c r="E1465" s="42"/>
      <c r="F1465" s="4" t="s">
        <v>471</v>
      </c>
      <c r="G1465" s="4" t="s">
        <v>328</v>
      </c>
      <c r="H1465" s="4">
        <v>3196803</v>
      </c>
      <c r="I1465" s="4" t="s">
        <v>694</v>
      </c>
      <c r="J1465" s="4" t="s">
        <v>340</v>
      </c>
      <c r="K1465" s="4">
        <v>3201803</v>
      </c>
    </row>
    <row r="1466" spans="2:11" s="3" customFormat="1" x14ac:dyDescent="0.3">
      <c r="B1466" s="44">
        <v>45962</v>
      </c>
      <c r="C1466" s="3" t="s">
        <v>416</v>
      </c>
      <c r="D1466" s="3" t="s">
        <v>493</v>
      </c>
      <c r="E1466" s="42"/>
      <c r="F1466" s="3" t="s">
        <v>471</v>
      </c>
      <c r="G1466" s="3" t="s">
        <v>190</v>
      </c>
      <c r="H1466" s="4">
        <v>3348205</v>
      </c>
      <c r="I1466" s="4" t="s">
        <v>479</v>
      </c>
      <c r="J1466" s="4" t="s">
        <v>211</v>
      </c>
      <c r="K1466" s="4">
        <v>3361204</v>
      </c>
    </row>
    <row r="1467" spans="2:11" s="3" customFormat="1" x14ac:dyDescent="0.3">
      <c r="B1467" s="44">
        <v>45962</v>
      </c>
      <c r="C1467" s="3" t="s">
        <v>416</v>
      </c>
      <c r="D1467" s="3" t="s">
        <v>497</v>
      </c>
      <c r="E1467" s="42"/>
      <c r="F1467" s="15" t="s">
        <v>471</v>
      </c>
      <c r="G1467" s="15" t="s">
        <v>240</v>
      </c>
      <c r="H1467" s="74">
        <v>3348403</v>
      </c>
      <c r="I1467" s="17" t="s">
        <v>691</v>
      </c>
      <c r="J1467" s="17" t="s">
        <v>215</v>
      </c>
      <c r="K1467" s="74">
        <v>3350407</v>
      </c>
    </row>
    <row r="1468" spans="2:11" s="3" customFormat="1" x14ac:dyDescent="0.3">
      <c r="B1468" s="44">
        <v>45962</v>
      </c>
      <c r="C1468" s="3" t="s">
        <v>416</v>
      </c>
      <c r="D1468" s="3" t="s">
        <v>487</v>
      </c>
      <c r="E1468" s="4"/>
      <c r="F1468" s="4" t="s">
        <v>692</v>
      </c>
      <c r="G1468" s="4" t="s">
        <v>115</v>
      </c>
      <c r="H1468" s="4">
        <v>3068106</v>
      </c>
      <c r="I1468" s="3" t="s">
        <v>475</v>
      </c>
      <c r="J1468" s="3" t="s">
        <v>96</v>
      </c>
      <c r="K1468" s="4">
        <v>3067107</v>
      </c>
    </row>
    <row r="1469" spans="2:11" s="3" customFormat="1" x14ac:dyDescent="0.3">
      <c r="B1469" s="44">
        <v>45962</v>
      </c>
      <c r="C1469" s="3" t="s">
        <v>416</v>
      </c>
      <c r="D1469" s="3" t="s">
        <v>494</v>
      </c>
      <c r="E1469" s="42"/>
      <c r="F1469" s="3" t="s">
        <v>692</v>
      </c>
      <c r="G1469" s="3" t="s">
        <v>144</v>
      </c>
      <c r="H1469" s="4">
        <v>3347904</v>
      </c>
      <c r="I1469" s="3" t="s">
        <v>694</v>
      </c>
      <c r="J1469" s="3" t="s">
        <v>221</v>
      </c>
      <c r="K1469" s="4">
        <v>3353404</v>
      </c>
    </row>
    <row r="1470" spans="2:11" s="3" customFormat="1" x14ac:dyDescent="0.3">
      <c r="B1470" s="44">
        <v>45962</v>
      </c>
      <c r="C1470" s="3" t="s">
        <v>416</v>
      </c>
      <c r="D1470" s="3" t="s">
        <v>488</v>
      </c>
      <c r="E1470" s="42"/>
      <c r="F1470" s="4" t="s">
        <v>698</v>
      </c>
      <c r="G1470" s="4" t="s">
        <v>561</v>
      </c>
      <c r="H1470" s="4" t="s">
        <v>563</v>
      </c>
      <c r="I1470" s="3" t="s">
        <v>690</v>
      </c>
      <c r="J1470" s="3" t="s">
        <v>118</v>
      </c>
      <c r="K1470" s="4">
        <v>3356005</v>
      </c>
    </row>
    <row r="1471" spans="2:11" s="3" customFormat="1" x14ac:dyDescent="0.3">
      <c r="B1471" s="44">
        <v>45962</v>
      </c>
      <c r="C1471" s="3" t="s">
        <v>416</v>
      </c>
      <c r="D1471" s="3" t="s">
        <v>58</v>
      </c>
      <c r="E1471" s="42"/>
      <c r="F1471" s="3" t="s">
        <v>698</v>
      </c>
      <c r="G1471" s="3" t="s">
        <v>587</v>
      </c>
      <c r="H1471" s="4" t="s">
        <v>563</v>
      </c>
      <c r="I1471" s="3" t="s">
        <v>704</v>
      </c>
      <c r="J1471" s="3" t="s">
        <v>297</v>
      </c>
      <c r="K1471" s="32">
        <v>3204008</v>
      </c>
    </row>
    <row r="1472" spans="2:11" s="3" customFormat="1" x14ac:dyDescent="0.3">
      <c r="B1472" s="44">
        <v>45962</v>
      </c>
      <c r="C1472" s="3" t="s">
        <v>416</v>
      </c>
      <c r="D1472" s="3" t="s">
        <v>59</v>
      </c>
      <c r="E1472" s="42"/>
      <c r="F1472" s="4" t="s">
        <v>681</v>
      </c>
      <c r="G1472" s="4" t="s">
        <v>281</v>
      </c>
      <c r="H1472" s="4">
        <v>3195700</v>
      </c>
      <c r="I1472" s="4" t="s">
        <v>710</v>
      </c>
      <c r="J1472" s="4" t="s">
        <v>279</v>
      </c>
      <c r="K1472" s="4">
        <v>3199706</v>
      </c>
    </row>
    <row r="1473" spans="1:43" s="3" customFormat="1" x14ac:dyDescent="0.3">
      <c r="B1473" s="44">
        <v>45962</v>
      </c>
      <c r="C1473" s="3" t="s">
        <v>416</v>
      </c>
      <c r="D1473" s="3" t="s">
        <v>69</v>
      </c>
      <c r="E1473" s="42"/>
      <c r="F1473" s="3" t="s">
        <v>681</v>
      </c>
      <c r="G1473" s="3" t="s">
        <v>365</v>
      </c>
      <c r="H1473" s="4">
        <v>3195804</v>
      </c>
      <c r="I1473" s="3" t="s">
        <v>471</v>
      </c>
      <c r="J1473" s="3" t="s">
        <v>364</v>
      </c>
      <c r="K1473" s="4">
        <v>3197000</v>
      </c>
    </row>
    <row r="1474" spans="1:43" s="3" customFormat="1" x14ac:dyDescent="0.3">
      <c r="B1474" s="44">
        <v>45962</v>
      </c>
      <c r="C1474" s="3" t="s">
        <v>416</v>
      </c>
      <c r="D1474" s="3" t="s">
        <v>492</v>
      </c>
      <c r="E1474" s="42"/>
      <c r="F1474" s="4" t="s">
        <v>670</v>
      </c>
      <c r="G1474" s="4" t="s">
        <v>145</v>
      </c>
      <c r="H1474" s="4">
        <v>3347404</v>
      </c>
      <c r="I1474" s="4" t="s">
        <v>648</v>
      </c>
      <c r="J1474" s="4" t="s">
        <v>201</v>
      </c>
      <c r="K1474" s="4">
        <v>3362203</v>
      </c>
    </row>
    <row r="1475" spans="1:43" s="3" customFormat="1" x14ac:dyDescent="0.3">
      <c r="B1475" s="44">
        <v>45962</v>
      </c>
      <c r="C1475" s="3" t="s">
        <v>416</v>
      </c>
      <c r="D1475" s="3" t="s">
        <v>592</v>
      </c>
      <c r="E1475" s="42"/>
      <c r="F1475" s="3" t="s">
        <v>670</v>
      </c>
      <c r="G1475" s="3" t="s">
        <v>636</v>
      </c>
      <c r="H1475" s="74">
        <v>3195502</v>
      </c>
      <c r="I1475" s="3" t="s">
        <v>662</v>
      </c>
      <c r="J1475" s="3" t="s">
        <v>634</v>
      </c>
      <c r="K1475" s="74">
        <v>4023105</v>
      </c>
    </row>
    <row r="1476" spans="1:43" s="3" customFormat="1" x14ac:dyDescent="0.3">
      <c r="B1476" s="44">
        <v>45962</v>
      </c>
      <c r="C1476" s="3" t="s">
        <v>416</v>
      </c>
      <c r="D1476" s="3" t="s">
        <v>486</v>
      </c>
      <c r="E1476" s="42"/>
      <c r="F1476" s="3" t="s">
        <v>673</v>
      </c>
      <c r="G1476" s="3" t="s">
        <v>106</v>
      </c>
      <c r="H1476" s="4">
        <v>3067607</v>
      </c>
      <c r="I1476" s="3" t="s">
        <v>676</v>
      </c>
      <c r="J1476" s="3" t="s">
        <v>109</v>
      </c>
      <c r="K1476" s="4">
        <v>3067701</v>
      </c>
    </row>
    <row r="1477" spans="1:43" s="3" customFormat="1" x14ac:dyDescent="0.3">
      <c r="B1477" s="44">
        <v>45962</v>
      </c>
      <c r="C1477" s="3" t="s">
        <v>416</v>
      </c>
      <c r="D1477" s="3" t="s">
        <v>492</v>
      </c>
      <c r="E1477" s="42"/>
      <c r="F1477" s="4" t="s">
        <v>673</v>
      </c>
      <c r="G1477" s="4" t="s">
        <v>134</v>
      </c>
      <c r="H1477" s="4">
        <v>3347102</v>
      </c>
      <c r="I1477" s="4" t="s">
        <v>652</v>
      </c>
      <c r="J1477" s="4" t="s">
        <v>157</v>
      </c>
      <c r="K1477" s="4">
        <v>3358503</v>
      </c>
    </row>
    <row r="1478" spans="1:43" s="3" customFormat="1" x14ac:dyDescent="0.3">
      <c r="B1478" s="44">
        <v>45962</v>
      </c>
      <c r="C1478" s="3" t="s">
        <v>416</v>
      </c>
      <c r="D1478" s="3" t="s">
        <v>490</v>
      </c>
      <c r="E1478" s="4"/>
      <c r="F1478" s="3" t="s">
        <v>717</v>
      </c>
      <c r="G1478" s="3" t="s">
        <v>425</v>
      </c>
      <c r="H1478" s="4">
        <v>3347206</v>
      </c>
      <c r="I1478" s="4" t="s">
        <v>660</v>
      </c>
      <c r="J1478" s="4" t="s">
        <v>137</v>
      </c>
      <c r="K1478" s="4">
        <v>3359908</v>
      </c>
    </row>
    <row r="1479" spans="1:43" s="3" customFormat="1" x14ac:dyDescent="0.3">
      <c r="B1479" s="44">
        <v>45962</v>
      </c>
      <c r="C1479" s="3" t="s">
        <v>416</v>
      </c>
      <c r="D1479" s="3" t="s">
        <v>64</v>
      </c>
      <c r="E1479" s="42">
        <v>4370907</v>
      </c>
      <c r="F1479" s="3" t="s">
        <v>717</v>
      </c>
      <c r="G1479" s="3" t="s">
        <v>432</v>
      </c>
      <c r="H1479" s="4">
        <v>3195106</v>
      </c>
      <c r="I1479" s="4" t="s">
        <v>669</v>
      </c>
      <c r="J1479" s="4" t="s">
        <v>337</v>
      </c>
      <c r="K1479" s="4">
        <v>3209305</v>
      </c>
    </row>
    <row r="1480" spans="1:43" s="3" customFormat="1" x14ac:dyDescent="0.3">
      <c r="B1480" s="44">
        <v>45962</v>
      </c>
      <c r="C1480" s="3" t="s">
        <v>416</v>
      </c>
      <c r="D1480" s="3" t="s">
        <v>498</v>
      </c>
      <c r="E1480" s="42"/>
      <c r="F1480" s="3" t="s">
        <v>717</v>
      </c>
      <c r="G1480" s="3" t="s">
        <v>429</v>
      </c>
      <c r="H1480" s="4">
        <v>3346905</v>
      </c>
      <c r="I1480" s="3" t="s">
        <v>714</v>
      </c>
      <c r="J1480" s="3" t="s">
        <v>222</v>
      </c>
      <c r="K1480" s="4">
        <v>3348507</v>
      </c>
    </row>
    <row r="1481" spans="1:43" s="3" customFormat="1" x14ac:dyDescent="0.3">
      <c r="B1481" s="44">
        <v>45962</v>
      </c>
      <c r="C1481" s="3" t="s">
        <v>416</v>
      </c>
      <c r="D1481" s="3" t="s">
        <v>70</v>
      </c>
      <c r="E1481" s="42"/>
      <c r="F1481" s="3" t="s">
        <v>717</v>
      </c>
      <c r="G1481" s="3" t="s">
        <v>434</v>
      </c>
      <c r="H1481" s="4">
        <v>3195408</v>
      </c>
      <c r="I1481" s="3" t="s">
        <v>472</v>
      </c>
      <c r="J1481" s="3" t="s">
        <v>400</v>
      </c>
      <c r="K1481" s="4">
        <v>3818608</v>
      </c>
    </row>
    <row r="1482" spans="1:43" s="3" customFormat="1" x14ac:dyDescent="0.3">
      <c r="A1482" s="4"/>
      <c r="B1482" s="100">
        <v>45962</v>
      </c>
      <c r="C1482" s="98" t="s">
        <v>553</v>
      </c>
      <c r="D1482" s="4" t="s">
        <v>508</v>
      </c>
      <c r="E1482" s="4"/>
      <c r="F1482" s="73" t="s">
        <v>511</v>
      </c>
      <c r="G1482" s="73" t="s">
        <v>511</v>
      </c>
      <c r="H1482" s="73"/>
      <c r="I1482" s="73" t="s">
        <v>478</v>
      </c>
      <c r="J1482" s="73" t="s">
        <v>478</v>
      </c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</row>
    <row r="1483" spans="1:43" s="3" customFormat="1" x14ac:dyDescent="0.3">
      <c r="B1483" s="44">
        <v>45962</v>
      </c>
      <c r="C1483" s="3" t="s">
        <v>416</v>
      </c>
      <c r="D1483" s="3" t="s">
        <v>489</v>
      </c>
      <c r="E1483" s="4"/>
      <c r="F1483" s="4" t="s">
        <v>679</v>
      </c>
      <c r="G1483" s="4" t="s">
        <v>135</v>
      </c>
      <c r="H1483" s="4">
        <v>3346603</v>
      </c>
      <c r="I1483" s="4" t="s">
        <v>474</v>
      </c>
      <c r="J1483" s="4" t="s">
        <v>130</v>
      </c>
      <c r="K1483" s="4">
        <v>3352405</v>
      </c>
    </row>
    <row r="1484" spans="1:43" s="3" customFormat="1" x14ac:dyDescent="0.3">
      <c r="B1484" s="44">
        <v>45962</v>
      </c>
      <c r="C1484" s="3" t="s">
        <v>416</v>
      </c>
      <c r="D1484" s="3" t="s">
        <v>62</v>
      </c>
      <c r="E1484" s="42"/>
      <c r="F1484" s="4" t="s">
        <v>679</v>
      </c>
      <c r="G1484" s="4" t="s">
        <v>292</v>
      </c>
      <c r="H1484" s="4">
        <v>3195304</v>
      </c>
      <c r="I1484" s="3" t="s">
        <v>677</v>
      </c>
      <c r="J1484" s="3" t="s">
        <v>324</v>
      </c>
      <c r="K1484" s="4">
        <v>3201605</v>
      </c>
    </row>
    <row r="1485" spans="1:43" s="3" customFormat="1" x14ac:dyDescent="0.3">
      <c r="B1485" s="44">
        <v>45962</v>
      </c>
      <c r="C1485" s="3" t="s">
        <v>416</v>
      </c>
      <c r="D1485" s="3" t="s">
        <v>500</v>
      </c>
      <c r="E1485" s="42"/>
      <c r="F1485" s="3" t="s">
        <v>679</v>
      </c>
      <c r="G1485" s="3" t="s">
        <v>466</v>
      </c>
      <c r="H1485" s="4">
        <v>3346707</v>
      </c>
      <c r="I1485" s="4" t="s">
        <v>663</v>
      </c>
      <c r="J1485" s="4" t="s">
        <v>239</v>
      </c>
      <c r="K1485" s="4">
        <v>3348809</v>
      </c>
    </row>
    <row r="1486" spans="1:43" s="3" customFormat="1" x14ac:dyDescent="0.3">
      <c r="B1486" s="44">
        <v>45962</v>
      </c>
      <c r="C1486" s="3" t="s">
        <v>416</v>
      </c>
      <c r="D1486" s="3" t="s">
        <v>593</v>
      </c>
      <c r="E1486" s="42"/>
      <c r="F1486" s="3" t="s">
        <v>679</v>
      </c>
      <c r="G1486" s="3" t="s">
        <v>633</v>
      </c>
      <c r="H1486" s="4">
        <v>3194607</v>
      </c>
      <c r="I1486" s="4" t="s">
        <v>663</v>
      </c>
      <c r="J1486" s="4" t="s">
        <v>396</v>
      </c>
      <c r="K1486" s="4">
        <v>3197104</v>
      </c>
    </row>
    <row r="1487" spans="1:43" s="3" customFormat="1" x14ac:dyDescent="0.3">
      <c r="B1487" s="44">
        <v>45962</v>
      </c>
      <c r="C1487" s="3" t="s">
        <v>416</v>
      </c>
      <c r="D1487" s="3" t="s">
        <v>487</v>
      </c>
      <c r="E1487" s="4"/>
      <c r="F1487" s="4" t="s">
        <v>721</v>
      </c>
      <c r="G1487" s="4" t="s">
        <v>124</v>
      </c>
      <c r="H1487" s="4">
        <v>3267501</v>
      </c>
      <c r="I1487" s="4" t="s">
        <v>710</v>
      </c>
      <c r="J1487" s="4" t="s">
        <v>113</v>
      </c>
      <c r="K1487" s="4">
        <v>3352009</v>
      </c>
    </row>
    <row r="1488" spans="1:43" s="3" customFormat="1" x14ac:dyDescent="0.3">
      <c r="B1488" s="44">
        <v>45962</v>
      </c>
      <c r="C1488" s="3" t="s">
        <v>416</v>
      </c>
      <c r="D1488" s="3" t="s">
        <v>489</v>
      </c>
      <c r="E1488" s="4"/>
      <c r="F1488" s="3" t="s">
        <v>688</v>
      </c>
      <c r="G1488" s="3" t="s">
        <v>10</v>
      </c>
      <c r="H1488" s="4">
        <v>3036204</v>
      </c>
      <c r="I1488" s="3" t="s">
        <v>650</v>
      </c>
      <c r="J1488" s="3" t="s">
        <v>163</v>
      </c>
      <c r="K1488" s="4">
        <v>3351802</v>
      </c>
    </row>
    <row r="1489" spans="1:43" s="3" customFormat="1" x14ac:dyDescent="0.3">
      <c r="B1489" s="44">
        <v>45962</v>
      </c>
      <c r="C1489" s="3" t="s">
        <v>416</v>
      </c>
      <c r="D1489" s="3" t="s">
        <v>64</v>
      </c>
      <c r="E1489" s="42">
        <v>4370907</v>
      </c>
      <c r="F1489" s="3" t="s">
        <v>688</v>
      </c>
      <c r="G1489" s="3" t="s">
        <v>318</v>
      </c>
      <c r="H1489" s="4">
        <v>3037401</v>
      </c>
      <c r="I1489" s="4" t="s">
        <v>692</v>
      </c>
      <c r="J1489" s="4" t="s">
        <v>342</v>
      </c>
      <c r="K1489" s="4">
        <v>3196501</v>
      </c>
    </row>
    <row r="1490" spans="1:43" s="3" customFormat="1" x14ac:dyDescent="0.3">
      <c r="B1490" s="44">
        <v>45962</v>
      </c>
      <c r="C1490" s="3" t="s">
        <v>416</v>
      </c>
      <c r="D1490" s="3" t="s">
        <v>70</v>
      </c>
      <c r="E1490" s="42"/>
      <c r="F1490" s="3" t="s">
        <v>688</v>
      </c>
      <c r="G1490" s="3" t="s">
        <v>379</v>
      </c>
      <c r="H1490" s="4">
        <v>3194409</v>
      </c>
      <c r="I1490" s="3" t="s">
        <v>692</v>
      </c>
      <c r="J1490" s="3" t="s">
        <v>378</v>
      </c>
      <c r="K1490" s="4">
        <v>3197802</v>
      </c>
    </row>
    <row r="1491" spans="1:43" s="3" customFormat="1" x14ac:dyDescent="0.3">
      <c r="B1491" s="44">
        <v>45962</v>
      </c>
      <c r="C1491" s="3" t="s">
        <v>416</v>
      </c>
      <c r="D1491" s="3" t="s">
        <v>70</v>
      </c>
      <c r="E1491" s="42"/>
      <c r="F1491" s="3" t="s">
        <v>688</v>
      </c>
      <c r="G1491" s="3" t="s">
        <v>460</v>
      </c>
      <c r="H1491" s="4">
        <v>3194503</v>
      </c>
      <c r="I1491" s="3" t="s">
        <v>475</v>
      </c>
      <c r="J1491" s="3" t="s">
        <v>371</v>
      </c>
      <c r="K1491" s="53">
        <v>3212006</v>
      </c>
    </row>
    <row r="1492" spans="1:43" s="3" customFormat="1" x14ac:dyDescent="0.3">
      <c r="B1492" s="44">
        <v>45962</v>
      </c>
      <c r="C1492" s="3" t="s">
        <v>416</v>
      </c>
      <c r="D1492" s="3" t="s">
        <v>504</v>
      </c>
      <c r="E1492" s="42"/>
      <c r="F1492" s="4" t="s">
        <v>720</v>
      </c>
      <c r="G1492" s="4" t="s">
        <v>13</v>
      </c>
      <c r="H1492" s="4">
        <v>3125906</v>
      </c>
      <c r="I1492" s="3" t="s">
        <v>666</v>
      </c>
      <c r="J1492" s="3" t="s">
        <v>12</v>
      </c>
      <c r="K1492" s="4">
        <v>3034206</v>
      </c>
    </row>
    <row r="1493" spans="1:43" s="3" customFormat="1" x14ac:dyDescent="0.3">
      <c r="B1493" s="44">
        <v>45962</v>
      </c>
      <c r="C1493" s="3" t="s">
        <v>416</v>
      </c>
      <c r="D1493" s="3" t="s">
        <v>61</v>
      </c>
      <c r="E1493" s="42"/>
      <c r="F1493" s="4" t="s">
        <v>720</v>
      </c>
      <c r="G1493" s="4" t="s">
        <v>335</v>
      </c>
      <c r="H1493" s="4">
        <v>3194201</v>
      </c>
      <c r="I1493" s="4" t="s">
        <v>658</v>
      </c>
      <c r="J1493" s="4" t="s">
        <v>301</v>
      </c>
      <c r="K1493" s="4">
        <v>3210300</v>
      </c>
    </row>
    <row r="1494" spans="1:43" s="3" customFormat="1" x14ac:dyDescent="0.3">
      <c r="B1494" s="44">
        <v>45962</v>
      </c>
      <c r="C1494" s="3" t="s">
        <v>416</v>
      </c>
      <c r="D1494" s="3" t="s">
        <v>488</v>
      </c>
      <c r="E1494" s="42"/>
      <c r="F1494" s="3" t="s">
        <v>720</v>
      </c>
      <c r="G1494" s="3" t="s">
        <v>153</v>
      </c>
      <c r="H1494" s="4">
        <v>3033405</v>
      </c>
      <c r="I1494" s="3" t="s">
        <v>645</v>
      </c>
      <c r="J1494" s="3" t="s">
        <v>123</v>
      </c>
      <c r="K1494" s="4">
        <v>3351104</v>
      </c>
    </row>
    <row r="1495" spans="1:43" s="3" customFormat="1" x14ac:dyDescent="0.3">
      <c r="B1495" s="44">
        <v>45962</v>
      </c>
      <c r="C1495" s="3" t="s">
        <v>416</v>
      </c>
      <c r="D1495" s="3" t="s">
        <v>57</v>
      </c>
      <c r="E1495" s="42"/>
      <c r="F1495" s="4" t="s">
        <v>647</v>
      </c>
      <c r="G1495" s="4" t="s">
        <v>282</v>
      </c>
      <c r="H1495" s="4">
        <v>3193900</v>
      </c>
      <c r="I1495" s="4" t="s">
        <v>680</v>
      </c>
      <c r="J1495" s="4" t="s">
        <v>266</v>
      </c>
      <c r="K1495" s="4">
        <v>3208306</v>
      </c>
    </row>
    <row r="1496" spans="1:43" s="3" customFormat="1" x14ac:dyDescent="0.3">
      <c r="B1496" s="44">
        <v>45962</v>
      </c>
      <c r="C1496" s="3" t="s">
        <v>416</v>
      </c>
      <c r="D1496" s="3" t="s">
        <v>494</v>
      </c>
      <c r="E1496" s="42"/>
      <c r="F1496" s="4" t="s">
        <v>647</v>
      </c>
      <c r="G1496" s="4" t="s">
        <v>191</v>
      </c>
      <c r="H1496" s="4">
        <v>3345708</v>
      </c>
      <c r="I1496" s="3" t="s">
        <v>694</v>
      </c>
      <c r="J1496" s="3" t="s">
        <v>188</v>
      </c>
      <c r="K1496" s="4">
        <v>3353508</v>
      </c>
    </row>
    <row r="1497" spans="1:43" s="3" customFormat="1" x14ac:dyDescent="0.3">
      <c r="B1497" s="44">
        <v>45962</v>
      </c>
      <c r="C1497" s="3" t="s">
        <v>416</v>
      </c>
      <c r="D1497" s="3" t="s">
        <v>592</v>
      </c>
      <c r="E1497" s="42"/>
      <c r="F1497" s="3" t="s">
        <v>647</v>
      </c>
      <c r="G1497" s="3" t="s">
        <v>405</v>
      </c>
      <c r="H1497" s="74">
        <v>3901108</v>
      </c>
      <c r="I1497" s="3" t="s">
        <v>682</v>
      </c>
      <c r="J1497" s="3" t="s">
        <v>635</v>
      </c>
      <c r="K1497" s="74">
        <v>3969700</v>
      </c>
    </row>
    <row r="1498" spans="1:43" s="3" customFormat="1" x14ac:dyDescent="0.3">
      <c r="B1498" s="44">
        <v>45962</v>
      </c>
      <c r="C1498" s="3" t="s">
        <v>416</v>
      </c>
      <c r="D1498" s="3" t="s">
        <v>496</v>
      </c>
      <c r="E1498" s="42"/>
      <c r="F1498" s="4" t="s">
        <v>687</v>
      </c>
      <c r="G1498" s="4" t="s">
        <v>207</v>
      </c>
      <c r="H1498" s="4">
        <v>3346801</v>
      </c>
      <c r="I1498" s="4" t="s">
        <v>665</v>
      </c>
      <c r="J1498" s="4" t="s">
        <v>204</v>
      </c>
      <c r="K1498" s="4">
        <v>3357400</v>
      </c>
    </row>
    <row r="1499" spans="1:43" s="3" customFormat="1" x14ac:dyDescent="0.3">
      <c r="B1499" s="44">
        <v>45962</v>
      </c>
      <c r="C1499" s="3" t="s">
        <v>416</v>
      </c>
      <c r="D1499" s="3" t="s">
        <v>59</v>
      </c>
      <c r="E1499" s="42"/>
      <c r="F1499" s="4" t="s">
        <v>687</v>
      </c>
      <c r="G1499" s="4" t="s">
        <v>283</v>
      </c>
      <c r="H1499" s="4">
        <v>3194107</v>
      </c>
      <c r="I1499" s="3" t="s">
        <v>646</v>
      </c>
      <c r="J1499" s="3" t="s">
        <v>275</v>
      </c>
      <c r="K1499" s="4">
        <v>3202406</v>
      </c>
    </row>
    <row r="1500" spans="1:43" s="3" customFormat="1" x14ac:dyDescent="0.3">
      <c r="B1500" s="44">
        <v>45962</v>
      </c>
      <c r="C1500" s="3" t="s">
        <v>416</v>
      </c>
      <c r="D1500" s="3" t="s">
        <v>68</v>
      </c>
      <c r="E1500" s="42"/>
      <c r="F1500" s="3" t="s">
        <v>687</v>
      </c>
      <c r="G1500" s="3" t="s">
        <v>391</v>
      </c>
      <c r="H1500" s="4">
        <v>3193806</v>
      </c>
      <c r="I1500" s="4" t="s">
        <v>665</v>
      </c>
      <c r="J1500" s="4" t="s">
        <v>627</v>
      </c>
      <c r="K1500" s="4" t="s">
        <v>638</v>
      </c>
    </row>
    <row r="1501" spans="1:43" s="3" customFormat="1" x14ac:dyDescent="0.3">
      <c r="B1501" s="44">
        <v>45962</v>
      </c>
      <c r="C1501" s="3" t="s">
        <v>416</v>
      </c>
      <c r="D1501" s="3" t="s">
        <v>499</v>
      </c>
      <c r="E1501" s="42"/>
      <c r="F1501" s="3" t="s">
        <v>687</v>
      </c>
      <c r="G1501" s="3" t="s">
        <v>231</v>
      </c>
      <c r="H1501" s="4">
        <v>3819503</v>
      </c>
      <c r="I1501" s="3" t="s">
        <v>671</v>
      </c>
      <c r="J1501" s="3" t="s">
        <v>228</v>
      </c>
      <c r="K1501" s="53">
        <v>3358607</v>
      </c>
      <c r="M1501" s="51"/>
    </row>
    <row r="1502" spans="1:43" s="3" customFormat="1" x14ac:dyDescent="0.3">
      <c r="A1502" s="4"/>
      <c r="B1502" s="100">
        <v>45963</v>
      </c>
      <c r="C1502" s="98" t="s">
        <v>553</v>
      </c>
      <c r="D1502" s="4" t="s">
        <v>521</v>
      </c>
      <c r="E1502" s="4"/>
      <c r="F1502" s="73" t="s">
        <v>522</v>
      </c>
      <c r="G1502" s="73" t="s">
        <v>522</v>
      </c>
      <c r="H1502" s="73"/>
      <c r="I1502" s="73" t="s">
        <v>472</v>
      </c>
      <c r="J1502" s="73" t="s">
        <v>472</v>
      </c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</row>
    <row r="1503" spans="1:43" s="3" customFormat="1" x14ac:dyDescent="0.3">
      <c r="A1503" s="4"/>
      <c r="B1503" s="100">
        <v>45963</v>
      </c>
      <c r="C1503" s="98" t="s">
        <v>553</v>
      </c>
      <c r="D1503" s="4" t="s">
        <v>521</v>
      </c>
      <c r="E1503" s="4"/>
      <c r="F1503" s="73" t="s">
        <v>479</v>
      </c>
      <c r="G1503" s="73" t="s">
        <v>479</v>
      </c>
      <c r="H1503" s="73"/>
      <c r="I1503" s="73" t="s">
        <v>528</v>
      </c>
      <c r="J1503" s="73" t="s">
        <v>528</v>
      </c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</row>
    <row r="1504" spans="1:43" s="3" customFormat="1" x14ac:dyDescent="0.3">
      <c r="A1504" s="4"/>
      <c r="B1504" s="100">
        <v>45963</v>
      </c>
      <c r="C1504" s="98" t="s">
        <v>553</v>
      </c>
      <c r="D1504" s="4" t="s">
        <v>516</v>
      </c>
      <c r="E1504" s="4"/>
      <c r="F1504" s="73" t="s">
        <v>476</v>
      </c>
      <c r="G1504" s="73" t="s">
        <v>476</v>
      </c>
      <c r="H1504" s="73"/>
      <c r="I1504" s="73" t="s">
        <v>533</v>
      </c>
      <c r="J1504" s="73" t="s">
        <v>533</v>
      </c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</row>
    <row r="1505" spans="1:43" s="3" customFormat="1" x14ac:dyDescent="0.3">
      <c r="A1505" s="4"/>
      <c r="B1505" s="100">
        <v>45963</v>
      </c>
      <c r="C1505" s="98" t="s">
        <v>553</v>
      </c>
      <c r="D1505" s="4" t="s">
        <v>521</v>
      </c>
      <c r="E1505" s="4"/>
      <c r="F1505" s="73" t="s">
        <v>535</v>
      </c>
      <c r="G1505" s="73" t="s">
        <v>535</v>
      </c>
      <c r="H1505" s="73"/>
      <c r="I1505" s="73" t="s">
        <v>471</v>
      </c>
      <c r="J1505" s="73" t="s">
        <v>471</v>
      </c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</row>
    <row r="1506" spans="1:43" s="3" customFormat="1" x14ac:dyDescent="0.3">
      <c r="A1506" s="4"/>
      <c r="B1506" s="100">
        <v>45963</v>
      </c>
      <c r="C1506" s="98" t="s">
        <v>553</v>
      </c>
      <c r="D1506" s="4" t="s">
        <v>516</v>
      </c>
      <c r="E1506" s="4"/>
      <c r="F1506" s="73" t="s">
        <v>518</v>
      </c>
      <c r="G1506" s="73" t="s">
        <v>518</v>
      </c>
      <c r="H1506" s="73"/>
      <c r="I1506" s="73" t="s">
        <v>534</v>
      </c>
      <c r="J1506" s="73" t="s">
        <v>524</v>
      </c>
      <c r="K1506" s="15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</row>
    <row r="1507" spans="1:43" s="3" customFormat="1" x14ac:dyDescent="0.3">
      <c r="A1507" s="4"/>
      <c r="B1507" s="100">
        <v>45963</v>
      </c>
      <c r="C1507" s="98" t="s">
        <v>553</v>
      </c>
      <c r="D1507" s="4" t="s">
        <v>516</v>
      </c>
      <c r="E1507" s="4"/>
      <c r="F1507" s="73" t="s">
        <v>520</v>
      </c>
      <c r="G1507" s="73" t="s">
        <v>520</v>
      </c>
      <c r="H1507" s="73"/>
      <c r="I1507" s="73" t="s">
        <v>474</v>
      </c>
      <c r="J1507" s="73" t="s">
        <v>474</v>
      </c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</row>
    <row r="1508" spans="1:43" s="3" customFormat="1" x14ac:dyDescent="0.3">
      <c r="A1508" s="4"/>
      <c r="B1508" s="100">
        <v>45969</v>
      </c>
      <c r="C1508" s="98" t="s">
        <v>553</v>
      </c>
      <c r="D1508" s="4" t="s">
        <v>508</v>
      </c>
      <c r="E1508" s="4"/>
      <c r="F1508" s="73" t="s">
        <v>475</v>
      </c>
      <c r="G1508" s="73" t="s">
        <v>475</v>
      </c>
      <c r="H1508" s="73"/>
      <c r="I1508" s="73" t="s">
        <v>554</v>
      </c>
      <c r="J1508" s="73" t="s">
        <v>9</v>
      </c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</row>
    <row r="1509" spans="1:43" s="3" customFormat="1" x14ac:dyDescent="0.3">
      <c r="B1509" s="44">
        <v>45969</v>
      </c>
      <c r="C1509" s="3" t="s">
        <v>416</v>
      </c>
      <c r="D1509" s="3" t="s">
        <v>504</v>
      </c>
      <c r="E1509" s="42"/>
      <c r="F1509" s="3" t="s">
        <v>475</v>
      </c>
      <c r="G1509" s="3" t="s">
        <v>15</v>
      </c>
      <c r="H1509" s="4">
        <v>3029601</v>
      </c>
      <c r="I1509" s="3" t="s">
        <v>471</v>
      </c>
      <c r="J1509" s="3" t="s">
        <v>14</v>
      </c>
      <c r="K1509" s="4">
        <v>3348601</v>
      </c>
    </row>
    <row r="1510" spans="1:43" s="3" customFormat="1" x14ac:dyDescent="0.3">
      <c r="B1510" s="44">
        <v>45969</v>
      </c>
      <c r="C1510" s="3" t="s">
        <v>416</v>
      </c>
      <c r="D1510" s="3" t="s">
        <v>56</v>
      </c>
      <c r="E1510" s="42"/>
      <c r="F1510" s="3" t="s">
        <v>475</v>
      </c>
      <c r="G1510" s="3" t="s">
        <v>256</v>
      </c>
      <c r="H1510" s="4">
        <v>3068700</v>
      </c>
      <c r="I1510" s="73" t="s">
        <v>671</v>
      </c>
      <c r="J1510" s="73" t="s">
        <v>247</v>
      </c>
      <c r="K1510" s="4">
        <v>3034102</v>
      </c>
    </row>
    <row r="1511" spans="1:43" s="3" customFormat="1" x14ac:dyDescent="0.3">
      <c r="B1511" s="44">
        <v>45969</v>
      </c>
      <c r="C1511" s="3" t="s">
        <v>416</v>
      </c>
      <c r="D1511" s="3" t="s">
        <v>490</v>
      </c>
      <c r="E1511" s="4"/>
      <c r="F1511" s="3" t="s">
        <v>475</v>
      </c>
      <c r="G1511" s="3" t="s">
        <v>125</v>
      </c>
      <c r="H1511" s="4">
        <v>3362807</v>
      </c>
      <c r="I1511" s="4" t="s">
        <v>479</v>
      </c>
      <c r="J1511" s="4" t="s">
        <v>166</v>
      </c>
      <c r="K1511" s="4">
        <v>3361006</v>
      </c>
    </row>
    <row r="1512" spans="1:43" s="3" customFormat="1" x14ac:dyDescent="0.3">
      <c r="B1512" s="44">
        <v>45969</v>
      </c>
      <c r="C1512" s="3" t="s">
        <v>416</v>
      </c>
      <c r="D1512" s="3" t="s">
        <v>64</v>
      </c>
      <c r="E1512" s="42">
        <v>4370907</v>
      </c>
      <c r="F1512" s="3" t="s">
        <v>475</v>
      </c>
      <c r="G1512" s="3" t="s">
        <v>310</v>
      </c>
      <c r="H1512" s="4">
        <v>3212402</v>
      </c>
      <c r="I1512" s="4" t="s">
        <v>688</v>
      </c>
      <c r="J1512" s="4" t="s">
        <v>318</v>
      </c>
      <c r="K1512" s="4">
        <v>3037401</v>
      </c>
    </row>
    <row r="1513" spans="1:43" s="3" customFormat="1" x14ac:dyDescent="0.3">
      <c r="B1513" s="44">
        <v>45969</v>
      </c>
      <c r="C1513" s="3" t="s">
        <v>416</v>
      </c>
      <c r="D1513" s="3" t="s">
        <v>67</v>
      </c>
      <c r="E1513" s="42"/>
      <c r="F1513" s="4" t="s">
        <v>475</v>
      </c>
      <c r="G1513" s="4" t="s">
        <v>336</v>
      </c>
      <c r="H1513" s="4">
        <v>3211809</v>
      </c>
      <c r="I1513" s="3" t="s">
        <v>472</v>
      </c>
      <c r="J1513" s="3" t="s">
        <v>338</v>
      </c>
      <c r="K1513" s="4">
        <v>3207307</v>
      </c>
    </row>
    <row r="1514" spans="1:43" s="3" customFormat="1" x14ac:dyDescent="0.3">
      <c r="B1514" s="44">
        <v>45969</v>
      </c>
      <c r="C1514" s="3" t="s">
        <v>416</v>
      </c>
      <c r="D1514" s="3" t="s">
        <v>498</v>
      </c>
      <c r="E1514" s="42"/>
      <c r="F1514" s="3" t="s">
        <v>475</v>
      </c>
      <c r="G1514" s="3" t="s">
        <v>184</v>
      </c>
      <c r="H1514" s="53">
        <v>3363004</v>
      </c>
      <c r="I1514" s="3" t="s">
        <v>694</v>
      </c>
      <c r="J1514" s="3" t="s">
        <v>245</v>
      </c>
      <c r="K1514" s="4">
        <v>3352905</v>
      </c>
    </row>
    <row r="1515" spans="1:43" s="3" customFormat="1" x14ac:dyDescent="0.3">
      <c r="B1515" s="44">
        <v>45969</v>
      </c>
      <c r="C1515" s="3" t="s">
        <v>416</v>
      </c>
      <c r="D1515" s="3" t="s">
        <v>70</v>
      </c>
      <c r="E1515" s="42"/>
      <c r="F1515" s="3" t="s">
        <v>475</v>
      </c>
      <c r="G1515" s="3" t="s">
        <v>371</v>
      </c>
      <c r="H1515" s="53">
        <v>3212006</v>
      </c>
      <c r="I1515" s="3" t="s">
        <v>717</v>
      </c>
      <c r="J1515" s="3" t="s">
        <v>434</v>
      </c>
      <c r="K1515" s="4">
        <v>3195408</v>
      </c>
    </row>
    <row r="1516" spans="1:43" s="3" customFormat="1" x14ac:dyDescent="0.3">
      <c r="B1516" s="44">
        <v>45969</v>
      </c>
      <c r="C1516" s="3" t="s">
        <v>416</v>
      </c>
      <c r="D1516" s="3" t="s">
        <v>592</v>
      </c>
      <c r="E1516" s="42"/>
      <c r="F1516" s="3" t="s">
        <v>475</v>
      </c>
      <c r="G1516" s="3" t="s">
        <v>398</v>
      </c>
      <c r="H1516" s="74">
        <v>3211601</v>
      </c>
      <c r="I1516" s="3" t="s">
        <v>662</v>
      </c>
      <c r="J1516" s="3" t="s">
        <v>634</v>
      </c>
      <c r="K1516" s="74">
        <v>4023105</v>
      </c>
    </row>
    <row r="1517" spans="1:43" s="3" customFormat="1" x14ac:dyDescent="0.3">
      <c r="B1517" s="44">
        <v>45969</v>
      </c>
      <c r="C1517" s="3" t="s">
        <v>416</v>
      </c>
      <c r="D1517" s="3" t="s">
        <v>492</v>
      </c>
      <c r="E1517" s="42"/>
      <c r="F1517" s="4" t="s">
        <v>648</v>
      </c>
      <c r="G1517" s="4" t="s">
        <v>201</v>
      </c>
      <c r="H1517" s="4">
        <v>3362203</v>
      </c>
      <c r="I1517" s="4" t="s">
        <v>673</v>
      </c>
      <c r="J1517" s="4" t="s">
        <v>134</v>
      </c>
      <c r="K1517" s="4">
        <v>3347102</v>
      </c>
    </row>
    <row r="1518" spans="1:43" s="3" customFormat="1" x14ac:dyDescent="0.3">
      <c r="B1518" s="44">
        <v>45969</v>
      </c>
      <c r="C1518" s="3" t="s">
        <v>416</v>
      </c>
      <c r="D1518" s="3" t="s">
        <v>492</v>
      </c>
      <c r="E1518" s="42"/>
      <c r="F1518" s="3" t="s">
        <v>649</v>
      </c>
      <c r="G1518" s="3" t="s">
        <v>154</v>
      </c>
      <c r="H1518" s="4">
        <v>3362109</v>
      </c>
      <c r="I1518" s="3" t="s">
        <v>646</v>
      </c>
      <c r="J1518" s="3" t="s">
        <v>159</v>
      </c>
      <c r="K1518" s="4">
        <v>3354403</v>
      </c>
    </row>
    <row r="1519" spans="1:43" s="3" customFormat="1" x14ac:dyDescent="0.3">
      <c r="B1519" s="44">
        <v>45969</v>
      </c>
      <c r="C1519" s="3" t="s">
        <v>416</v>
      </c>
      <c r="D1519" s="3" t="s">
        <v>496</v>
      </c>
      <c r="E1519" s="42"/>
      <c r="F1519" s="3" t="s">
        <v>651</v>
      </c>
      <c r="G1519" s="3" t="s">
        <v>202</v>
      </c>
      <c r="H1519" s="74">
        <v>3361808</v>
      </c>
      <c r="I1519" s="3" t="s">
        <v>710</v>
      </c>
      <c r="J1519" s="3" t="s">
        <v>462</v>
      </c>
      <c r="K1519" s="4">
        <v>3352207</v>
      </c>
    </row>
    <row r="1520" spans="1:43" s="3" customFormat="1" x14ac:dyDescent="0.3">
      <c r="B1520" s="44">
        <v>45969</v>
      </c>
      <c r="C1520" s="3" t="s">
        <v>416</v>
      </c>
      <c r="D1520" s="3" t="s">
        <v>490</v>
      </c>
      <c r="E1520" s="4"/>
      <c r="F1520" s="3" t="s">
        <v>653</v>
      </c>
      <c r="G1520" s="3" t="s">
        <v>126</v>
      </c>
      <c r="H1520" s="4">
        <v>3361402</v>
      </c>
      <c r="I1520" s="4" t="s">
        <v>472</v>
      </c>
      <c r="J1520" s="4" t="s">
        <v>140</v>
      </c>
      <c r="K1520" s="4">
        <v>3357900</v>
      </c>
    </row>
    <row r="1521" spans="2:11" s="3" customFormat="1" x14ac:dyDescent="0.3">
      <c r="B1521" s="44">
        <v>45969</v>
      </c>
      <c r="C1521" s="3" t="s">
        <v>416</v>
      </c>
      <c r="D1521" s="3" t="s">
        <v>65</v>
      </c>
      <c r="E1521" s="42"/>
      <c r="F1521" s="3" t="s">
        <v>653</v>
      </c>
      <c r="G1521" s="3" t="s">
        <v>451</v>
      </c>
      <c r="H1521" s="4">
        <v>3211309</v>
      </c>
      <c r="I1521" s="4" t="s">
        <v>479</v>
      </c>
      <c r="J1521" s="4" t="s">
        <v>320</v>
      </c>
      <c r="K1521" s="4">
        <v>3210602</v>
      </c>
    </row>
    <row r="1522" spans="2:11" s="3" customFormat="1" x14ac:dyDescent="0.3">
      <c r="B1522" s="44">
        <v>45969</v>
      </c>
      <c r="C1522" s="3" t="s">
        <v>416</v>
      </c>
      <c r="D1522" s="3" t="s">
        <v>59</v>
      </c>
      <c r="E1522" s="42"/>
      <c r="F1522" s="4" t="s">
        <v>479</v>
      </c>
      <c r="G1522" s="4" t="s">
        <v>273</v>
      </c>
      <c r="H1522" s="4">
        <v>3211007</v>
      </c>
      <c r="I1522" s="3" t="s">
        <v>476</v>
      </c>
      <c r="J1522" s="3" t="s">
        <v>274</v>
      </c>
      <c r="K1522" s="4">
        <v>3206902</v>
      </c>
    </row>
    <row r="1523" spans="2:11" s="3" customFormat="1" x14ac:dyDescent="0.3">
      <c r="B1523" s="44">
        <v>45969</v>
      </c>
      <c r="C1523" s="3" t="s">
        <v>416</v>
      </c>
      <c r="D1523" s="3" t="s">
        <v>493</v>
      </c>
      <c r="E1523" s="42"/>
      <c r="F1523" s="3" t="s">
        <v>479</v>
      </c>
      <c r="G1523" s="3" t="s">
        <v>211</v>
      </c>
      <c r="H1523" s="4">
        <v>3361204</v>
      </c>
      <c r="I1523" s="4" t="s">
        <v>480</v>
      </c>
      <c r="J1523" s="4" t="s">
        <v>423</v>
      </c>
      <c r="K1523" s="4">
        <v>3360403</v>
      </c>
    </row>
    <row r="1524" spans="2:11" s="3" customFormat="1" x14ac:dyDescent="0.3">
      <c r="B1524" s="44">
        <v>45969</v>
      </c>
      <c r="C1524" s="3" t="s">
        <v>416</v>
      </c>
      <c r="D1524" s="3" t="s">
        <v>69</v>
      </c>
      <c r="E1524" s="42"/>
      <c r="F1524" s="3" t="s">
        <v>479</v>
      </c>
      <c r="G1524" s="3" t="s">
        <v>392</v>
      </c>
      <c r="H1524" s="53">
        <v>3210706</v>
      </c>
      <c r="I1524" s="3" t="s">
        <v>656</v>
      </c>
      <c r="J1524" s="3" t="s">
        <v>361</v>
      </c>
      <c r="K1524" s="4">
        <v>3200002</v>
      </c>
    </row>
    <row r="1525" spans="2:11" s="3" customFormat="1" x14ac:dyDescent="0.3">
      <c r="B1525" s="44">
        <v>45969</v>
      </c>
      <c r="C1525" s="3" t="s">
        <v>416</v>
      </c>
      <c r="D1525" s="3" t="s">
        <v>500</v>
      </c>
      <c r="E1525" s="42"/>
      <c r="F1525" s="3" t="s">
        <v>479</v>
      </c>
      <c r="G1525" s="3" t="s">
        <v>232</v>
      </c>
      <c r="H1525" s="4">
        <v>3360507</v>
      </c>
      <c r="I1525" s="4" t="s">
        <v>654</v>
      </c>
      <c r="J1525" s="4" t="s">
        <v>576</v>
      </c>
      <c r="K1525" s="4">
        <v>4009003</v>
      </c>
    </row>
    <row r="1526" spans="2:11" s="3" customFormat="1" x14ac:dyDescent="0.3">
      <c r="B1526" s="44">
        <v>45969</v>
      </c>
      <c r="C1526" s="3" t="s">
        <v>416</v>
      </c>
      <c r="D1526" s="3" t="s">
        <v>500</v>
      </c>
      <c r="E1526" s="42"/>
      <c r="F1526" s="3" t="s">
        <v>479</v>
      </c>
      <c r="G1526" s="3" t="s">
        <v>465</v>
      </c>
      <c r="H1526" s="4">
        <v>3962207</v>
      </c>
      <c r="I1526" s="4" t="s">
        <v>672</v>
      </c>
      <c r="J1526" s="4" t="s">
        <v>187</v>
      </c>
      <c r="K1526" s="4">
        <v>3354101</v>
      </c>
    </row>
    <row r="1527" spans="2:11" s="3" customFormat="1" x14ac:dyDescent="0.3">
      <c r="B1527" s="44">
        <v>45969</v>
      </c>
      <c r="C1527" s="3" t="s">
        <v>416</v>
      </c>
      <c r="D1527" s="3" t="s">
        <v>593</v>
      </c>
      <c r="E1527" s="42"/>
      <c r="F1527" s="3" t="s">
        <v>479</v>
      </c>
      <c r="G1527" s="3" t="s">
        <v>628</v>
      </c>
      <c r="H1527" s="4" t="s">
        <v>642</v>
      </c>
      <c r="I1527" s="4" t="s">
        <v>679</v>
      </c>
      <c r="J1527" s="4" t="s">
        <v>633</v>
      </c>
      <c r="K1527" s="4">
        <v>3194607</v>
      </c>
    </row>
    <row r="1528" spans="2:11" s="3" customFormat="1" x14ac:dyDescent="0.3">
      <c r="B1528" s="44">
        <v>45969</v>
      </c>
      <c r="C1528" s="3" t="s">
        <v>416</v>
      </c>
      <c r="D1528" s="3" t="s">
        <v>61</v>
      </c>
      <c r="E1528" s="42"/>
      <c r="F1528" s="4" t="s">
        <v>658</v>
      </c>
      <c r="G1528" s="4" t="s">
        <v>301</v>
      </c>
      <c r="H1528" s="4">
        <v>3210300</v>
      </c>
      <c r="I1528" s="4" t="s">
        <v>478</v>
      </c>
      <c r="J1528" s="4" t="s">
        <v>330</v>
      </c>
      <c r="K1528" s="4">
        <v>3205309</v>
      </c>
    </row>
    <row r="1529" spans="2:11" s="3" customFormat="1" x14ac:dyDescent="0.3">
      <c r="B1529" s="44">
        <v>45969</v>
      </c>
      <c r="C1529" s="3" t="s">
        <v>416</v>
      </c>
      <c r="D1529" s="3" t="s">
        <v>504</v>
      </c>
      <c r="E1529" s="42"/>
      <c r="F1529" s="4" t="s">
        <v>480</v>
      </c>
      <c r="G1529" s="4" t="s">
        <v>505</v>
      </c>
      <c r="H1529" s="4">
        <v>3033207</v>
      </c>
      <c r="I1529" s="4" t="s">
        <v>720</v>
      </c>
      <c r="J1529" s="4" t="s">
        <v>13</v>
      </c>
      <c r="K1529" s="4">
        <v>3125906</v>
      </c>
    </row>
    <row r="1530" spans="2:11" s="3" customFormat="1" x14ac:dyDescent="0.3">
      <c r="B1530" s="44">
        <v>45969</v>
      </c>
      <c r="C1530" s="3" t="s">
        <v>416</v>
      </c>
      <c r="D1530" s="3" t="s">
        <v>490</v>
      </c>
      <c r="E1530" s="4"/>
      <c r="F1530" s="3" t="s">
        <v>480</v>
      </c>
      <c r="G1530" s="3" t="s">
        <v>420</v>
      </c>
      <c r="H1530" s="4">
        <v>3360101</v>
      </c>
      <c r="I1530" s="4" t="s">
        <v>717</v>
      </c>
      <c r="J1530" s="4" t="s">
        <v>425</v>
      </c>
      <c r="K1530" s="4">
        <v>3347206</v>
      </c>
    </row>
    <row r="1531" spans="2:11" s="3" customFormat="1" x14ac:dyDescent="0.3">
      <c r="B1531" s="44">
        <v>45969</v>
      </c>
      <c r="C1531" s="3" t="s">
        <v>416</v>
      </c>
      <c r="D1531" s="3" t="s">
        <v>59</v>
      </c>
      <c r="E1531" s="42"/>
      <c r="F1531" s="3" t="s">
        <v>661</v>
      </c>
      <c r="G1531" s="3" t="s">
        <v>641</v>
      </c>
      <c r="H1531" s="4">
        <v>3055707</v>
      </c>
      <c r="I1531" s="3" t="s">
        <v>656</v>
      </c>
      <c r="J1531" s="3" t="s">
        <v>278</v>
      </c>
      <c r="K1531" s="4">
        <v>3199800</v>
      </c>
    </row>
    <row r="1532" spans="2:11" s="3" customFormat="1" x14ac:dyDescent="0.3">
      <c r="B1532" s="44">
        <v>45969</v>
      </c>
      <c r="C1532" s="3" t="s">
        <v>416</v>
      </c>
      <c r="D1532" s="3" t="s">
        <v>593</v>
      </c>
      <c r="E1532" s="42"/>
      <c r="F1532" s="3" t="s">
        <v>661</v>
      </c>
      <c r="G1532" s="3" t="s">
        <v>640</v>
      </c>
      <c r="H1532" s="4">
        <v>3210102</v>
      </c>
      <c r="I1532" s="4" t="s">
        <v>701</v>
      </c>
      <c r="J1532" s="4" t="s">
        <v>631</v>
      </c>
      <c r="K1532" s="4">
        <v>4023209</v>
      </c>
    </row>
    <row r="1533" spans="2:11" s="3" customFormat="1" x14ac:dyDescent="0.3">
      <c r="B1533" s="44">
        <v>45969</v>
      </c>
      <c r="C1533" s="3" t="s">
        <v>416</v>
      </c>
      <c r="D1533" s="3" t="s">
        <v>68</v>
      </c>
      <c r="E1533" s="42"/>
      <c r="F1533" s="15" t="s">
        <v>664</v>
      </c>
      <c r="G1533" s="15" t="s">
        <v>388</v>
      </c>
      <c r="H1533" s="74">
        <v>3165306</v>
      </c>
      <c r="I1533" s="4" t="s">
        <v>652</v>
      </c>
      <c r="J1533" s="4" t="s">
        <v>625</v>
      </c>
      <c r="K1533" s="4">
        <v>3899803</v>
      </c>
    </row>
    <row r="1534" spans="2:11" s="3" customFormat="1" x14ac:dyDescent="0.3">
      <c r="B1534" s="44">
        <v>45969</v>
      </c>
      <c r="C1534" s="3" t="s">
        <v>416</v>
      </c>
      <c r="D1534" s="3" t="s">
        <v>490</v>
      </c>
      <c r="E1534" s="4"/>
      <c r="F1534" s="3" t="s">
        <v>660</v>
      </c>
      <c r="G1534" s="3" t="s">
        <v>137</v>
      </c>
      <c r="H1534" s="4">
        <v>3359908</v>
      </c>
      <c r="I1534" s="4" t="s">
        <v>476</v>
      </c>
      <c r="J1534" s="4" t="s">
        <v>168</v>
      </c>
      <c r="K1534" s="4">
        <v>3356505</v>
      </c>
    </row>
    <row r="1535" spans="2:11" s="3" customFormat="1" x14ac:dyDescent="0.3">
      <c r="B1535" s="44">
        <v>45969</v>
      </c>
      <c r="C1535" s="3" t="s">
        <v>416</v>
      </c>
      <c r="D1535" s="3" t="s">
        <v>62</v>
      </c>
      <c r="E1535" s="42"/>
      <c r="F1535" s="3" t="s">
        <v>660</v>
      </c>
      <c r="G1535" s="3" t="s">
        <v>443</v>
      </c>
      <c r="H1535" s="4">
        <v>3210008</v>
      </c>
      <c r="I1535" s="3" t="s">
        <v>471</v>
      </c>
      <c r="J1535" s="3" t="s">
        <v>328</v>
      </c>
      <c r="K1535" s="4">
        <v>3196803</v>
      </c>
    </row>
    <row r="1536" spans="2:11" s="3" customFormat="1" x14ac:dyDescent="0.3">
      <c r="B1536" s="44">
        <v>45969</v>
      </c>
      <c r="C1536" s="3" t="s">
        <v>416</v>
      </c>
      <c r="D1536" s="3" t="s">
        <v>497</v>
      </c>
      <c r="E1536" s="42"/>
      <c r="F1536" s="17" t="s">
        <v>660</v>
      </c>
      <c r="G1536" s="17" t="s">
        <v>212</v>
      </c>
      <c r="H1536" s="74">
        <v>3360007</v>
      </c>
      <c r="I1536" s="17" t="s">
        <v>653</v>
      </c>
      <c r="J1536" s="17" t="s">
        <v>209</v>
      </c>
      <c r="K1536" s="74">
        <v>3360705</v>
      </c>
    </row>
    <row r="1537" spans="2:14" s="3" customFormat="1" x14ac:dyDescent="0.3">
      <c r="B1537" s="44">
        <v>45969</v>
      </c>
      <c r="C1537" s="3" t="s">
        <v>416</v>
      </c>
      <c r="D1537" s="3" t="s">
        <v>487</v>
      </c>
      <c r="E1537" s="4"/>
      <c r="F1537" s="4" t="s">
        <v>657</v>
      </c>
      <c r="G1537" s="4" t="s">
        <v>107</v>
      </c>
      <c r="H1537" s="4">
        <v>3068408</v>
      </c>
      <c r="I1537" s="4" t="s">
        <v>692</v>
      </c>
      <c r="J1537" s="4" t="s">
        <v>115</v>
      </c>
      <c r="K1537" s="4">
        <v>3068106</v>
      </c>
    </row>
    <row r="1538" spans="2:14" s="3" customFormat="1" x14ac:dyDescent="0.3">
      <c r="B1538" s="44">
        <v>45969</v>
      </c>
      <c r="C1538" s="3" t="s">
        <v>416</v>
      </c>
      <c r="D1538" s="3" t="s">
        <v>69</v>
      </c>
      <c r="E1538" s="42"/>
      <c r="F1538" s="3" t="s">
        <v>657</v>
      </c>
      <c r="G1538" s="3" t="s">
        <v>393</v>
      </c>
      <c r="H1538" s="4">
        <v>3209701</v>
      </c>
      <c r="I1538" s="3" t="s">
        <v>681</v>
      </c>
      <c r="J1538" s="3" t="s">
        <v>365</v>
      </c>
      <c r="K1538" s="4">
        <v>3195804</v>
      </c>
    </row>
    <row r="1539" spans="2:14" s="3" customFormat="1" x14ac:dyDescent="0.3">
      <c r="B1539" s="44">
        <v>45969</v>
      </c>
      <c r="C1539" s="3" t="s">
        <v>416</v>
      </c>
      <c r="D1539" s="3" t="s">
        <v>500</v>
      </c>
      <c r="E1539" s="42"/>
      <c r="F1539" s="3" t="s">
        <v>657</v>
      </c>
      <c r="G1539" s="3" t="s">
        <v>574</v>
      </c>
      <c r="H1539" s="4">
        <v>3359606</v>
      </c>
      <c r="I1539" s="4" t="s">
        <v>476</v>
      </c>
      <c r="J1539" s="4" t="s">
        <v>575</v>
      </c>
      <c r="K1539" s="4">
        <v>3900005</v>
      </c>
    </row>
    <row r="1540" spans="2:14" s="3" customFormat="1" x14ac:dyDescent="0.3">
      <c r="B1540" s="44">
        <v>45969</v>
      </c>
      <c r="C1540" s="3" t="s">
        <v>416</v>
      </c>
      <c r="D1540" s="3" t="s">
        <v>67</v>
      </c>
      <c r="E1540" s="42"/>
      <c r="F1540" s="3" t="s">
        <v>570</v>
      </c>
      <c r="G1540" s="3" t="s">
        <v>570</v>
      </c>
      <c r="H1540" s="4" t="s">
        <v>556</v>
      </c>
      <c r="I1540" s="3" t="s">
        <v>689</v>
      </c>
      <c r="J1540" s="3" t="s">
        <v>341</v>
      </c>
      <c r="K1540" s="4">
        <v>3197708</v>
      </c>
    </row>
    <row r="1541" spans="2:14" s="3" customFormat="1" x14ac:dyDescent="0.3">
      <c r="B1541" s="44">
        <v>45969</v>
      </c>
      <c r="C1541" s="3" t="s">
        <v>416</v>
      </c>
      <c r="D1541" s="3" t="s">
        <v>68</v>
      </c>
      <c r="E1541" s="42"/>
      <c r="F1541" s="3" t="s">
        <v>570</v>
      </c>
      <c r="G1541" s="3" t="s">
        <v>570</v>
      </c>
      <c r="H1541" s="4" t="s">
        <v>556</v>
      </c>
      <c r="I1541" s="4" t="s">
        <v>651</v>
      </c>
      <c r="J1541" s="4" t="s">
        <v>387</v>
      </c>
      <c r="K1541" s="4">
        <v>3211403</v>
      </c>
    </row>
    <row r="1542" spans="2:14" s="3" customFormat="1" x14ac:dyDescent="0.3">
      <c r="B1542" s="44">
        <v>45969</v>
      </c>
      <c r="C1542" s="3" t="s">
        <v>416</v>
      </c>
      <c r="D1542" s="3" t="s">
        <v>593</v>
      </c>
      <c r="E1542" s="42"/>
      <c r="F1542" s="15" t="s">
        <v>570</v>
      </c>
      <c r="G1542" s="15" t="s">
        <v>570</v>
      </c>
      <c r="H1542" s="74" t="s">
        <v>556</v>
      </c>
      <c r="I1542" s="4" t="s">
        <v>694</v>
      </c>
      <c r="J1542" s="4" t="s">
        <v>632</v>
      </c>
      <c r="K1542" s="4">
        <v>4023303</v>
      </c>
    </row>
    <row r="1543" spans="2:14" s="3" customFormat="1" x14ac:dyDescent="0.3">
      <c r="B1543" s="44">
        <v>45969</v>
      </c>
      <c r="C1543" s="3" t="s">
        <v>416</v>
      </c>
      <c r="D1543" s="3" t="s">
        <v>592</v>
      </c>
      <c r="E1543" s="42"/>
      <c r="F1543" s="3" t="s">
        <v>570</v>
      </c>
      <c r="G1543" s="3" t="s">
        <v>570</v>
      </c>
      <c r="H1543" s="4" t="s">
        <v>556</v>
      </c>
      <c r="I1543" s="3" t="s">
        <v>647</v>
      </c>
      <c r="J1543" s="3" t="s">
        <v>405</v>
      </c>
      <c r="K1543" s="74">
        <v>3901108</v>
      </c>
    </row>
    <row r="1544" spans="2:14" s="3" customFormat="1" x14ac:dyDescent="0.3">
      <c r="B1544" s="44">
        <v>45969</v>
      </c>
      <c r="C1544" s="3" t="s">
        <v>416</v>
      </c>
      <c r="D1544" s="3" t="s">
        <v>57</v>
      </c>
      <c r="E1544" s="42"/>
      <c r="F1544" s="3" t="s">
        <v>667</v>
      </c>
      <c r="G1544" s="3" t="s">
        <v>257</v>
      </c>
      <c r="H1544" s="4">
        <v>3209805</v>
      </c>
      <c r="I1544" s="3" t="s">
        <v>693</v>
      </c>
      <c r="J1544" s="3" t="s">
        <v>258</v>
      </c>
      <c r="K1544" s="4">
        <v>3207109</v>
      </c>
    </row>
    <row r="1545" spans="2:14" s="3" customFormat="1" x14ac:dyDescent="0.3">
      <c r="B1545" s="44">
        <v>45969</v>
      </c>
      <c r="C1545" s="3" t="s">
        <v>416</v>
      </c>
      <c r="D1545" s="3" t="s">
        <v>64</v>
      </c>
      <c r="E1545" s="42">
        <v>4370907</v>
      </c>
      <c r="F1545" s="3" t="s">
        <v>669</v>
      </c>
      <c r="G1545" s="3" t="s">
        <v>337</v>
      </c>
      <c r="H1545" s="4">
        <v>3209305</v>
      </c>
      <c r="I1545" s="4" t="s">
        <v>662</v>
      </c>
      <c r="J1545" s="4" t="s">
        <v>372</v>
      </c>
      <c r="K1545" s="4">
        <v>3207703</v>
      </c>
    </row>
    <row r="1546" spans="2:14" s="3" customFormat="1" x14ac:dyDescent="0.3">
      <c r="B1546" s="44">
        <v>45969</v>
      </c>
      <c r="C1546" s="3" t="s">
        <v>416</v>
      </c>
      <c r="D1546" s="3" t="s">
        <v>504</v>
      </c>
      <c r="E1546" s="42"/>
      <c r="F1546" s="4" t="s">
        <v>671</v>
      </c>
      <c r="G1546" s="4" t="s">
        <v>8</v>
      </c>
      <c r="H1546" s="4">
        <v>3034008</v>
      </c>
      <c r="I1546" s="4" t="s">
        <v>694</v>
      </c>
      <c r="J1546" s="4" t="s">
        <v>112</v>
      </c>
      <c r="K1546" s="4">
        <v>3353602</v>
      </c>
    </row>
    <row r="1547" spans="2:14" s="3" customFormat="1" x14ac:dyDescent="0.3">
      <c r="B1547" s="44">
        <v>45969</v>
      </c>
      <c r="C1547" s="3" t="s">
        <v>416</v>
      </c>
      <c r="D1547" s="3" t="s">
        <v>489</v>
      </c>
      <c r="E1547" s="4"/>
      <c r="F1547" s="3" t="s">
        <v>671</v>
      </c>
      <c r="G1547" s="3" t="s">
        <v>156</v>
      </c>
      <c r="H1547" s="4">
        <v>3359200</v>
      </c>
      <c r="I1547" s="4" t="s">
        <v>476</v>
      </c>
      <c r="J1547" s="4" t="s">
        <v>128</v>
      </c>
      <c r="K1547" s="4">
        <v>3357202</v>
      </c>
    </row>
    <row r="1548" spans="2:14" s="3" customFormat="1" x14ac:dyDescent="0.3">
      <c r="B1548" s="44">
        <v>45969</v>
      </c>
      <c r="C1548" s="3" t="s">
        <v>416</v>
      </c>
      <c r="D1548" s="3" t="s">
        <v>64</v>
      </c>
      <c r="E1548" s="42">
        <v>4370907</v>
      </c>
      <c r="F1548" s="3" t="s">
        <v>671</v>
      </c>
      <c r="G1548" s="3" t="s">
        <v>312</v>
      </c>
      <c r="H1548" s="4">
        <v>3209107</v>
      </c>
      <c r="I1548" s="4" t="s">
        <v>710</v>
      </c>
      <c r="J1548" s="4" t="s">
        <v>354</v>
      </c>
      <c r="K1548" s="4">
        <v>3199404</v>
      </c>
    </row>
    <row r="1549" spans="2:14" s="3" customFormat="1" x14ac:dyDescent="0.3">
      <c r="B1549" s="44">
        <v>45969</v>
      </c>
      <c r="C1549" s="3" t="s">
        <v>416</v>
      </c>
      <c r="D1549" s="3" t="s">
        <v>68</v>
      </c>
      <c r="E1549" s="42"/>
      <c r="F1549" s="3" t="s">
        <v>671</v>
      </c>
      <c r="G1549" s="3" t="s">
        <v>389</v>
      </c>
      <c r="H1549" s="4">
        <v>3209201</v>
      </c>
      <c r="I1549" s="4" t="s">
        <v>649</v>
      </c>
      <c r="J1549" s="4" t="s">
        <v>456</v>
      </c>
      <c r="K1549" s="4">
        <v>3545602</v>
      </c>
    </row>
    <row r="1550" spans="2:14" s="3" customFormat="1" x14ac:dyDescent="0.3">
      <c r="B1550" s="44">
        <v>45969</v>
      </c>
      <c r="C1550" s="3" t="s">
        <v>416</v>
      </c>
      <c r="D1550" s="3" t="s">
        <v>499</v>
      </c>
      <c r="E1550" s="42"/>
      <c r="F1550" s="3" t="s">
        <v>671</v>
      </c>
      <c r="G1550" s="3" t="s">
        <v>228</v>
      </c>
      <c r="H1550" s="53">
        <v>3358607</v>
      </c>
      <c r="I1550" s="3" t="s">
        <v>723</v>
      </c>
      <c r="J1550" s="3" t="s">
        <v>599</v>
      </c>
      <c r="K1550" s="4" t="s">
        <v>556</v>
      </c>
      <c r="M1550" s="3" t="s">
        <v>579</v>
      </c>
      <c r="N1550" s="3" t="s">
        <v>228</v>
      </c>
    </row>
    <row r="1551" spans="2:14" s="3" customFormat="1" x14ac:dyDescent="0.3">
      <c r="B1551" s="44">
        <v>45969</v>
      </c>
      <c r="C1551" s="3" t="s">
        <v>416</v>
      </c>
      <c r="D1551" s="3" t="s">
        <v>58</v>
      </c>
      <c r="E1551" s="42"/>
      <c r="F1551" s="3" t="s">
        <v>659</v>
      </c>
      <c r="G1551" s="3" t="s">
        <v>265</v>
      </c>
      <c r="H1551" s="4">
        <v>3208702</v>
      </c>
      <c r="I1551" s="3" t="s">
        <v>702</v>
      </c>
      <c r="J1551" s="3" t="s">
        <v>447</v>
      </c>
      <c r="K1551" s="32">
        <v>3055207</v>
      </c>
    </row>
    <row r="1552" spans="2:14" s="3" customFormat="1" x14ac:dyDescent="0.3">
      <c r="B1552" s="44">
        <v>45969</v>
      </c>
      <c r="C1552" s="3" t="s">
        <v>416</v>
      </c>
      <c r="D1552" s="3" t="s">
        <v>61</v>
      </c>
      <c r="E1552" s="42"/>
      <c r="F1552" s="106" t="s">
        <v>659</v>
      </c>
      <c r="G1552" s="106" t="s">
        <v>367</v>
      </c>
      <c r="H1552" s="106">
        <v>3208806</v>
      </c>
      <c r="I1552" s="3" t="s">
        <v>690</v>
      </c>
      <c r="J1552" s="3" t="s">
        <v>304</v>
      </c>
      <c r="K1552" s="4">
        <v>3204404</v>
      </c>
    </row>
    <row r="1553" spans="2:13" s="3" customFormat="1" x14ac:dyDescent="0.3">
      <c r="B1553" s="44">
        <v>45969</v>
      </c>
      <c r="C1553" s="3" t="s">
        <v>416</v>
      </c>
      <c r="D1553" s="3" t="s">
        <v>66</v>
      </c>
      <c r="E1553" s="42"/>
      <c r="F1553" s="104" t="s">
        <v>659</v>
      </c>
      <c r="G1553" s="104" t="s">
        <v>602</v>
      </c>
      <c r="H1553" s="74">
        <v>4023001</v>
      </c>
      <c r="I1553" s="3" t="s">
        <v>696</v>
      </c>
      <c r="J1553" s="3" t="s">
        <v>609</v>
      </c>
      <c r="K1553" s="74">
        <v>3900401</v>
      </c>
    </row>
    <row r="1554" spans="2:13" s="3" customFormat="1" x14ac:dyDescent="0.3">
      <c r="B1554" s="44">
        <v>45969</v>
      </c>
      <c r="C1554" s="3" t="s">
        <v>416</v>
      </c>
      <c r="D1554" s="3" t="s">
        <v>486</v>
      </c>
      <c r="E1554" s="42"/>
      <c r="F1554" s="3" t="s">
        <v>676</v>
      </c>
      <c r="G1554" s="3" t="s">
        <v>109</v>
      </c>
      <c r="H1554" s="4">
        <v>3067701</v>
      </c>
      <c r="I1554" s="3" t="s">
        <v>671</v>
      </c>
      <c r="J1554" s="3" t="s">
        <v>108</v>
      </c>
      <c r="K1554" s="4">
        <v>3359700</v>
      </c>
    </row>
    <row r="1555" spans="2:13" s="3" customFormat="1" x14ac:dyDescent="0.3">
      <c r="B1555" s="44">
        <v>45969</v>
      </c>
      <c r="C1555" s="3" t="s">
        <v>416</v>
      </c>
      <c r="D1555" s="3" t="s">
        <v>490</v>
      </c>
      <c r="E1555" s="4"/>
      <c r="F1555" s="3" t="s">
        <v>676</v>
      </c>
      <c r="G1555" s="3" t="s">
        <v>138</v>
      </c>
      <c r="H1555" s="4">
        <v>3067805</v>
      </c>
      <c r="I1555" s="4" t="s">
        <v>691</v>
      </c>
      <c r="J1555" s="4" t="s">
        <v>142</v>
      </c>
      <c r="K1555" s="4">
        <v>3350501</v>
      </c>
    </row>
    <row r="1556" spans="2:13" s="3" customFormat="1" x14ac:dyDescent="0.3">
      <c r="B1556" s="44">
        <v>45969</v>
      </c>
      <c r="C1556" s="3" t="s">
        <v>416</v>
      </c>
      <c r="D1556" s="3" t="s">
        <v>493</v>
      </c>
      <c r="E1556" s="42"/>
      <c r="F1556" s="3" t="s">
        <v>676</v>
      </c>
      <c r="G1556" s="3" t="s">
        <v>214</v>
      </c>
      <c r="H1556" s="4">
        <v>3358805</v>
      </c>
      <c r="I1556" s="4" t="s">
        <v>471</v>
      </c>
      <c r="J1556" s="4" t="s">
        <v>190</v>
      </c>
      <c r="K1556" s="4">
        <v>3348205</v>
      </c>
    </row>
    <row r="1557" spans="2:13" s="3" customFormat="1" x14ac:dyDescent="0.3">
      <c r="B1557" s="44">
        <v>45969</v>
      </c>
      <c r="C1557" s="3" t="s">
        <v>416</v>
      </c>
      <c r="D1557" s="3" t="s">
        <v>593</v>
      </c>
      <c r="E1557" s="42"/>
      <c r="F1557" s="3" t="s">
        <v>676</v>
      </c>
      <c r="G1557" s="3" t="s">
        <v>639</v>
      </c>
      <c r="H1557" s="4">
        <v>3776805</v>
      </c>
      <c r="I1557" s="4" t="s">
        <v>653</v>
      </c>
      <c r="J1557" s="4" t="s">
        <v>459</v>
      </c>
      <c r="K1557" s="4">
        <v>3211101</v>
      </c>
    </row>
    <row r="1558" spans="2:13" s="3" customFormat="1" x14ac:dyDescent="0.3">
      <c r="B1558" s="44">
        <v>45969</v>
      </c>
      <c r="C1558" s="3" t="s">
        <v>416</v>
      </c>
      <c r="D1558" s="3" t="s">
        <v>486</v>
      </c>
      <c r="E1558" s="42"/>
      <c r="F1558" s="4" t="s">
        <v>680</v>
      </c>
      <c r="G1558" s="4" t="s">
        <v>98</v>
      </c>
      <c r="H1558" s="4">
        <v>3358909</v>
      </c>
      <c r="I1558" s="4" t="s">
        <v>652</v>
      </c>
      <c r="J1558" s="4" t="s">
        <v>110</v>
      </c>
      <c r="K1558" s="4">
        <v>3359106</v>
      </c>
    </row>
    <row r="1559" spans="2:13" s="3" customFormat="1" x14ac:dyDescent="0.3">
      <c r="B1559" s="44">
        <v>45969</v>
      </c>
      <c r="C1559" s="3" t="s">
        <v>416</v>
      </c>
      <c r="D1559" s="3" t="s">
        <v>57</v>
      </c>
      <c r="E1559" s="42"/>
      <c r="F1559" s="4" t="s">
        <v>680</v>
      </c>
      <c r="G1559" s="4" t="s">
        <v>266</v>
      </c>
      <c r="H1559" s="4">
        <v>3208306</v>
      </c>
      <c r="I1559" s="32" t="s">
        <v>476</v>
      </c>
      <c r="J1559" s="32" t="s">
        <v>249</v>
      </c>
      <c r="K1559" s="15">
        <v>3038202</v>
      </c>
    </row>
    <row r="1560" spans="2:13" s="3" customFormat="1" x14ac:dyDescent="0.3">
      <c r="B1560" s="44">
        <v>45969</v>
      </c>
      <c r="C1560" s="3" t="s">
        <v>416</v>
      </c>
      <c r="D1560" s="3" t="s">
        <v>488</v>
      </c>
      <c r="E1560" s="42"/>
      <c r="F1560" s="3" t="s">
        <v>680</v>
      </c>
      <c r="G1560" s="3" t="s">
        <v>117</v>
      </c>
      <c r="H1560" s="4">
        <v>3359002</v>
      </c>
      <c r="I1560" s="3" t="s">
        <v>704</v>
      </c>
      <c r="J1560" s="3" t="s">
        <v>120</v>
      </c>
      <c r="K1560" s="4">
        <v>3355506</v>
      </c>
    </row>
    <row r="1561" spans="2:13" s="3" customFormat="1" x14ac:dyDescent="0.3">
      <c r="B1561" s="44">
        <v>45969</v>
      </c>
      <c r="C1561" s="3" t="s">
        <v>416</v>
      </c>
      <c r="D1561" s="3" t="s">
        <v>66</v>
      </c>
      <c r="E1561" s="42"/>
      <c r="F1561" s="104" t="s">
        <v>680</v>
      </c>
      <c r="G1561" s="104" t="s">
        <v>603</v>
      </c>
      <c r="H1561" s="74">
        <v>3945400</v>
      </c>
      <c r="I1561" s="3" t="s">
        <v>709</v>
      </c>
      <c r="J1561" s="3" t="s">
        <v>607</v>
      </c>
      <c r="K1561" s="4">
        <v>3596309</v>
      </c>
    </row>
    <row r="1562" spans="2:13" s="3" customFormat="1" x14ac:dyDescent="0.3">
      <c r="B1562" s="44">
        <v>45969</v>
      </c>
      <c r="C1562" s="3" t="s">
        <v>416</v>
      </c>
      <c r="D1562" s="3" t="s">
        <v>492</v>
      </c>
      <c r="E1562" s="42"/>
      <c r="F1562" s="4" t="s">
        <v>652</v>
      </c>
      <c r="G1562" s="4" t="s">
        <v>157</v>
      </c>
      <c r="H1562" s="4">
        <v>3358503</v>
      </c>
      <c r="I1562" s="3" t="s">
        <v>714</v>
      </c>
      <c r="J1562" s="3" t="s">
        <v>162</v>
      </c>
      <c r="K1562" s="4">
        <v>3348903</v>
      </c>
    </row>
    <row r="1563" spans="2:13" s="3" customFormat="1" x14ac:dyDescent="0.3">
      <c r="B1563" s="44">
        <v>45969</v>
      </c>
      <c r="C1563" s="3" t="s">
        <v>416</v>
      </c>
      <c r="D1563" s="3" t="s">
        <v>610</v>
      </c>
      <c r="E1563" s="42"/>
      <c r="F1563" s="3" t="s">
        <v>652</v>
      </c>
      <c r="G1563" s="3" t="s">
        <v>347</v>
      </c>
      <c r="H1563" s="4">
        <v>3818504</v>
      </c>
      <c r="I1563" s="4" t="s">
        <v>666</v>
      </c>
      <c r="J1563" s="4" t="s">
        <v>348</v>
      </c>
      <c r="K1563" s="4">
        <v>3205903</v>
      </c>
    </row>
    <row r="1564" spans="2:13" s="3" customFormat="1" x14ac:dyDescent="0.3">
      <c r="B1564" s="44">
        <v>45969</v>
      </c>
      <c r="C1564" s="3" t="s">
        <v>416</v>
      </c>
      <c r="D1564" s="3" t="s">
        <v>496</v>
      </c>
      <c r="E1564" s="42"/>
      <c r="F1564" s="3" t="s">
        <v>652</v>
      </c>
      <c r="G1564" s="3" t="s">
        <v>229</v>
      </c>
      <c r="H1564" s="4">
        <v>3358409</v>
      </c>
      <c r="I1564" s="3" t="s">
        <v>675</v>
      </c>
      <c r="J1564" s="3" t="s">
        <v>198</v>
      </c>
      <c r="K1564" s="4">
        <v>3350803</v>
      </c>
    </row>
    <row r="1565" spans="2:13" s="3" customFormat="1" x14ac:dyDescent="0.3">
      <c r="B1565" s="44">
        <v>45969</v>
      </c>
      <c r="C1565" s="3" t="s">
        <v>416</v>
      </c>
      <c r="D1565" s="3" t="s">
        <v>499</v>
      </c>
      <c r="E1565" s="42"/>
      <c r="F1565" s="3" t="s">
        <v>652</v>
      </c>
      <c r="G1565" s="3" t="s">
        <v>573</v>
      </c>
      <c r="H1565" s="4">
        <v>3818400</v>
      </c>
      <c r="I1565" s="3" t="s">
        <v>650</v>
      </c>
      <c r="J1565" s="3" t="s">
        <v>571</v>
      </c>
      <c r="K1565" s="4">
        <v>3900505</v>
      </c>
      <c r="M1565" s="51"/>
    </row>
    <row r="1566" spans="2:13" s="3" customFormat="1" x14ac:dyDescent="0.3">
      <c r="B1566" s="44">
        <v>45969</v>
      </c>
      <c r="C1566" s="3" t="s">
        <v>416</v>
      </c>
      <c r="D1566" s="3" t="s">
        <v>68</v>
      </c>
      <c r="E1566" s="42"/>
      <c r="F1566" s="3" t="s">
        <v>686</v>
      </c>
      <c r="G1566" s="3" t="s">
        <v>626</v>
      </c>
      <c r="H1566" s="4" t="s">
        <v>637</v>
      </c>
      <c r="I1566" s="4" t="s">
        <v>650</v>
      </c>
      <c r="J1566" s="4" t="s">
        <v>390</v>
      </c>
      <c r="K1566" s="4">
        <v>3544509</v>
      </c>
    </row>
    <row r="1567" spans="2:13" s="3" customFormat="1" x14ac:dyDescent="0.3">
      <c r="B1567" s="44">
        <v>45969</v>
      </c>
      <c r="C1567" s="3" t="s">
        <v>416</v>
      </c>
      <c r="D1567" s="3" t="s">
        <v>59</v>
      </c>
      <c r="E1567" s="42"/>
      <c r="F1567" s="4" t="s">
        <v>662</v>
      </c>
      <c r="G1567" s="4" t="s">
        <v>314</v>
      </c>
      <c r="H1567" s="4">
        <v>3208004</v>
      </c>
      <c r="I1567" s="3" t="s">
        <v>710</v>
      </c>
      <c r="J1567" s="3" t="s">
        <v>279</v>
      </c>
      <c r="K1567" s="4">
        <v>3199706</v>
      </c>
    </row>
    <row r="1568" spans="2:13" s="3" customFormat="1" x14ac:dyDescent="0.3">
      <c r="B1568" s="44">
        <v>45969</v>
      </c>
      <c r="C1568" s="3" t="s">
        <v>416</v>
      </c>
      <c r="D1568" s="3" t="s">
        <v>489</v>
      </c>
      <c r="E1568" s="4"/>
      <c r="F1568" s="3" t="s">
        <v>662</v>
      </c>
      <c r="G1568" s="3" t="s">
        <v>139</v>
      </c>
      <c r="H1568" s="4">
        <v>3358305</v>
      </c>
      <c r="I1568" s="4" t="s">
        <v>685</v>
      </c>
      <c r="J1568" s="4" t="s">
        <v>160</v>
      </c>
      <c r="K1568" s="4">
        <v>3353008</v>
      </c>
    </row>
    <row r="1569" spans="2:13" s="3" customFormat="1" x14ac:dyDescent="0.3">
      <c r="B1569" s="44">
        <v>45969</v>
      </c>
      <c r="C1569" s="3" t="s">
        <v>416</v>
      </c>
      <c r="D1569" s="3" t="s">
        <v>67</v>
      </c>
      <c r="E1569" s="42"/>
      <c r="F1569" s="4" t="s">
        <v>662</v>
      </c>
      <c r="G1569" s="4" t="s">
        <v>373</v>
      </c>
      <c r="H1569" s="4">
        <v>3207807</v>
      </c>
      <c r="I1569" s="4" t="s">
        <v>688</v>
      </c>
      <c r="J1569" s="4" t="s">
        <v>344</v>
      </c>
      <c r="K1569" s="4">
        <v>3194909</v>
      </c>
    </row>
    <row r="1570" spans="2:13" s="3" customFormat="1" x14ac:dyDescent="0.3">
      <c r="B1570" s="44">
        <v>45969</v>
      </c>
      <c r="C1570" s="3" t="s">
        <v>416</v>
      </c>
      <c r="D1570" s="3" t="s">
        <v>494</v>
      </c>
      <c r="E1570" s="42"/>
      <c r="F1570" s="4" t="s">
        <v>662</v>
      </c>
      <c r="G1570" s="4" t="s">
        <v>242</v>
      </c>
      <c r="H1570" s="4">
        <v>3358107</v>
      </c>
      <c r="I1570" s="3" t="s">
        <v>475</v>
      </c>
      <c r="J1570" s="3" t="s">
        <v>183</v>
      </c>
      <c r="K1570" s="4">
        <v>3362901</v>
      </c>
    </row>
    <row r="1571" spans="2:13" s="3" customFormat="1" x14ac:dyDescent="0.3">
      <c r="B1571" s="44">
        <v>45969</v>
      </c>
      <c r="C1571" s="3" t="s">
        <v>416</v>
      </c>
      <c r="D1571" s="3" t="s">
        <v>56</v>
      </c>
      <c r="E1571" s="42"/>
      <c r="F1571" s="4" t="s">
        <v>472</v>
      </c>
      <c r="G1571" s="4" t="s">
        <v>248</v>
      </c>
      <c r="H1571" s="4">
        <v>3207609</v>
      </c>
      <c r="I1571" s="4" t="s">
        <v>661</v>
      </c>
      <c r="J1571" s="4" t="s">
        <v>439</v>
      </c>
      <c r="K1571" s="4">
        <v>3023701</v>
      </c>
    </row>
    <row r="1572" spans="2:13" s="3" customFormat="1" x14ac:dyDescent="0.3">
      <c r="B1572" s="44">
        <v>45969</v>
      </c>
      <c r="C1572" s="3" t="s">
        <v>416</v>
      </c>
      <c r="D1572" s="3" t="s">
        <v>504</v>
      </c>
      <c r="E1572" s="42"/>
      <c r="F1572" s="3" t="s">
        <v>472</v>
      </c>
      <c r="G1572" s="3" t="s">
        <v>11</v>
      </c>
      <c r="H1572" s="4">
        <v>3034800</v>
      </c>
      <c r="I1572" s="3" t="s">
        <v>645</v>
      </c>
      <c r="J1572" s="3" t="s">
        <v>37</v>
      </c>
      <c r="K1572" s="4">
        <v>3029903</v>
      </c>
    </row>
    <row r="1573" spans="2:13" s="3" customFormat="1" x14ac:dyDescent="0.3">
      <c r="B1573" s="44">
        <v>45969</v>
      </c>
      <c r="C1573" s="3" t="s">
        <v>416</v>
      </c>
      <c r="D1573" s="3" t="s">
        <v>590</v>
      </c>
      <c r="E1573" s="42"/>
      <c r="F1573" s="3" t="s">
        <v>472</v>
      </c>
      <c r="G1573" s="3" t="s">
        <v>315</v>
      </c>
      <c r="H1573" s="4">
        <v>3455307</v>
      </c>
      <c r="I1573" s="3" t="s">
        <v>479</v>
      </c>
      <c r="J1573" s="3" t="s">
        <v>284</v>
      </c>
      <c r="K1573" s="4">
        <v>3210904</v>
      </c>
    </row>
    <row r="1574" spans="2:13" s="3" customFormat="1" x14ac:dyDescent="0.3">
      <c r="B1574" s="44">
        <v>45969</v>
      </c>
      <c r="C1574" s="3" t="s">
        <v>416</v>
      </c>
      <c r="D1574" s="3" t="s">
        <v>494</v>
      </c>
      <c r="E1574" s="42"/>
      <c r="F1574" s="4" t="s">
        <v>472</v>
      </c>
      <c r="G1574" s="4" t="s">
        <v>186</v>
      </c>
      <c r="H1574" s="4">
        <v>3357702</v>
      </c>
      <c r="I1574" s="4" t="s">
        <v>472</v>
      </c>
      <c r="J1574" s="4" t="s">
        <v>185</v>
      </c>
      <c r="K1574" s="4">
        <v>3357806</v>
      </c>
    </row>
    <row r="1575" spans="2:13" s="3" customFormat="1" x14ac:dyDescent="0.3">
      <c r="B1575" s="44">
        <v>45969</v>
      </c>
      <c r="C1575" s="3" t="s">
        <v>416</v>
      </c>
      <c r="D1575" s="3" t="s">
        <v>70</v>
      </c>
      <c r="E1575" s="42"/>
      <c r="F1575" s="3" t="s">
        <v>472</v>
      </c>
      <c r="G1575" s="3" t="s">
        <v>400</v>
      </c>
      <c r="H1575" s="4">
        <v>3818608</v>
      </c>
      <c r="I1575" s="3" t="s">
        <v>688</v>
      </c>
      <c r="J1575" s="3" t="s">
        <v>379</v>
      </c>
      <c r="K1575" s="4">
        <v>3194409</v>
      </c>
    </row>
    <row r="1576" spans="2:13" s="3" customFormat="1" x14ac:dyDescent="0.3">
      <c r="B1576" s="44">
        <v>45969</v>
      </c>
      <c r="C1576" s="3" t="s">
        <v>416</v>
      </c>
      <c r="D1576" s="3" t="s">
        <v>498</v>
      </c>
      <c r="E1576" s="42"/>
      <c r="F1576" s="3" t="s">
        <v>472</v>
      </c>
      <c r="G1576" s="3" t="s">
        <v>219</v>
      </c>
      <c r="H1576" s="4">
        <v>3357608</v>
      </c>
      <c r="I1576" s="3" t="s">
        <v>472</v>
      </c>
      <c r="J1576" s="3" t="s">
        <v>244</v>
      </c>
      <c r="K1576" s="4">
        <v>3357504</v>
      </c>
    </row>
    <row r="1577" spans="2:13" s="3" customFormat="1" x14ac:dyDescent="0.3">
      <c r="B1577" s="44">
        <v>45969</v>
      </c>
      <c r="C1577" s="3" t="s">
        <v>416</v>
      </c>
      <c r="D1577" s="3" t="s">
        <v>501</v>
      </c>
      <c r="E1577" s="42"/>
      <c r="F1577" s="3" t="s">
        <v>472</v>
      </c>
      <c r="G1577" s="3" t="s">
        <v>578</v>
      </c>
      <c r="H1577" s="4">
        <v>4022700</v>
      </c>
      <c r="I1577" s="3" t="s">
        <v>708</v>
      </c>
      <c r="J1577" s="3" t="s">
        <v>598</v>
      </c>
      <c r="K1577" s="4">
        <v>3354903</v>
      </c>
      <c r="M1577" s="51"/>
    </row>
    <row r="1578" spans="2:13" s="3" customFormat="1" x14ac:dyDescent="0.3">
      <c r="B1578" s="44">
        <v>45969</v>
      </c>
      <c r="C1578" s="3" t="s">
        <v>416</v>
      </c>
      <c r="D1578" s="3" t="s">
        <v>496</v>
      </c>
      <c r="E1578" s="42"/>
      <c r="F1578" s="4" t="s">
        <v>665</v>
      </c>
      <c r="G1578" s="4" t="s">
        <v>204</v>
      </c>
      <c r="H1578" s="4">
        <v>3357400</v>
      </c>
      <c r="I1578" s="3" t="s">
        <v>650</v>
      </c>
      <c r="J1578" s="3" t="s">
        <v>205</v>
      </c>
      <c r="K1578" s="74">
        <v>3351906</v>
      </c>
    </row>
    <row r="1579" spans="2:13" s="3" customFormat="1" x14ac:dyDescent="0.3">
      <c r="B1579" s="44">
        <v>45969</v>
      </c>
      <c r="C1579" s="3" t="s">
        <v>416</v>
      </c>
      <c r="D1579" s="3" t="s">
        <v>68</v>
      </c>
      <c r="E1579" s="42"/>
      <c r="F1579" s="3" t="s">
        <v>665</v>
      </c>
      <c r="G1579" s="3" t="s">
        <v>457</v>
      </c>
      <c r="H1579" s="4">
        <v>3818806</v>
      </c>
      <c r="I1579" s="4" t="s">
        <v>687</v>
      </c>
      <c r="J1579" s="4" t="s">
        <v>391</v>
      </c>
      <c r="K1579" s="4">
        <v>3193806</v>
      </c>
    </row>
    <row r="1580" spans="2:13" s="3" customFormat="1" x14ac:dyDescent="0.3">
      <c r="B1580" s="44">
        <v>45969</v>
      </c>
      <c r="C1580" s="3" t="s">
        <v>416</v>
      </c>
      <c r="D1580" s="3" t="s">
        <v>68</v>
      </c>
      <c r="E1580" s="42"/>
      <c r="F1580" s="3" t="s">
        <v>665</v>
      </c>
      <c r="G1580" s="3" t="s">
        <v>627</v>
      </c>
      <c r="H1580" s="4" t="s">
        <v>638</v>
      </c>
      <c r="I1580" s="4" t="s">
        <v>474</v>
      </c>
      <c r="J1580" s="4" t="s">
        <v>383</v>
      </c>
      <c r="K1580" s="4">
        <v>3200502</v>
      </c>
    </row>
    <row r="1581" spans="2:13" s="3" customFormat="1" x14ac:dyDescent="0.3">
      <c r="B1581" s="44">
        <v>45969</v>
      </c>
      <c r="C1581" s="3" t="s">
        <v>416</v>
      </c>
      <c r="D1581" s="3" t="s">
        <v>590</v>
      </c>
      <c r="E1581" s="42"/>
      <c r="F1581" s="4" t="s">
        <v>693</v>
      </c>
      <c r="G1581" s="4" t="s">
        <v>322</v>
      </c>
      <c r="H1581" s="4">
        <v>3207005</v>
      </c>
      <c r="I1581" s="4" t="s">
        <v>691</v>
      </c>
      <c r="J1581" s="4" t="s">
        <v>289</v>
      </c>
      <c r="K1581" s="4">
        <v>3068804</v>
      </c>
    </row>
    <row r="1582" spans="2:13" s="3" customFormat="1" x14ac:dyDescent="0.3">
      <c r="B1582" s="44">
        <v>45969</v>
      </c>
      <c r="C1582" s="3" t="s">
        <v>416</v>
      </c>
      <c r="D1582" s="3" t="s">
        <v>65</v>
      </c>
      <c r="E1582" s="42"/>
      <c r="F1582" s="3" t="s">
        <v>693</v>
      </c>
      <c r="G1582" s="3" t="s">
        <v>357</v>
      </c>
      <c r="H1582" s="4">
        <v>3206704</v>
      </c>
      <c r="I1582" s="4" t="s">
        <v>676</v>
      </c>
      <c r="J1582" s="4" t="s">
        <v>356</v>
      </c>
      <c r="K1582" s="4">
        <v>3208608</v>
      </c>
    </row>
    <row r="1583" spans="2:13" s="3" customFormat="1" x14ac:dyDescent="0.3">
      <c r="B1583" s="44">
        <v>45969</v>
      </c>
      <c r="C1583" s="3" t="s">
        <v>416</v>
      </c>
      <c r="D1583" s="3" t="s">
        <v>504</v>
      </c>
      <c r="E1583" s="42"/>
      <c r="F1583" s="4" t="s">
        <v>476</v>
      </c>
      <c r="G1583" s="4" t="s">
        <v>100</v>
      </c>
      <c r="H1583" s="4">
        <v>3125302</v>
      </c>
      <c r="I1583" s="3" t="s">
        <v>479</v>
      </c>
      <c r="J1583" s="3" t="s">
        <v>9</v>
      </c>
      <c r="K1583" s="4">
        <v>3033405</v>
      </c>
    </row>
    <row r="1584" spans="2:13" s="3" customFormat="1" x14ac:dyDescent="0.3">
      <c r="B1584" s="44">
        <v>45969</v>
      </c>
      <c r="C1584" s="3" t="s">
        <v>416</v>
      </c>
      <c r="D1584" s="3" t="s">
        <v>62</v>
      </c>
      <c r="E1584" s="42"/>
      <c r="F1584" s="4" t="s">
        <v>476</v>
      </c>
      <c r="G1584" s="4" t="s">
        <v>287</v>
      </c>
      <c r="H1584" s="4">
        <v>3206600</v>
      </c>
      <c r="I1584" s="3" t="s">
        <v>700</v>
      </c>
      <c r="J1584" s="3" t="s">
        <v>442</v>
      </c>
      <c r="K1584" s="4">
        <v>3205007</v>
      </c>
    </row>
    <row r="1585" spans="1:43" s="3" customFormat="1" x14ac:dyDescent="0.3">
      <c r="B1585" s="44">
        <v>45969</v>
      </c>
      <c r="C1585" s="3" t="s">
        <v>416</v>
      </c>
      <c r="D1585" s="3" t="s">
        <v>493</v>
      </c>
      <c r="E1585" s="42"/>
      <c r="F1585" s="3" t="s">
        <v>476</v>
      </c>
      <c r="G1585" s="3" t="s">
        <v>169</v>
      </c>
      <c r="H1585" s="4">
        <v>3356609</v>
      </c>
      <c r="I1585" s="4" t="s">
        <v>479</v>
      </c>
      <c r="J1585" s="4" t="s">
        <v>210</v>
      </c>
      <c r="K1585" s="4">
        <v>3361100</v>
      </c>
    </row>
    <row r="1586" spans="1:43" s="3" customFormat="1" x14ac:dyDescent="0.3">
      <c r="B1586" s="44">
        <v>45969</v>
      </c>
      <c r="C1586" s="3" t="s">
        <v>416</v>
      </c>
      <c r="D1586" s="3" t="s">
        <v>62</v>
      </c>
      <c r="E1586" s="42"/>
      <c r="F1586" s="4" t="s">
        <v>476</v>
      </c>
      <c r="G1586" s="4" t="s">
        <v>323</v>
      </c>
      <c r="H1586" s="4">
        <v>3206506</v>
      </c>
      <c r="I1586" s="4" t="s">
        <v>479</v>
      </c>
      <c r="J1586" s="4" t="s">
        <v>319</v>
      </c>
      <c r="K1586" s="4">
        <v>3210508</v>
      </c>
    </row>
    <row r="1587" spans="1:43" s="3" customFormat="1" x14ac:dyDescent="0.3">
      <c r="B1587" s="44">
        <v>45969</v>
      </c>
      <c r="C1587" s="3" t="s">
        <v>416</v>
      </c>
      <c r="D1587" s="3" t="s">
        <v>493</v>
      </c>
      <c r="E1587" s="42"/>
      <c r="F1587" s="3" t="s">
        <v>476</v>
      </c>
      <c r="G1587" s="3" t="s">
        <v>170</v>
      </c>
      <c r="H1587" s="4">
        <v>3356703</v>
      </c>
      <c r="I1587" s="4" t="s">
        <v>701</v>
      </c>
      <c r="J1587" s="4" t="s">
        <v>171</v>
      </c>
      <c r="K1587" s="4">
        <v>3355600</v>
      </c>
    </row>
    <row r="1588" spans="1:43" s="3" customFormat="1" x14ac:dyDescent="0.3">
      <c r="B1588" s="44">
        <v>45969</v>
      </c>
      <c r="C1588" s="3" t="s">
        <v>416</v>
      </c>
      <c r="D1588" s="3" t="s">
        <v>497</v>
      </c>
      <c r="E1588" s="42"/>
      <c r="F1588" s="17" t="s">
        <v>476</v>
      </c>
      <c r="G1588" s="17" t="s">
        <v>234</v>
      </c>
      <c r="H1588" s="74">
        <v>3356807</v>
      </c>
      <c r="I1588" s="17" t="s">
        <v>480</v>
      </c>
      <c r="J1588" s="17" t="s">
        <v>428</v>
      </c>
      <c r="K1588" s="74">
        <v>3360309</v>
      </c>
    </row>
    <row r="1589" spans="1:43" s="3" customFormat="1" x14ac:dyDescent="0.3">
      <c r="B1589" s="44">
        <v>45969</v>
      </c>
      <c r="C1589" s="3" t="s">
        <v>416</v>
      </c>
      <c r="D1589" s="3" t="s">
        <v>593</v>
      </c>
      <c r="E1589" s="42"/>
      <c r="F1589" s="3" t="s">
        <v>476</v>
      </c>
      <c r="G1589" s="3" t="s">
        <v>630</v>
      </c>
      <c r="H1589" s="4">
        <v>3206308</v>
      </c>
      <c r="I1589" s="4" t="s">
        <v>693</v>
      </c>
      <c r="J1589" s="4" t="s">
        <v>629</v>
      </c>
      <c r="K1589" s="4">
        <v>3961708</v>
      </c>
    </row>
    <row r="1590" spans="1:43" s="3" customFormat="1" x14ac:dyDescent="0.3">
      <c r="B1590" s="44">
        <v>45969</v>
      </c>
      <c r="C1590" s="3" t="s">
        <v>416</v>
      </c>
      <c r="D1590" s="3" t="s">
        <v>504</v>
      </c>
      <c r="E1590" s="42"/>
      <c r="F1590" s="4" t="s">
        <v>666</v>
      </c>
      <c r="G1590" s="4" t="s">
        <v>12</v>
      </c>
      <c r="H1590" s="4">
        <v>3034206</v>
      </c>
      <c r="I1590" s="3" t="s">
        <v>662</v>
      </c>
      <c r="J1590" s="3" t="s">
        <v>99</v>
      </c>
      <c r="K1590" s="4">
        <v>3125604</v>
      </c>
    </row>
    <row r="1591" spans="1:43" s="3" customFormat="1" x14ac:dyDescent="0.3">
      <c r="B1591" s="44">
        <v>45969</v>
      </c>
      <c r="C1591" s="3" t="s">
        <v>416</v>
      </c>
      <c r="D1591" s="3" t="s">
        <v>492</v>
      </c>
      <c r="E1591" s="42"/>
      <c r="F1591" s="3" t="s">
        <v>666</v>
      </c>
      <c r="G1591" s="3" t="s">
        <v>158</v>
      </c>
      <c r="H1591" s="4">
        <v>3356901</v>
      </c>
      <c r="I1591" s="3" t="s">
        <v>719</v>
      </c>
      <c r="J1591" s="3" t="s">
        <v>155</v>
      </c>
      <c r="K1591" s="4">
        <v>3361600</v>
      </c>
    </row>
    <row r="1592" spans="1:43" s="3" customFormat="1" x14ac:dyDescent="0.3">
      <c r="B1592" s="44">
        <v>45969</v>
      </c>
      <c r="C1592" s="3" t="s">
        <v>416</v>
      </c>
      <c r="D1592" s="3" t="s">
        <v>495</v>
      </c>
      <c r="E1592" s="42"/>
      <c r="F1592" s="3" t="s">
        <v>666</v>
      </c>
      <c r="G1592" s="3" t="s">
        <v>193</v>
      </c>
      <c r="H1592" s="4">
        <v>3357108</v>
      </c>
      <c r="I1592" s="3" t="s">
        <v>685</v>
      </c>
      <c r="J1592" s="3" t="s">
        <v>197</v>
      </c>
      <c r="K1592" s="4">
        <v>3353300</v>
      </c>
    </row>
    <row r="1593" spans="1:43" s="3" customFormat="1" x14ac:dyDescent="0.3">
      <c r="B1593" s="44">
        <v>45969</v>
      </c>
      <c r="C1593" s="3" t="s">
        <v>416</v>
      </c>
      <c r="D1593" s="4" t="s">
        <v>614</v>
      </c>
      <c r="E1593" s="42"/>
      <c r="F1593" s="3" t="s">
        <v>666</v>
      </c>
      <c r="G1593" s="3" t="s">
        <v>453</v>
      </c>
      <c r="H1593" s="4">
        <v>3206006</v>
      </c>
      <c r="I1593" s="4" t="s">
        <v>713</v>
      </c>
      <c r="J1593" s="4" t="s">
        <v>623</v>
      </c>
      <c r="K1593" s="4">
        <v>3819305</v>
      </c>
    </row>
    <row r="1594" spans="1:43" s="3" customFormat="1" x14ac:dyDescent="0.3">
      <c r="A1594" s="4"/>
      <c r="B1594" s="100">
        <v>45969</v>
      </c>
      <c r="C1594" s="98" t="s">
        <v>553</v>
      </c>
      <c r="D1594" s="4" t="s">
        <v>508</v>
      </c>
      <c r="E1594" s="4"/>
      <c r="F1594" s="73" t="s">
        <v>478</v>
      </c>
      <c r="G1594" s="73" t="s">
        <v>478</v>
      </c>
      <c r="H1594" s="73"/>
      <c r="I1594" s="73" t="s">
        <v>476</v>
      </c>
      <c r="J1594" s="73" t="s">
        <v>476</v>
      </c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</row>
    <row r="1595" spans="1:43" s="3" customFormat="1" x14ac:dyDescent="0.3">
      <c r="B1595" s="44">
        <v>45969</v>
      </c>
      <c r="C1595" s="3" t="s">
        <v>416</v>
      </c>
      <c r="D1595" s="3" t="s">
        <v>491</v>
      </c>
      <c r="E1595" s="42"/>
      <c r="F1595" s="3" t="s">
        <v>478</v>
      </c>
      <c r="G1595" s="3" t="s">
        <v>463</v>
      </c>
      <c r="H1595" s="74">
        <v>3125500</v>
      </c>
      <c r="I1595" s="4" t="s">
        <v>709</v>
      </c>
      <c r="J1595" s="4" t="s">
        <v>566</v>
      </c>
      <c r="K1595" s="4">
        <v>3560703</v>
      </c>
    </row>
    <row r="1596" spans="1:43" s="3" customFormat="1" x14ac:dyDescent="0.3">
      <c r="B1596" s="44">
        <v>45969</v>
      </c>
      <c r="C1596" s="3" t="s">
        <v>416</v>
      </c>
      <c r="D1596" s="3" t="s">
        <v>63</v>
      </c>
      <c r="E1596" s="42"/>
      <c r="F1596" s="3" t="s">
        <v>478</v>
      </c>
      <c r="G1596" s="3" t="s">
        <v>331</v>
      </c>
      <c r="H1596" s="74">
        <v>3205403</v>
      </c>
      <c r="I1596" s="3" t="s">
        <v>658</v>
      </c>
      <c r="J1596" s="3" t="s">
        <v>366</v>
      </c>
      <c r="K1596" s="74">
        <v>3210404</v>
      </c>
    </row>
    <row r="1597" spans="1:43" s="3" customFormat="1" x14ac:dyDescent="0.3">
      <c r="B1597" s="44">
        <v>45969</v>
      </c>
      <c r="C1597" s="3" t="s">
        <v>416</v>
      </c>
      <c r="D1597" s="3" t="s">
        <v>66</v>
      </c>
      <c r="E1597" s="42"/>
      <c r="F1597" s="3" t="s">
        <v>478</v>
      </c>
      <c r="G1597" s="3" t="s">
        <v>604</v>
      </c>
      <c r="H1597" s="74">
        <v>3205507</v>
      </c>
      <c r="I1597" s="3" t="s">
        <v>703</v>
      </c>
      <c r="J1597" s="3" t="s">
        <v>606</v>
      </c>
      <c r="K1597" s="74" t="s">
        <v>588</v>
      </c>
    </row>
    <row r="1598" spans="1:43" s="3" customFormat="1" x14ac:dyDescent="0.3">
      <c r="B1598" s="44">
        <v>45969</v>
      </c>
      <c r="C1598" s="3" t="s">
        <v>416</v>
      </c>
      <c r="D1598" s="3" t="s">
        <v>488</v>
      </c>
      <c r="E1598" s="42"/>
      <c r="F1598" s="4" t="s">
        <v>690</v>
      </c>
      <c r="G1598" s="4" t="s">
        <v>118</v>
      </c>
      <c r="H1598" s="4">
        <v>3356005</v>
      </c>
      <c r="I1598" s="3" t="s">
        <v>703</v>
      </c>
      <c r="J1598" s="3" t="s">
        <v>560</v>
      </c>
      <c r="K1598" s="4" t="s">
        <v>562</v>
      </c>
    </row>
    <row r="1599" spans="1:43" s="3" customFormat="1" x14ac:dyDescent="0.3">
      <c r="B1599" s="44">
        <v>45969</v>
      </c>
      <c r="C1599" s="3" t="s">
        <v>416</v>
      </c>
      <c r="D1599" s="3" t="s">
        <v>491</v>
      </c>
      <c r="E1599" s="42"/>
      <c r="F1599" s="4" t="s">
        <v>690</v>
      </c>
      <c r="G1599" s="4" t="s">
        <v>179</v>
      </c>
      <c r="H1599" s="4">
        <v>3818900</v>
      </c>
      <c r="I1599" s="104" t="s">
        <v>684</v>
      </c>
      <c r="J1599" s="104" t="s">
        <v>182</v>
      </c>
      <c r="K1599" s="53">
        <v>3900203</v>
      </c>
    </row>
    <row r="1600" spans="1:43" s="3" customFormat="1" x14ac:dyDescent="0.3">
      <c r="B1600" s="44">
        <v>45969</v>
      </c>
      <c r="C1600" s="3" t="s">
        <v>416</v>
      </c>
      <c r="D1600" s="3" t="s">
        <v>65</v>
      </c>
      <c r="E1600" s="42"/>
      <c r="F1600" s="3" t="s">
        <v>718</v>
      </c>
      <c r="G1600" s="3" t="s">
        <v>359</v>
      </c>
      <c r="H1600" s="4">
        <v>3204602</v>
      </c>
      <c r="I1600" s="4" t="s">
        <v>663</v>
      </c>
      <c r="J1600" s="4" t="s">
        <v>290</v>
      </c>
      <c r="K1600" s="4">
        <v>3197500</v>
      </c>
    </row>
    <row r="1601" spans="2:14" s="3" customFormat="1" x14ac:dyDescent="0.3">
      <c r="B1601" s="44">
        <v>45969</v>
      </c>
      <c r="C1601" s="3" t="s">
        <v>416</v>
      </c>
      <c r="D1601" s="3" t="s">
        <v>486</v>
      </c>
      <c r="E1601" s="42"/>
      <c r="F1601" s="4" t="s">
        <v>682</v>
      </c>
      <c r="G1601" s="4" t="s">
        <v>559</v>
      </c>
      <c r="H1601" s="4">
        <v>3969200</v>
      </c>
      <c r="I1601" s="3" t="s">
        <v>673</v>
      </c>
      <c r="J1601" s="3" t="s">
        <v>106</v>
      </c>
      <c r="K1601" s="4">
        <v>3067607</v>
      </c>
    </row>
    <row r="1602" spans="2:14" s="3" customFormat="1" x14ac:dyDescent="0.3">
      <c r="B1602" s="44">
        <v>45969</v>
      </c>
      <c r="C1602" s="3" t="s">
        <v>416</v>
      </c>
      <c r="D1602" s="3" t="s">
        <v>610</v>
      </c>
      <c r="E1602" s="42"/>
      <c r="F1602" s="3" t="s">
        <v>682</v>
      </c>
      <c r="G1602" s="3" t="s">
        <v>611</v>
      </c>
      <c r="H1602" s="4">
        <v>3204800</v>
      </c>
      <c r="I1602" s="4" t="s">
        <v>685</v>
      </c>
      <c r="J1602" s="4" t="s">
        <v>382</v>
      </c>
      <c r="K1602" s="4">
        <v>3200804</v>
      </c>
    </row>
    <row r="1603" spans="2:14" s="3" customFormat="1" x14ac:dyDescent="0.3">
      <c r="B1603" s="44">
        <v>45969</v>
      </c>
      <c r="C1603" s="3" t="s">
        <v>416</v>
      </c>
      <c r="D1603" s="3" t="s">
        <v>495</v>
      </c>
      <c r="E1603" s="42"/>
      <c r="F1603" s="3" t="s">
        <v>682</v>
      </c>
      <c r="G1603" s="3" t="s">
        <v>568</v>
      </c>
      <c r="H1603" s="4">
        <v>3969908</v>
      </c>
      <c r="I1603" s="3" t="s">
        <v>685</v>
      </c>
      <c r="J1603" s="3" t="s">
        <v>196</v>
      </c>
      <c r="K1603" s="4">
        <v>3353102</v>
      </c>
    </row>
    <row r="1604" spans="2:14" s="3" customFormat="1" x14ac:dyDescent="0.3">
      <c r="B1604" s="44">
        <v>45969</v>
      </c>
      <c r="C1604" s="3" t="s">
        <v>416</v>
      </c>
      <c r="D1604" s="4" t="s">
        <v>614</v>
      </c>
      <c r="E1604" s="42"/>
      <c r="F1604" s="3" t="s">
        <v>682</v>
      </c>
      <c r="G1604" s="3" t="s">
        <v>622</v>
      </c>
      <c r="H1604" s="4">
        <v>3969502</v>
      </c>
      <c r="I1604" s="4" t="s">
        <v>710</v>
      </c>
      <c r="J1604" s="4" t="s">
        <v>385</v>
      </c>
      <c r="K1604" s="4">
        <v>3199602</v>
      </c>
    </row>
    <row r="1605" spans="2:14" s="3" customFormat="1" x14ac:dyDescent="0.3">
      <c r="B1605" s="44">
        <v>45969</v>
      </c>
      <c r="C1605" s="3" t="s">
        <v>416</v>
      </c>
      <c r="D1605" s="3" t="s">
        <v>501</v>
      </c>
      <c r="E1605" s="42"/>
      <c r="F1605" s="3" t="s">
        <v>682</v>
      </c>
      <c r="G1605" s="3" t="s">
        <v>579</v>
      </c>
      <c r="H1605" s="53">
        <v>3970007</v>
      </c>
      <c r="I1605" s="3" t="s">
        <v>722</v>
      </c>
      <c r="J1605" s="3" t="s">
        <v>600</v>
      </c>
      <c r="K1605" s="4" t="s">
        <v>556</v>
      </c>
      <c r="M1605" s="3" t="s">
        <v>579</v>
      </c>
      <c r="N1605" s="3" t="s">
        <v>228</v>
      </c>
    </row>
    <row r="1606" spans="2:14" s="3" customFormat="1" x14ac:dyDescent="0.3">
      <c r="B1606" s="44">
        <v>45969</v>
      </c>
      <c r="C1606" s="3" t="s">
        <v>416</v>
      </c>
      <c r="D1606" s="3" t="s">
        <v>592</v>
      </c>
      <c r="E1606" s="42"/>
      <c r="F1606" s="3" t="s">
        <v>682</v>
      </c>
      <c r="G1606" s="3" t="s">
        <v>635</v>
      </c>
      <c r="H1606" s="74">
        <v>3969700</v>
      </c>
      <c r="I1606" s="3" t="s">
        <v>670</v>
      </c>
      <c r="J1606" s="3" t="s">
        <v>636</v>
      </c>
      <c r="K1606" s="74">
        <v>3195502</v>
      </c>
    </row>
    <row r="1607" spans="2:14" s="3" customFormat="1" x14ac:dyDescent="0.3">
      <c r="B1607" s="44">
        <v>45969</v>
      </c>
      <c r="C1607" s="3" t="s">
        <v>416</v>
      </c>
      <c r="D1607" s="3" t="s">
        <v>488</v>
      </c>
      <c r="E1607" s="42"/>
      <c r="F1607" s="3" t="s">
        <v>702</v>
      </c>
      <c r="G1607" s="3" t="s">
        <v>119</v>
      </c>
      <c r="H1607" s="4">
        <v>3067909</v>
      </c>
      <c r="I1607" s="3" t="s">
        <v>645</v>
      </c>
      <c r="J1607" s="3" t="s">
        <v>123</v>
      </c>
      <c r="K1607" s="4">
        <v>3351104</v>
      </c>
    </row>
    <row r="1608" spans="2:14" s="3" customFormat="1" x14ac:dyDescent="0.3">
      <c r="B1608" s="44">
        <v>45969</v>
      </c>
      <c r="C1608" s="3" t="s">
        <v>416</v>
      </c>
      <c r="D1608" s="3" t="s">
        <v>491</v>
      </c>
      <c r="E1608" s="42"/>
      <c r="F1608" s="4" t="s">
        <v>702</v>
      </c>
      <c r="G1608" s="4" t="s">
        <v>180</v>
      </c>
      <c r="H1608" s="4">
        <v>3355308</v>
      </c>
      <c r="I1608" s="4" t="s">
        <v>680</v>
      </c>
      <c r="J1608" s="4" t="s">
        <v>177</v>
      </c>
      <c r="K1608" s="4">
        <v>3899709</v>
      </c>
    </row>
    <row r="1609" spans="2:14" s="3" customFormat="1" x14ac:dyDescent="0.3">
      <c r="B1609" s="44">
        <v>45969</v>
      </c>
      <c r="C1609" s="3" t="s">
        <v>416</v>
      </c>
      <c r="D1609" s="3" t="s">
        <v>487</v>
      </c>
      <c r="E1609" s="4"/>
      <c r="F1609" s="3" t="s">
        <v>695</v>
      </c>
      <c r="G1609" s="3" t="s">
        <v>101</v>
      </c>
      <c r="H1609" s="4">
        <v>3067305</v>
      </c>
      <c r="I1609" s="4" t="s">
        <v>645</v>
      </c>
      <c r="J1609" s="4" t="s">
        <v>114</v>
      </c>
      <c r="K1609" s="4">
        <v>3351000</v>
      </c>
    </row>
    <row r="1610" spans="2:14" s="3" customFormat="1" x14ac:dyDescent="0.3">
      <c r="B1610" s="44">
        <v>45969</v>
      </c>
      <c r="C1610" s="3" t="s">
        <v>416</v>
      </c>
      <c r="D1610" s="3" t="s">
        <v>491</v>
      </c>
      <c r="E1610" s="42"/>
      <c r="F1610" s="3" t="s">
        <v>695</v>
      </c>
      <c r="G1610" s="3" t="s">
        <v>148</v>
      </c>
      <c r="H1610" s="4">
        <v>3355402</v>
      </c>
      <c r="I1610" s="3" t="s">
        <v>645</v>
      </c>
      <c r="J1610" s="3" t="s">
        <v>152</v>
      </c>
      <c r="K1610" s="4">
        <v>3351302</v>
      </c>
    </row>
    <row r="1611" spans="2:14" s="3" customFormat="1" x14ac:dyDescent="0.3">
      <c r="B1611" s="44">
        <v>45969</v>
      </c>
      <c r="C1611" s="3" t="s">
        <v>416</v>
      </c>
      <c r="D1611" s="3" t="s">
        <v>58</v>
      </c>
      <c r="E1611" s="42"/>
      <c r="F1611" s="3" t="s">
        <v>704</v>
      </c>
      <c r="G1611" s="3" t="s">
        <v>297</v>
      </c>
      <c r="H1611" s="4">
        <v>3204008</v>
      </c>
      <c r="I1611" s="3" t="s">
        <v>697</v>
      </c>
      <c r="J1611" s="3" t="s">
        <v>262</v>
      </c>
      <c r="K1611" s="32">
        <v>3055405</v>
      </c>
    </row>
    <row r="1612" spans="2:14" s="3" customFormat="1" x14ac:dyDescent="0.3">
      <c r="B1612" s="44">
        <v>45969</v>
      </c>
      <c r="C1612" s="3" t="s">
        <v>416</v>
      </c>
      <c r="D1612" s="3" t="s">
        <v>60</v>
      </c>
      <c r="E1612" s="42"/>
      <c r="F1612" s="3" t="s">
        <v>473</v>
      </c>
      <c r="G1612" s="3" t="s">
        <v>445</v>
      </c>
      <c r="H1612" s="4">
        <v>3204102</v>
      </c>
      <c r="I1612" s="3" t="s">
        <v>668</v>
      </c>
      <c r="J1612" s="3" t="s">
        <v>431</v>
      </c>
      <c r="K1612" s="4">
        <v>3900703</v>
      </c>
    </row>
    <row r="1613" spans="2:14" s="3" customFormat="1" x14ac:dyDescent="0.3">
      <c r="B1613" s="44">
        <v>45969</v>
      </c>
      <c r="C1613" s="3" t="s">
        <v>416</v>
      </c>
      <c r="D1613" s="3" t="s">
        <v>60</v>
      </c>
      <c r="E1613" s="42"/>
      <c r="F1613" s="3" t="s">
        <v>473</v>
      </c>
      <c r="G1613" s="3" t="s">
        <v>298</v>
      </c>
      <c r="H1613" s="4">
        <v>3817807</v>
      </c>
      <c r="I1613" s="3" t="s">
        <v>667</v>
      </c>
      <c r="J1613" s="3" t="s">
        <v>294</v>
      </c>
      <c r="K1613" s="32">
        <v>3209409</v>
      </c>
    </row>
    <row r="1614" spans="2:14" s="3" customFormat="1" x14ac:dyDescent="0.3">
      <c r="B1614" s="44">
        <v>45969</v>
      </c>
      <c r="C1614" s="3" t="s">
        <v>416</v>
      </c>
      <c r="D1614" s="3" t="s">
        <v>60</v>
      </c>
      <c r="E1614" s="42"/>
      <c r="F1614" s="3" t="s">
        <v>473</v>
      </c>
      <c r="G1614" s="3" t="s">
        <v>446</v>
      </c>
      <c r="H1614" s="4">
        <v>3204206</v>
      </c>
      <c r="I1614" s="3" t="s">
        <v>695</v>
      </c>
      <c r="J1614" s="3" t="s">
        <v>296</v>
      </c>
      <c r="K1614" s="4">
        <v>3203905</v>
      </c>
    </row>
    <row r="1615" spans="2:14" s="3" customFormat="1" x14ac:dyDescent="0.3">
      <c r="B1615" s="44">
        <v>45969</v>
      </c>
      <c r="C1615" s="3" t="s">
        <v>416</v>
      </c>
      <c r="D1615" s="3" t="s">
        <v>494</v>
      </c>
      <c r="E1615" s="42"/>
      <c r="F1615" s="4" t="s">
        <v>708</v>
      </c>
      <c r="G1615" s="4" t="s">
        <v>141</v>
      </c>
      <c r="H1615" s="4">
        <v>3125802</v>
      </c>
      <c r="I1615" s="4" t="s">
        <v>647</v>
      </c>
      <c r="J1615" s="4" t="s">
        <v>191</v>
      </c>
      <c r="K1615" s="4">
        <v>3345708</v>
      </c>
    </row>
    <row r="1616" spans="2:14" s="3" customFormat="1" x14ac:dyDescent="0.3">
      <c r="B1616" s="44">
        <v>45969</v>
      </c>
      <c r="C1616" s="3" t="s">
        <v>416</v>
      </c>
      <c r="D1616" s="3" t="s">
        <v>494</v>
      </c>
      <c r="E1616" s="42"/>
      <c r="F1616" s="3" t="s">
        <v>708</v>
      </c>
      <c r="G1616" s="3" t="s">
        <v>220</v>
      </c>
      <c r="H1616" s="4">
        <v>3354809</v>
      </c>
      <c r="I1616" s="3" t="s">
        <v>662</v>
      </c>
      <c r="J1616" s="3" t="s">
        <v>218</v>
      </c>
      <c r="K1616" s="4">
        <v>3358201</v>
      </c>
    </row>
    <row r="1617" spans="2:11" s="3" customFormat="1" x14ac:dyDescent="0.3">
      <c r="B1617" s="44">
        <v>45969</v>
      </c>
      <c r="C1617" s="3" t="s">
        <v>416</v>
      </c>
      <c r="D1617" s="3" t="s">
        <v>57</v>
      </c>
      <c r="E1617" s="42"/>
      <c r="F1617" s="15" t="s">
        <v>703</v>
      </c>
      <c r="G1617" s="15" t="s">
        <v>585</v>
      </c>
      <c r="H1617" s="74" t="s">
        <v>556</v>
      </c>
      <c r="I1617" s="3" t="s">
        <v>682</v>
      </c>
      <c r="J1617" s="3" t="s">
        <v>584</v>
      </c>
      <c r="K1617" s="4">
        <v>3069303</v>
      </c>
    </row>
    <row r="1618" spans="2:11" s="3" customFormat="1" x14ac:dyDescent="0.3">
      <c r="B1618" s="44">
        <v>45969</v>
      </c>
      <c r="C1618" s="3" t="s">
        <v>416</v>
      </c>
      <c r="D1618" s="3" t="s">
        <v>58</v>
      </c>
      <c r="E1618" s="42"/>
      <c r="F1618" s="3" t="s">
        <v>703</v>
      </c>
      <c r="G1618" s="3" t="s">
        <v>586</v>
      </c>
      <c r="H1618" s="4" t="s">
        <v>588</v>
      </c>
      <c r="I1618" s="32" t="s">
        <v>478</v>
      </c>
      <c r="J1618" s="32" t="s">
        <v>267</v>
      </c>
      <c r="K1618" s="15">
        <v>3205205</v>
      </c>
    </row>
    <row r="1619" spans="2:11" s="3" customFormat="1" x14ac:dyDescent="0.3">
      <c r="B1619" s="44">
        <v>45969</v>
      </c>
      <c r="C1619" s="3" t="s">
        <v>416</v>
      </c>
      <c r="D1619" s="3" t="s">
        <v>61</v>
      </c>
      <c r="E1619" s="42"/>
      <c r="F1619" s="3" t="s">
        <v>703</v>
      </c>
      <c r="G1619" s="3" t="s">
        <v>596</v>
      </c>
      <c r="H1619" s="4" t="s">
        <v>556</v>
      </c>
      <c r="I1619" s="73" t="s">
        <v>680</v>
      </c>
      <c r="J1619" s="73" t="s">
        <v>302</v>
      </c>
      <c r="K1619" s="4">
        <v>3208400</v>
      </c>
    </row>
    <row r="1620" spans="2:11" s="3" customFormat="1" x14ac:dyDescent="0.3">
      <c r="B1620" s="44">
        <v>45969</v>
      </c>
      <c r="C1620" s="3" t="s">
        <v>416</v>
      </c>
      <c r="D1620" s="3" t="s">
        <v>58</v>
      </c>
      <c r="E1620" s="42"/>
      <c r="F1620" s="3" t="s">
        <v>683</v>
      </c>
      <c r="G1620" s="3" t="s">
        <v>305</v>
      </c>
      <c r="H1620" s="4">
        <v>3202906</v>
      </c>
      <c r="I1620" s="3" t="s">
        <v>690</v>
      </c>
      <c r="J1620" s="3" t="s">
        <v>303</v>
      </c>
      <c r="K1620" s="4">
        <v>3205101</v>
      </c>
    </row>
    <row r="1621" spans="2:11" s="3" customFormat="1" x14ac:dyDescent="0.3">
      <c r="B1621" s="44">
        <v>45969</v>
      </c>
      <c r="C1621" s="3" t="s">
        <v>416</v>
      </c>
      <c r="D1621" s="3" t="s">
        <v>63</v>
      </c>
      <c r="E1621" s="42"/>
      <c r="F1621" s="3" t="s">
        <v>683</v>
      </c>
      <c r="G1621" s="3" t="s">
        <v>368</v>
      </c>
      <c r="H1621" s="74">
        <v>3203009</v>
      </c>
      <c r="I1621" s="3" t="s">
        <v>680</v>
      </c>
      <c r="J1621" s="3" t="s">
        <v>329</v>
      </c>
      <c r="K1621" s="74">
        <v>3208108</v>
      </c>
    </row>
    <row r="1622" spans="2:11" s="3" customFormat="1" x14ac:dyDescent="0.3">
      <c r="B1622" s="44">
        <v>45969</v>
      </c>
      <c r="C1622" s="3" t="s">
        <v>416</v>
      </c>
      <c r="D1622" s="3" t="s">
        <v>487</v>
      </c>
      <c r="E1622" s="4"/>
      <c r="F1622" s="3" t="s">
        <v>709</v>
      </c>
      <c r="G1622" s="3" t="s">
        <v>111</v>
      </c>
      <c r="H1622" s="4">
        <v>3354601</v>
      </c>
      <c r="I1622" s="3" t="s">
        <v>475</v>
      </c>
      <c r="J1622" s="3" t="s">
        <v>96</v>
      </c>
      <c r="K1622" s="4">
        <v>3067107</v>
      </c>
    </row>
    <row r="1623" spans="2:11" s="3" customFormat="1" x14ac:dyDescent="0.3">
      <c r="B1623" s="44">
        <v>45969</v>
      </c>
      <c r="C1623" s="3" t="s">
        <v>416</v>
      </c>
      <c r="D1623" s="3" t="s">
        <v>57</v>
      </c>
      <c r="E1623" s="42"/>
      <c r="F1623" s="32" t="s">
        <v>709</v>
      </c>
      <c r="G1623" s="32" t="s">
        <v>268</v>
      </c>
      <c r="H1623" s="15">
        <v>3203103</v>
      </c>
      <c r="I1623" s="4" t="s">
        <v>666</v>
      </c>
      <c r="J1623" s="4" t="s">
        <v>259</v>
      </c>
      <c r="K1623" s="4">
        <v>3205809</v>
      </c>
    </row>
    <row r="1624" spans="2:11" s="3" customFormat="1" x14ac:dyDescent="0.3">
      <c r="B1624" s="44">
        <v>45969</v>
      </c>
      <c r="C1624" s="3" t="s">
        <v>416</v>
      </c>
      <c r="D1624" s="3" t="s">
        <v>488</v>
      </c>
      <c r="E1624" s="42"/>
      <c r="F1624" s="4" t="s">
        <v>684</v>
      </c>
      <c r="G1624" s="4" t="s">
        <v>121</v>
      </c>
      <c r="H1624" s="4">
        <v>3354309</v>
      </c>
      <c r="I1624" s="4" t="s">
        <v>698</v>
      </c>
      <c r="J1624" s="4" t="s">
        <v>561</v>
      </c>
      <c r="K1624" s="4" t="s">
        <v>563</v>
      </c>
    </row>
    <row r="1625" spans="2:11" s="3" customFormat="1" x14ac:dyDescent="0.3">
      <c r="B1625" s="44">
        <v>45969</v>
      </c>
      <c r="C1625" s="3" t="s">
        <v>416</v>
      </c>
      <c r="D1625" s="3" t="s">
        <v>66</v>
      </c>
      <c r="E1625" s="42"/>
      <c r="F1625" s="3" t="s">
        <v>684</v>
      </c>
      <c r="G1625" s="3" t="s">
        <v>608</v>
      </c>
      <c r="H1625" s="74">
        <v>3819107</v>
      </c>
      <c r="I1625" s="3" t="s">
        <v>690</v>
      </c>
      <c r="J1625" s="3" t="s">
        <v>605</v>
      </c>
      <c r="K1625" s="74">
        <v>3900109</v>
      </c>
    </row>
    <row r="1626" spans="2:11" s="3" customFormat="1" x14ac:dyDescent="0.3">
      <c r="B1626" s="44">
        <v>45969</v>
      </c>
      <c r="C1626" s="3" t="s">
        <v>416</v>
      </c>
      <c r="D1626" s="3" t="s">
        <v>486</v>
      </c>
      <c r="E1626" s="42"/>
      <c r="F1626" s="4" t="s">
        <v>646</v>
      </c>
      <c r="G1626" s="4" t="s">
        <v>102</v>
      </c>
      <c r="H1626" s="4">
        <v>3125406</v>
      </c>
      <c r="I1626" s="4" t="s">
        <v>651</v>
      </c>
      <c r="J1626" s="4" t="s">
        <v>97</v>
      </c>
      <c r="K1626" s="4">
        <v>3362005</v>
      </c>
    </row>
    <row r="1627" spans="2:11" s="3" customFormat="1" x14ac:dyDescent="0.3">
      <c r="B1627" s="44">
        <v>45969</v>
      </c>
      <c r="C1627" s="3" t="s">
        <v>416</v>
      </c>
      <c r="D1627" s="3" t="s">
        <v>59</v>
      </c>
      <c r="E1627" s="42"/>
      <c r="F1627" s="4" t="s">
        <v>646</v>
      </c>
      <c r="G1627" s="4" t="s">
        <v>275</v>
      </c>
      <c r="H1627" s="4">
        <v>3202406</v>
      </c>
      <c r="I1627" s="4" t="s">
        <v>653</v>
      </c>
      <c r="J1627" s="4" t="s">
        <v>272</v>
      </c>
      <c r="K1627" s="4">
        <v>3211205</v>
      </c>
    </row>
    <row r="1628" spans="2:11" s="3" customFormat="1" x14ac:dyDescent="0.3">
      <c r="B1628" s="44">
        <v>45969</v>
      </c>
      <c r="C1628" s="3" t="s">
        <v>416</v>
      </c>
      <c r="D1628" s="3" t="s">
        <v>492</v>
      </c>
      <c r="E1628" s="42"/>
      <c r="F1628" s="4" t="s">
        <v>646</v>
      </c>
      <c r="G1628" s="4" t="s">
        <v>194</v>
      </c>
      <c r="H1628" s="4">
        <v>3354205</v>
      </c>
      <c r="I1628" s="4" t="s">
        <v>670</v>
      </c>
      <c r="J1628" s="4" t="s">
        <v>145</v>
      </c>
      <c r="K1628" s="4">
        <v>3347404</v>
      </c>
    </row>
    <row r="1629" spans="2:11" s="3" customFormat="1" x14ac:dyDescent="0.3">
      <c r="B1629" s="44">
        <v>45969</v>
      </c>
      <c r="C1629" s="3" t="s">
        <v>416</v>
      </c>
      <c r="D1629" s="3" t="s">
        <v>610</v>
      </c>
      <c r="E1629" s="42"/>
      <c r="F1629" s="3" t="s">
        <v>646</v>
      </c>
      <c r="G1629" s="3" t="s">
        <v>350</v>
      </c>
      <c r="H1629" s="4">
        <v>3202802</v>
      </c>
      <c r="I1629" s="4" t="s">
        <v>675</v>
      </c>
      <c r="J1629" s="4" t="s">
        <v>450</v>
      </c>
      <c r="K1629" s="4">
        <v>3198405</v>
      </c>
    </row>
    <row r="1630" spans="2:11" s="3" customFormat="1" x14ac:dyDescent="0.3">
      <c r="B1630" s="44">
        <v>45969</v>
      </c>
      <c r="C1630" s="3" t="s">
        <v>416</v>
      </c>
      <c r="D1630" s="4" t="s">
        <v>614</v>
      </c>
      <c r="E1630" s="42"/>
      <c r="F1630" s="3" t="s">
        <v>646</v>
      </c>
      <c r="G1630" s="3" t="s">
        <v>380</v>
      </c>
      <c r="H1630" s="4">
        <v>3202208</v>
      </c>
      <c r="I1630" s="4" t="s">
        <v>713</v>
      </c>
      <c r="J1630" s="4" t="s">
        <v>386</v>
      </c>
      <c r="K1630" s="4">
        <v>3900807</v>
      </c>
    </row>
    <row r="1631" spans="2:11" s="3" customFormat="1" x14ac:dyDescent="0.3">
      <c r="B1631" s="44">
        <v>45969</v>
      </c>
      <c r="C1631" s="3" t="s">
        <v>416</v>
      </c>
      <c r="D1631" s="3" t="s">
        <v>56</v>
      </c>
      <c r="E1631" s="42"/>
      <c r="F1631" s="4" t="s">
        <v>696</v>
      </c>
      <c r="G1631" s="4" t="s">
        <v>261</v>
      </c>
      <c r="H1631" s="4">
        <v>3202302</v>
      </c>
      <c r="I1631" s="3" t="s">
        <v>471</v>
      </c>
      <c r="J1631" s="3" t="s">
        <v>254</v>
      </c>
      <c r="K1631" s="4">
        <v>3068908</v>
      </c>
    </row>
    <row r="1632" spans="2:11" s="3" customFormat="1" x14ac:dyDescent="0.3">
      <c r="B1632" s="44">
        <v>45969</v>
      </c>
      <c r="C1632" s="3" t="s">
        <v>416</v>
      </c>
      <c r="D1632" s="3" t="s">
        <v>489</v>
      </c>
      <c r="E1632" s="4"/>
      <c r="F1632" s="3" t="s">
        <v>672</v>
      </c>
      <c r="G1632" s="3" t="s">
        <v>129</v>
      </c>
      <c r="H1632" s="4">
        <v>3067503</v>
      </c>
      <c r="I1632" s="4" t="s">
        <v>679</v>
      </c>
      <c r="J1632" s="4" t="s">
        <v>135</v>
      </c>
      <c r="K1632" s="4">
        <v>3346603</v>
      </c>
    </row>
    <row r="1633" spans="2:11" s="3" customFormat="1" x14ac:dyDescent="0.3">
      <c r="B1633" s="44">
        <v>45969</v>
      </c>
      <c r="C1633" s="3" t="s">
        <v>416</v>
      </c>
      <c r="D1633" s="3" t="s">
        <v>56</v>
      </c>
      <c r="E1633" s="42"/>
      <c r="F1633" s="106" t="s">
        <v>672</v>
      </c>
      <c r="G1633" s="106" t="s">
        <v>252</v>
      </c>
      <c r="H1633" s="106">
        <v>3070204</v>
      </c>
      <c r="I1633" s="3" t="s">
        <v>690</v>
      </c>
      <c r="J1633" s="3" t="s">
        <v>250</v>
      </c>
      <c r="K1633" s="4">
        <v>3070100</v>
      </c>
    </row>
    <row r="1634" spans="2:11" s="3" customFormat="1" x14ac:dyDescent="0.3">
      <c r="B1634" s="44">
        <v>45969</v>
      </c>
      <c r="C1634" s="3" t="s">
        <v>416</v>
      </c>
      <c r="D1634" s="3" t="s">
        <v>64</v>
      </c>
      <c r="E1634" s="42">
        <v>4370907</v>
      </c>
      <c r="F1634" s="3" t="s">
        <v>672</v>
      </c>
      <c r="G1634" s="3" t="s">
        <v>316</v>
      </c>
      <c r="H1634" s="4">
        <v>3069105</v>
      </c>
      <c r="I1634" s="4" t="s">
        <v>717</v>
      </c>
      <c r="J1634" s="4" t="s">
        <v>432</v>
      </c>
      <c r="K1634" s="4">
        <v>3195106</v>
      </c>
    </row>
    <row r="1635" spans="2:11" s="3" customFormat="1" x14ac:dyDescent="0.3">
      <c r="B1635" s="44">
        <v>45969</v>
      </c>
      <c r="C1635" s="3" t="s">
        <v>416</v>
      </c>
      <c r="D1635" s="3" t="s">
        <v>70</v>
      </c>
      <c r="E1635" s="42"/>
      <c r="F1635" s="3" t="s">
        <v>672</v>
      </c>
      <c r="G1635" s="3" t="s">
        <v>401</v>
      </c>
      <c r="H1635" s="4">
        <v>3202000</v>
      </c>
      <c r="I1635" s="3" t="s">
        <v>475</v>
      </c>
      <c r="J1635" s="3" t="s">
        <v>370</v>
      </c>
      <c r="K1635" s="4">
        <v>3211903</v>
      </c>
    </row>
    <row r="1636" spans="2:11" s="3" customFormat="1" x14ac:dyDescent="0.3">
      <c r="B1636" s="44">
        <v>45969</v>
      </c>
      <c r="C1636" s="3" t="s">
        <v>416</v>
      </c>
      <c r="D1636" s="3" t="s">
        <v>488</v>
      </c>
      <c r="E1636" s="42"/>
      <c r="F1636" s="4" t="s">
        <v>697</v>
      </c>
      <c r="G1636" s="4" t="s">
        <v>122</v>
      </c>
      <c r="H1636" s="4">
        <v>3353800</v>
      </c>
      <c r="I1636" s="4" t="s">
        <v>695</v>
      </c>
      <c r="J1636" s="4" t="s">
        <v>147</v>
      </c>
      <c r="K1636" s="4">
        <v>3067409</v>
      </c>
    </row>
    <row r="1637" spans="2:11" s="3" customFormat="1" x14ac:dyDescent="0.3">
      <c r="B1637" s="44">
        <v>45969</v>
      </c>
      <c r="C1637" s="3" t="s">
        <v>416</v>
      </c>
      <c r="D1637" s="3" t="s">
        <v>57</v>
      </c>
      <c r="E1637" s="42"/>
      <c r="F1637" s="53" t="s">
        <v>694</v>
      </c>
      <c r="G1637" s="53" t="s">
        <v>276</v>
      </c>
      <c r="H1637" s="74">
        <v>3201709</v>
      </c>
      <c r="I1637" s="73" t="s">
        <v>478</v>
      </c>
      <c r="J1637" s="73" t="s">
        <v>260</v>
      </c>
      <c r="K1637" s="15">
        <v>3205705</v>
      </c>
    </row>
    <row r="1638" spans="2:11" s="3" customFormat="1" x14ac:dyDescent="0.3">
      <c r="B1638" s="44">
        <v>45969</v>
      </c>
      <c r="C1638" s="3" t="s">
        <v>416</v>
      </c>
      <c r="D1638" s="3" t="s">
        <v>494</v>
      </c>
      <c r="E1638" s="42"/>
      <c r="F1638" s="4" t="s">
        <v>694</v>
      </c>
      <c r="G1638" s="4" t="s">
        <v>188</v>
      </c>
      <c r="H1638" s="4">
        <v>3353508</v>
      </c>
      <c r="I1638" s="3" t="s">
        <v>692</v>
      </c>
      <c r="J1638" s="3" t="s">
        <v>144</v>
      </c>
      <c r="K1638" s="4">
        <v>3347904</v>
      </c>
    </row>
    <row r="1639" spans="2:11" s="3" customFormat="1" x14ac:dyDescent="0.3">
      <c r="B1639" s="44">
        <v>45969</v>
      </c>
      <c r="C1639" s="3" t="s">
        <v>416</v>
      </c>
      <c r="D1639" s="3" t="s">
        <v>62</v>
      </c>
      <c r="E1639" s="42"/>
      <c r="F1639" s="4" t="s">
        <v>694</v>
      </c>
      <c r="G1639" s="4" t="s">
        <v>340</v>
      </c>
      <c r="H1639" s="4">
        <v>3201803</v>
      </c>
      <c r="I1639" s="4" t="s">
        <v>676</v>
      </c>
      <c r="J1639" s="4" t="s">
        <v>286</v>
      </c>
      <c r="K1639" s="4">
        <v>3019605</v>
      </c>
    </row>
    <row r="1640" spans="2:11" s="3" customFormat="1" x14ac:dyDescent="0.3">
      <c r="B1640" s="44">
        <v>45969</v>
      </c>
      <c r="C1640" s="3" t="s">
        <v>416</v>
      </c>
      <c r="D1640" s="3" t="s">
        <v>494</v>
      </c>
      <c r="E1640" s="42"/>
      <c r="F1640" s="3" t="s">
        <v>694</v>
      </c>
      <c r="G1640" s="3" t="s">
        <v>221</v>
      </c>
      <c r="H1640" s="4">
        <v>3353404</v>
      </c>
      <c r="I1640" s="3" t="s">
        <v>689</v>
      </c>
      <c r="J1640" s="3" t="s">
        <v>189</v>
      </c>
      <c r="K1640" s="4">
        <v>3350209</v>
      </c>
    </row>
    <row r="1641" spans="2:11" s="3" customFormat="1" x14ac:dyDescent="0.3">
      <c r="B1641" s="44">
        <v>45969</v>
      </c>
      <c r="C1641" s="3" t="s">
        <v>416</v>
      </c>
      <c r="D1641" s="3" t="s">
        <v>69</v>
      </c>
      <c r="E1641" s="42"/>
      <c r="F1641" s="3" t="s">
        <v>694</v>
      </c>
      <c r="G1641" s="3" t="s">
        <v>376</v>
      </c>
      <c r="H1641" s="53">
        <v>3201303</v>
      </c>
      <c r="I1641" s="3" t="s">
        <v>655</v>
      </c>
      <c r="J1641" s="3" t="s">
        <v>394</v>
      </c>
      <c r="K1641" s="4">
        <v>3201105</v>
      </c>
    </row>
    <row r="1642" spans="2:11" s="3" customFormat="1" x14ac:dyDescent="0.3">
      <c r="B1642" s="44">
        <v>45969</v>
      </c>
      <c r="C1642" s="3" t="s">
        <v>416</v>
      </c>
      <c r="D1642" s="3" t="s">
        <v>69</v>
      </c>
      <c r="E1642" s="42"/>
      <c r="F1642" s="3" t="s">
        <v>694</v>
      </c>
      <c r="G1642" s="3" t="s">
        <v>402</v>
      </c>
      <c r="H1642" s="4">
        <v>3201407</v>
      </c>
      <c r="I1642" s="3" t="s">
        <v>691</v>
      </c>
      <c r="J1642" s="3" t="s">
        <v>395</v>
      </c>
      <c r="K1642" s="4">
        <v>3197604</v>
      </c>
    </row>
    <row r="1643" spans="2:11" s="3" customFormat="1" x14ac:dyDescent="0.3">
      <c r="B1643" s="44">
        <v>45969</v>
      </c>
      <c r="C1643" s="3" t="s">
        <v>416</v>
      </c>
      <c r="D1643" s="3" t="s">
        <v>62</v>
      </c>
      <c r="E1643" s="42"/>
      <c r="F1643" s="4" t="s">
        <v>677</v>
      </c>
      <c r="G1643" s="4" t="s">
        <v>324</v>
      </c>
      <c r="H1643" s="4">
        <v>3201605</v>
      </c>
      <c r="I1643" s="3" t="s">
        <v>663</v>
      </c>
      <c r="J1643" s="3" t="s">
        <v>280</v>
      </c>
      <c r="K1643" s="4">
        <v>3198103</v>
      </c>
    </row>
    <row r="1644" spans="2:11" s="3" customFormat="1" x14ac:dyDescent="0.3">
      <c r="B1644" s="44">
        <v>45969</v>
      </c>
      <c r="C1644" s="3" t="s">
        <v>416</v>
      </c>
      <c r="D1644" s="3" t="s">
        <v>59</v>
      </c>
      <c r="E1644" s="42"/>
      <c r="F1644" s="4" t="s">
        <v>655</v>
      </c>
      <c r="G1644" s="4" t="s">
        <v>288</v>
      </c>
      <c r="H1644" s="4">
        <v>3200908</v>
      </c>
      <c r="I1644" s="4" t="s">
        <v>652</v>
      </c>
      <c r="J1644" s="4" t="s">
        <v>313</v>
      </c>
      <c r="K1644" s="4">
        <v>3207901</v>
      </c>
    </row>
    <row r="1645" spans="2:11" s="3" customFormat="1" x14ac:dyDescent="0.3">
      <c r="B1645" s="44">
        <v>45969</v>
      </c>
      <c r="C1645" s="3" t="s">
        <v>416</v>
      </c>
      <c r="D1645" s="3" t="s">
        <v>65</v>
      </c>
      <c r="E1645" s="42"/>
      <c r="F1645" s="3" t="s">
        <v>655</v>
      </c>
      <c r="G1645" s="3" t="s">
        <v>325</v>
      </c>
      <c r="H1645" s="4">
        <v>3201501</v>
      </c>
      <c r="I1645" s="4" t="s">
        <v>656</v>
      </c>
      <c r="J1645" s="4" t="s">
        <v>326</v>
      </c>
      <c r="K1645" s="4">
        <v>3199904</v>
      </c>
    </row>
    <row r="1646" spans="2:11" s="3" customFormat="1" x14ac:dyDescent="0.3">
      <c r="B1646" s="44">
        <v>45969</v>
      </c>
      <c r="C1646" s="3" t="s">
        <v>416</v>
      </c>
      <c r="D1646" s="3" t="s">
        <v>56</v>
      </c>
      <c r="E1646" s="42"/>
      <c r="F1646" s="73" t="s">
        <v>474</v>
      </c>
      <c r="G1646" s="73" t="s">
        <v>253</v>
      </c>
      <c r="H1646" s="4">
        <v>3037109</v>
      </c>
      <c r="I1646" s="3" t="s">
        <v>646</v>
      </c>
      <c r="J1646" s="3" t="s">
        <v>251</v>
      </c>
      <c r="K1646" s="4">
        <v>3036704</v>
      </c>
    </row>
    <row r="1647" spans="2:11" s="3" customFormat="1" x14ac:dyDescent="0.3">
      <c r="B1647" s="44">
        <v>45969</v>
      </c>
      <c r="C1647" s="3" t="s">
        <v>416</v>
      </c>
      <c r="D1647" s="3" t="s">
        <v>486</v>
      </c>
      <c r="E1647" s="42"/>
      <c r="F1647" s="3" t="s">
        <v>474</v>
      </c>
      <c r="G1647" s="3" t="s">
        <v>103</v>
      </c>
      <c r="H1647" s="4">
        <v>3353206</v>
      </c>
      <c r="I1647" s="3" t="s">
        <v>681</v>
      </c>
      <c r="J1647" s="3" t="s">
        <v>105</v>
      </c>
      <c r="K1647" s="4">
        <v>3035809</v>
      </c>
    </row>
    <row r="1648" spans="2:11" s="3" customFormat="1" x14ac:dyDescent="0.3">
      <c r="B1648" s="44">
        <v>45969</v>
      </c>
      <c r="C1648" s="3" t="s">
        <v>416</v>
      </c>
      <c r="D1648" s="3" t="s">
        <v>590</v>
      </c>
      <c r="E1648" s="42"/>
      <c r="F1648" s="3" t="s">
        <v>474</v>
      </c>
      <c r="G1648" s="3" t="s">
        <v>317</v>
      </c>
      <c r="H1648" s="4">
        <v>3200700</v>
      </c>
      <c r="I1648" s="3" t="s">
        <v>671</v>
      </c>
      <c r="J1648" s="3" t="s">
        <v>311</v>
      </c>
      <c r="K1648" s="4">
        <v>3209003</v>
      </c>
    </row>
    <row r="1649" spans="1:43" s="3" customFormat="1" x14ac:dyDescent="0.3">
      <c r="B1649" s="44">
        <v>45969</v>
      </c>
      <c r="C1649" s="3" t="s">
        <v>416</v>
      </c>
      <c r="D1649" s="3" t="s">
        <v>489</v>
      </c>
      <c r="E1649" s="4"/>
      <c r="F1649" s="4" t="s">
        <v>474</v>
      </c>
      <c r="G1649" s="4" t="s">
        <v>130</v>
      </c>
      <c r="H1649" s="4">
        <v>3352405</v>
      </c>
      <c r="I1649" s="4" t="s">
        <v>712</v>
      </c>
      <c r="J1649" s="4" t="s">
        <v>132</v>
      </c>
      <c r="K1649" s="4">
        <v>3068304</v>
      </c>
    </row>
    <row r="1650" spans="1:43" s="3" customFormat="1" x14ac:dyDescent="0.3">
      <c r="B1650" s="44">
        <v>45969</v>
      </c>
      <c r="C1650" s="3" t="s">
        <v>416</v>
      </c>
      <c r="D1650" s="3" t="s">
        <v>496</v>
      </c>
      <c r="E1650" s="42"/>
      <c r="F1650" s="4" t="s">
        <v>474</v>
      </c>
      <c r="G1650" s="4" t="s">
        <v>426</v>
      </c>
      <c r="H1650" s="4">
        <v>3352603</v>
      </c>
      <c r="I1650" s="3" t="s">
        <v>671</v>
      </c>
      <c r="J1650" s="3" t="s">
        <v>227</v>
      </c>
      <c r="K1650" s="4">
        <v>3359408</v>
      </c>
    </row>
    <row r="1651" spans="1:43" s="3" customFormat="1" x14ac:dyDescent="0.3">
      <c r="B1651" s="44">
        <v>45969</v>
      </c>
      <c r="C1651" s="3" t="s">
        <v>416</v>
      </c>
      <c r="D1651" s="3" t="s">
        <v>499</v>
      </c>
      <c r="E1651" s="42"/>
      <c r="F1651" s="3" t="s">
        <v>474</v>
      </c>
      <c r="G1651" s="3" t="s">
        <v>597</v>
      </c>
      <c r="H1651" s="4">
        <v>3352707</v>
      </c>
      <c r="I1651" s="3" t="s">
        <v>651</v>
      </c>
      <c r="J1651" s="3" t="s">
        <v>226</v>
      </c>
      <c r="K1651" s="4">
        <v>3361902</v>
      </c>
      <c r="M1651" s="51"/>
    </row>
    <row r="1652" spans="1:43" s="3" customFormat="1" x14ac:dyDescent="0.3">
      <c r="B1652" s="44">
        <v>45969</v>
      </c>
      <c r="C1652" s="3" t="s">
        <v>416</v>
      </c>
      <c r="D1652" s="3" t="s">
        <v>610</v>
      </c>
      <c r="E1652" s="42"/>
      <c r="F1652" s="3" t="s">
        <v>714</v>
      </c>
      <c r="G1652" s="3" t="s">
        <v>352</v>
      </c>
      <c r="H1652" s="4">
        <v>3197208</v>
      </c>
      <c r="I1652" s="4" t="s">
        <v>685</v>
      </c>
      <c r="J1652" s="4" t="s">
        <v>351</v>
      </c>
      <c r="K1652" s="4">
        <v>3201001</v>
      </c>
    </row>
    <row r="1653" spans="1:43" s="3" customFormat="1" x14ac:dyDescent="0.3">
      <c r="B1653" s="44">
        <v>45969</v>
      </c>
      <c r="C1653" s="3" t="s">
        <v>416</v>
      </c>
      <c r="D1653" s="3" t="s">
        <v>498</v>
      </c>
      <c r="E1653" s="42"/>
      <c r="F1653" s="3" t="s">
        <v>714</v>
      </c>
      <c r="G1653" s="3" t="s">
        <v>222</v>
      </c>
      <c r="H1653" s="4">
        <v>3348507</v>
      </c>
      <c r="I1653" s="3" t="s">
        <v>692</v>
      </c>
      <c r="J1653" s="3" t="s">
        <v>223</v>
      </c>
      <c r="K1653" s="4">
        <v>3348007</v>
      </c>
    </row>
    <row r="1654" spans="1:43" s="3" customFormat="1" x14ac:dyDescent="0.3">
      <c r="B1654" s="44">
        <v>45969</v>
      </c>
      <c r="C1654" s="3" t="s">
        <v>416</v>
      </c>
      <c r="D1654" s="4" t="s">
        <v>614</v>
      </c>
      <c r="E1654" s="42"/>
      <c r="F1654" s="3" t="s">
        <v>714</v>
      </c>
      <c r="G1654" s="3" t="s">
        <v>454</v>
      </c>
      <c r="H1654" s="4">
        <v>3820300</v>
      </c>
      <c r="I1654" s="4" t="s">
        <v>674</v>
      </c>
      <c r="J1654" s="4" t="s">
        <v>346</v>
      </c>
      <c r="K1654" s="4">
        <v>3208900</v>
      </c>
    </row>
    <row r="1655" spans="1:43" s="3" customFormat="1" x14ac:dyDescent="0.3">
      <c r="B1655" s="44">
        <v>45969</v>
      </c>
      <c r="C1655" s="3" t="s">
        <v>416</v>
      </c>
      <c r="D1655" s="3" t="s">
        <v>489</v>
      </c>
      <c r="E1655" s="4"/>
      <c r="F1655" s="3" t="s">
        <v>650</v>
      </c>
      <c r="G1655" s="3" t="s">
        <v>163</v>
      </c>
      <c r="H1655" s="4">
        <v>3351802</v>
      </c>
      <c r="I1655" s="3" t="s">
        <v>678</v>
      </c>
      <c r="J1655" s="3" t="s">
        <v>131</v>
      </c>
      <c r="K1655" s="4">
        <v>3350605</v>
      </c>
    </row>
    <row r="1656" spans="1:43" s="3" customFormat="1" x14ac:dyDescent="0.3">
      <c r="B1656" s="44">
        <v>45969</v>
      </c>
      <c r="C1656" s="3" t="s">
        <v>416</v>
      </c>
      <c r="D1656" s="3" t="s">
        <v>590</v>
      </c>
      <c r="E1656" s="42"/>
      <c r="F1656" s="4" t="s">
        <v>650</v>
      </c>
      <c r="G1656" s="4" t="s">
        <v>277</v>
      </c>
      <c r="H1656" s="4">
        <v>3088400</v>
      </c>
      <c r="I1656" s="3" t="s">
        <v>648</v>
      </c>
      <c r="J1656" s="3" t="s">
        <v>449</v>
      </c>
      <c r="K1656" s="4">
        <v>3961500</v>
      </c>
    </row>
    <row r="1657" spans="1:43" s="3" customFormat="1" x14ac:dyDescent="0.3">
      <c r="B1657" s="44">
        <v>45969</v>
      </c>
      <c r="C1657" s="3" t="s">
        <v>416</v>
      </c>
      <c r="D1657" s="3" t="s">
        <v>610</v>
      </c>
      <c r="E1657" s="42"/>
      <c r="F1657" s="3" t="s">
        <v>650</v>
      </c>
      <c r="G1657" s="3" t="s">
        <v>353</v>
      </c>
      <c r="H1657" s="4">
        <v>3200200</v>
      </c>
      <c r="I1657" s="4" t="s">
        <v>711</v>
      </c>
      <c r="J1657" s="4" t="s">
        <v>381</v>
      </c>
      <c r="K1657" s="4">
        <v>3201209</v>
      </c>
    </row>
    <row r="1658" spans="1:43" s="3" customFormat="1" x14ac:dyDescent="0.3">
      <c r="A1658" s="4"/>
      <c r="B1658" s="99">
        <v>45969</v>
      </c>
      <c r="C1658" s="98" t="s">
        <v>553</v>
      </c>
      <c r="D1658" s="4" t="s">
        <v>514</v>
      </c>
      <c r="E1658" s="4"/>
      <c r="F1658" s="73" t="s">
        <v>547</v>
      </c>
      <c r="G1658" s="73" t="s">
        <v>547</v>
      </c>
      <c r="H1658" s="73"/>
      <c r="I1658" s="73" t="s">
        <v>479</v>
      </c>
      <c r="J1658" s="73" t="s">
        <v>479</v>
      </c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</row>
    <row r="1659" spans="1:43" s="3" customFormat="1" x14ac:dyDescent="0.3">
      <c r="B1659" s="44">
        <v>45969</v>
      </c>
      <c r="C1659" s="3" t="s">
        <v>416</v>
      </c>
      <c r="D1659" s="3" t="s">
        <v>67</v>
      </c>
      <c r="E1659" s="42"/>
      <c r="F1659" s="4" t="s">
        <v>715</v>
      </c>
      <c r="G1659" s="4" t="s">
        <v>377</v>
      </c>
      <c r="H1659" s="4">
        <v>3200106</v>
      </c>
      <c r="I1659" s="3" t="s">
        <v>672</v>
      </c>
      <c r="J1659" s="3" t="s">
        <v>375</v>
      </c>
      <c r="K1659" s="4">
        <v>3069209</v>
      </c>
    </row>
    <row r="1660" spans="1:43" s="3" customFormat="1" x14ac:dyDescent="0.3">
      <c r="B1660" s="44">
        <v>45969</v>
      </c>
      <c r="C1660" s="3" t="s">
        <v>416</v>
      </c>
      <c r="D1660" s="3" t="s">
        <v>487</v>
      </c>
      <c r="E1660" s="4"/>
      <c r="F1660" s="4" t="s">
        <v>710</v>
      </c>
      <c r="G1660" s="4" t="s">
        <v>113</v>
      </c>
      <c r="H1660" s="4">
        <v>3352009</v>
      </c>
      <c r="I1660" s="4" t="s">
        <v>471</v>
      </c>
      <c r="J1660" s="4" t="s">
        <v>133</v>
      </c>
      <c r="K1660" s="4">
        <v>3348705</v>
      </c>
    </row>
    <row r="1661" spans="1:43" s="3" customFormat="1" x14ac:dyDescent="0.3">
      <c r="B1661" s="44">
        <v>45969</v>
      </c>
      <c r="C1661" s="3" t="s">
        <v>416</v>
      </c>
      <c r="D1661" s="3" t="s">
        <v>496</v>
      </c>
      <c r="E1661" s="42"/>
      <c r="F1661" s="4" t="s">
        <v>710</v>
      </c>
      <c r="G1661" s="4" t="s">
        <v>206</v>
      </c>
      <c r="H1661" s="4">
        <v>3352103</v>
      </c>
      <c r="I1661" s="4" t="s">
        <v>687</v>
      </c>
      <c r="J1661" s="4" t="s">
        <v>207</v>
      </c>
      <c r="K1661" s="4">
        <v>3346801</v>
      </c>
    </row>
    <row r="1662" spans="1:43" s="3" customFormat="1" x14ac:dyDescent="0.3">
      <c r="B1662" s="44">
        <v>45969</v>
      </c>
      <c r="C1662" s="3" t="s">
        <v>416</v>
      </c>
      <c r="D1662" s="4" t="s">
        <v>614</v>
      </c>
      <c r="E1662" s="42"/>
      <c r="F1662" s="3" t="s">
        <v>710</v>
      </c>
      <c r="G1662" s="3" t="s">
        <v>384</v>
      </c>
      <c r="H1662" s="4">
        <v>3199508</v>
      </c>
      <c r="I1662" s="4" t="s">
        <v>675</v>
      </c>
      <c r="J1662" s="4" t="s">
        <v>403</v>
      </c>
      <c r="K1662" s="4">
        <v>3198509</v>
      </c>
    </row>
    <row r="1663" spans="1:43" s="3" customFormat="1" x14ac:dyDescent="0.3">
      <c r="A1663" s="4"/>
      <c r="B1663" s="100">
        <v>45969</v>
      </c>
      <c r="C1663" s="98" t="s">
        <v>553</v>
      </c>
      <c r="D1663" s="4" t="s">
        <v>512</v>
      </c>
      <c r="E1663" s="4"/>
      <c r="F1663" s="73" t="s">
        <v>477</v>
      </c>
      <c r="G1663" s="73" t="s">
        <v>477</v>
      </c>
      <c r="H1663" s="73"/>
      <c r="I1663" s="73" t="s">
        <v>527</v>
      </c>
      <c r="J1663" s="73" t="s">
        <v>527</v>
      </c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</row>
    <row r="1664" spans="1:43" s="3" customFormat="1" x14ac:dyDescent="0.3">
      <c r="B1664" s="44">
        <v>45969</v>
      </c>
      <c r="C1664" s="3" t="s">
        <v>416</v>
      </c>
      <c r="D1664" s="3" t="s">
        <v>61</v>
      </c>
      <c r="E1664" s="42"/>
      <c r="F1664" s="4" t="s">
        <v>477</v>
      </c>
      <c r="G1664" s="4" t="s">
        <v>308</v>
      </c>
      <c r="H1664" s="4">
        <v>3199300</v>
      </c>
      <c r="I1664" s="3" t="s">
        <v>696</v>
      </c>
      <c r="J1664" s="3" t="s">
        <v>307</v>
      </c>
      <c r="K1664" s="4">
        <v>3201907</v>
      </c>
    </row>
    <row r="1665" spans="1:43" s="3" customFormat="1" x14ac:dyDescent="0.3">
      <c r="B1665" s="44">
        <v>45969</v>
      </c>
      <c r="C1665" s="3" t="s">
        <v>416</v>
      </c>
      <c r="D1665" s="3" t="s">
        <v>61</v>
      </c>
      <c r="E1665" s="42"/>
      <c r="F1665" s="4" t="s">
        <v>477</v>
      </c>
      <c r="G1665" s="4" t="s">
        <v>332</v>
      </c>
      <c r="H1665" s="4">
        <v>3199206</v>
      </c>
      <c r="I1665" s="4" t="s">
        <v>720</v>
      </c>
      <c r="J1665" s="4" t="s">
        <v>335</v>
      </c>
      <c r="K1665" s="4">
        <v>3194201</v>
      </c>
    </row>
    <row r="1666" spans="1:43" s="3" customFormat="1" x14ac:dyDescent="0.3">
      <c r="B1666" s="44">
        <v>45969</v>
      </c>
      <c r="C1666" s="3" t="s">
        <v>416</v>
      </c>
      <c r="D1666" s="3" t="s">
        <v>60</v>
      </c>
      <c r="E1666" s="42"/>
      <c r="F1666" s="3" t="s">
        <v>706</v>
      </c>
      <c r="G1666" s="3" t="s">
        <v>299</v>
      </c>
      <c r="H1666" s="4">
        <v>3199102</v>
      </c>
      <c r="I1666" s="32" t="s">
        <v>705</v>
      </c>
      <c r="J1666" s="32" t="s">
        <v>293</v>
      </c>
      <c r="K1666" s="15">
        <v>3211705</v>
      </c>
    </row>
    <row r="1667" spans="1:43" s="3" customFormat="1" x14ac:dyDescent="0.3">
      <c r="B1667" s="44">
        <v>45969</v>
      </c>
      <c r="C1667" s="3" t="s">
        <v>416</v>
      </c>
      <c r="D1667" s="3" t="s">
        <v>486</v>
      </c>
      <c r="E1667" s="42"/>
      <c r="F1667" s="4" t="s">
        <v>645</v>
      </c>
      <c r="G1667" s="4" t="s">
        <v>104</v>
      </c>
      <c r="H1667" s="4">
        <v>3036308</v>
      </c>
      <c r="I1667" s="3" t="s">
        <v>480</v>
      </c>
      <c r="J1667" s="3" t="s">
        <v>406</v>
      </c>
      <c r="K1667" s="4">
        <v>3124501</v>
      </c>
    </row>
    <row r="1668" spans="1:43" s="3" customFormat="1" x14ac:dyDescent="0.3">
      <c r="B1668" s="44">
        <v>45969</v>
      </c>
      <c r="C1668" s="3" t="s">
        <v>416</v>
      </c>
      <c r="D1668" s="3" t="s">
        <v>61</v>
      </c>
      <c r="E1668" s="42"/>
      <c r="F1668" s="4" t="s">
        <v>645</v>
      </c>
      <c r="G1668" s="4" t="s">
        <v>309</v>
      </c>
      <c r="H1668" s="4">
        <v>3082104</v>
      </c>
      <c r="I1668" s="3" t="s">
        <v>684</v>
      </c>
      <c r="J1668" s="3" t="s">
        <v>306</v>
      </c>
      <c r="K1668" s="4">
        <v>3202604</v>
      </c>
    </row>
    <row r="1669" spans="1:43" s="3" customFormat="1" x14ac:dyDescent="0.3">
      <c r="B1669" s="44">
        <v>45969</v>
      </c>
      <c r="C1669" s="3" t="s">
        <v>416</v>
      </c>
      <c r="D1669" s="3" t="s">
        <v>63</v>
      </c>
      <c r="E1669" s="42"/>
      <c r="F1669" s="104" t="s">
        <v>645</v>
      </c>
      <c r="G1669" s="104" t="s">
        <v>333</v>
      </c>
      <c r="H1669" s="74">
        <v>3198801</v>
      </c>
      <c r="I1669" s="3" t="s">
        <v>684</v>
      </c>
      <c r="J1669" s="3" t="s">
        <v>369</v>
      </c>
      <c r="K1669" s="74">
        <v>3202708</v>
      </c>
    </row>
    <row r="1670" spans="1:43" s="3" customFormat="1" x14ac:dyDescent="0.3">
      <c r="B1670" s="44">
        <v>45969</v>
      </c>
      <c r="C1670" s="3" t="s">
        <v>416</v>
      </c>
      <c r="D1670" s="3" t="s">
        <v>488</v>
      </c>
      <c r="E1670" s="42"/>
      <c r="F1670" s="4" t="s">
        <v>645</v>
      </c>
      <c r="G1670" s="4" t="s">
        <v>151</v>
      </c>
      <c r="H1670" s="4">
        <v>3351208</v>
      </c>
      <c r="I1670" s="3" t="s">
        <v>720</v>
      </c>
      <c r="J1670" s="3" t="s">
        <v>153</v>
      </c>
      <c r="K1670" s="4">
        <v>3033405</v>
      </c>
    </row>
    <row r="1671" spans="1:43" s="3" customFormat="1" x14ac:dyDescent="0.3">
      <c r="B1671" s="44">
        <v>45969</v>
      </c>
      <c r="C1671" s="3" t="s">
        <v>416</v>
      </c>
      <c r="D1671" s="3" t="s">
        <v>491</v>
      </c>
      <c r="E1671" s="42"/>
      <c r="F1671" s="4" t="s">
        <v>645</v>
      </c>
      <c r="G1671" s="4" t="s">
        <v>464</v>
      </c>
      <c r="H1671" s="4">
        <v>3351406</v>
      </c>
      <c r="I1671" s="3" t="s">
        <v>684</v>
      </c>
      <c r="J1671" s="3" t="s">
        <v>149</v>
      </c>
      <c r="K1671" s="4">
        <v>3354507</v>
      </c>
    </row>
    <row r="1672" spans="1:43" s="3" customFormat="1" x14ac:dyDescent="0.3">
      <c r="B1672" s="44">
        <v>45969</v>
      </c>
      <c r="C1672" s="3" t="s">
        <v>416</v>
      </c>
      <c r="D1672" s="3" t="s">
        <v>496</v>
      </c>
      <c r="E1672" s="42"/>
      <c r="F1672" s="4" t="s">
        <v>716</v>
      </c>
      <c r="G1672" s="4" t="s">
        <v>427</v>
      </c>
      <c r="H1672" s="4">
        <v>3351500</v>
      </c>
      <c r="I1672" s="3" t="s">
        <v>671</v>
      </c>
      <c r="J1672" s="3" t="s">
        <v>203</v>
      </c>
      <c r="K1672" s="4">
        <v>3359304</v>
      </c>
    </row>
    <row r="1673" spans="1:43" s="3" customFormat="1" x14ac:dyDescent="0.3">
      <c r="B1673" s="44">
        <v>45969</v>
      </c>
      <c r="C1673" s="3" t="s">
        <v>416</v>
      </c>
      <c r="D1673" s="3" t="s">
        <v>610</v>
      </c>
      <c r="E1673" s="42"/>
      <c r="F1673" s="3" t="s">
        <v>716</v>
      </c>
      <c r="G1673" s="3" t="s">
        <v>433</v>
      </c>
      <c r="H1673" s="4">
        <v>3198905</v>
      </c>
      <c r="I1673" s="4" t="s">
        <v>474</v>
      </c>
      <c r="J1673" s="4" t="s">
        <v>458</v>
      </c>
      <c r="K1673" s="4">
        <v>3200304</v>
      </c>
    </row>
    <row r="1674" spans="1:43" s="3" customFormat="1" x14ac:dyDescent="0.3">
      <c r="B1674" s="44">
        <v>45969</v>
      </c>
      <c r="C1674" s="3" t="s">
        <v>416</v>
      </c>
      <c r="D1674" s="3" t="s">
        <v>497</v>
      </c>
      <c r="E1674" s="42"/>
      <c r="F1674" s="3" t="s">
        <v>678</v>
      </c>
      <c r="G1674" s="3" t="s">
        <v>172</v>
      </c>
      <c r="H1674" s="74">
        <v>3350709</v>
      </c>
      <c r="I1674" s="3" t="s">
        <v>681</v>
      </c>
      <c r="J1674" s="3" t="s">
        <v>175</v>
      </c>
      <c r="K1674" s="74">
        <v>3347800</v>
      </c>
    </row>
    <row r="1675" spans="1:43" s="3" customFormat="1" x14ac:dyDescent="0.3">
      <c r="B1675" s="44">
        <v>45969</v>
      </c>
      <c r="C1675" s="3" t="s">
        <v>416</v>
      </c>
      <c r="D1675" s="3" t="s">
        <v>499</v>
      </c>
      <c r="E1675" s="42"/>
      <c r="F1675" s="3" t="s">
        <v>675</v>
      </c>
      <c r="G1675" s="3" t="s">
        <v>572</v>
      </c>
      <c r="H1675" s="53">
        <v>3350303</v>
      </c>
      <c r="I1675" s="3" t="s">
        <v>665</v>
      </c>
      <c r="J1675" s="3" t="s">
        <v>461</v>
      </c>
      <c r="K1675" s="4">
        <v>3818702</v>
      </c>
    </row>
    <row r="1676" spans="1:43" s="3" customFormat="1" x14ac:dyDescent="0.3">
      <c r="B1676" s="44">
        <v>45969</v>
      </c>
      <c r="C1676" s="3" t="s">
        <v>416</v>
      </c>
      <c r="D1676" s="3" t="s">
        <v>497</v>
      </c>
      <c r="E1676" s="42"/>
      <c r="F1676" s="17" t="s">
        <v>691</v>
      </c>
      <c r="G1676" s="17" t="s">
        <v>215</v>
      </c>
      <c r="H1676" s="74">
        <v>3350407</v>
      </c>
      <c r="I1676" s="4" t="s">
        <v>654</v>
      </c>
      <c r="J1676" s="4" t="s">
        <v>216</v>
      </c>
      <c r="K1676" s="4">
        <v>3349808</v>
      </c>
    </row>
    <row r="1677" spans="1:43" s="3" customFormat="1" x14ac:dyDescent="0.3">
      <c r="B1677" s="44">
        <v>45969</v>
      </c>
      <c r="C1677" s="3" t="s">
        <v>416</v>
      </c>
      <c r="D1677" s="3" t="s">
        <v>65</v>
      </c>
      <c r="E1677" s="42"/>
      <c r="F1677" s="15" t="s">
        <v>691</v>
      </c>
      <c r="G1677" s="15" t="s">
        <v>327</v>
      </c>
      <c r="H1677" s="74">
        <v>3198603</v>
      </c>
      <c r="I1677" s="4" t="s">
        <v>678</v>
      </c>
      <c r="J1677" s="4" t="s">
        <v>452</v>
      </c>
      <c r="K1677" s="4">
        <v>3198207</v>
      </c>
    </row>
    <row r="1678" spans="1:43" s="3" customFormat="1" x14ac:dyDescent="0.3">
      <c r="B1678" s="44">
        <v>45969</v>
      </c>
      <c r="C1678" s="3" t="s">
        <v>416</v>
      </c>
      <c r="D1678" s="3" t="s">
        <v>70</v>
      </c>
      <c r="E1678" s="42"/>
      <c r="F1678" s="3" t="s">
        <v>689</v>
      </c>
      <c r="G1678" s="3" t="s">
        <v>404</v>
      </c>
      <c r="H1678" s="53">
        <v>3196605</v>
      </c>
      <c r="I1678" s="3" t="s">
        <v>688</v>
      </c>
      <c r="J1678" s="3" t="s">
        <v>460</v>
      </c>
      <c r="K1678" s="4">
        <v>3194503</v>
      </c>
    </row>
    <row r="1679" spans="1:43" s="3" customFormat="1" x14ac:dyDescent="0.3">
      <c r="B1679" s="44">
        <v>45969</v>
      </c>
      <c r="C1679" s="3" t="s">
        <v>416</v>
      </c>
      <c r="D1679" s="3" t="s">
        <v>501</v>
      </c>
      <c r="E1679" s="42"/>
      <c r="F1679" s="3" t="s">
        <v>689</v>
      </c>
      <c r="G1679" s="3" t="s">
        <v>580</v>
      </c>
      <c r="H1679" s="4">
        <v>3350001</v>
      </c>
      <c r="I1679" s="3" t="s">
        <v>662</v>
      </c>
      <c r="J1679" s="3" t="s">
        <v>243</v>
      </c>
      <c r="K1679" s="4">
        <v>3899907</v>
      </c>
      <c r="M1679" s="51"/>
    </row>
    <row r="1680" spans="1:43" s="3" customFormat="1" x14ac:dyDescent="0.3">
      <c r="A1680" s="4"/>
      <c r="B1680" s="100">
        <v>45969</v>
      </c>
      <c r="C1680" s="98" t="s">
        <v>553</v>
      </c>
      <c r="D1680" s="4" t="s">
        <v>508</v>
      </c>
      <c r="E1680" s="4"/>
      <c r="F1680" s="73" t="s">
        <v>510</v>
      </c>
      <c r="G1680" s="73" t="s">
        <v>510</v>
      </c>
      <c r="H1680" s="73"/>
      <c r="I1680" s="73" t="s">
        <v>473</v>
      </c>
      <c r="J1680" s="73" t="s">
        <v>473</v>
      </c>
      <c r="K1680" s="15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</row>
    <row r="1681" spans="1:43" s="3" customFormat="1" x14ac:dyDescent="0.3">
      <c r="B1681" s="44">
        <v>45969</v>
      </c>
      <c r="C1681" s="3" t="s">
        <v>416</v>
      </c>
      <c r="D1681" s="3" t="s">
        <v>490</v>
      </c>
      <c r="E1681" s="4"/>
      <c r="F1681" s="3" t="s">
        <v>654</v>
      </c>
      <c r="G1681" s="3" t="s">
        <v>143</v>
      </c>
      <c r="H1681" s="4">
        <v>3349704</v>
      </c>
      <c r="I1681" s="4" t="s">
        <v>479</v>
      </c>
      <c r="J1681" s="4" t="s">
        <v>136</v>
      </c>
      <c r="K1681" s="4">
        <v>3360903</v>
      </c>
    </row>
    <row r="1682" spans="1:43" s="3" customFormat="1" x14ac:dyDescent="0.3">
      <c r="B1682" s="44">
        <v>45969</v>
      </c>
      <c r="C1682" s="3" t="s">
        <v>416</v>
      </c>
      <c r="D1682" s="3" t="s">
        <v>497</v>
      </c>
      <c r="E1682" s="42"/>
      <c r="F1682" s="3" t="s">
        <v>654</v>
      </c>
      <c r="G1682" s="3" t="s">
        <v>438</v>
      </c>
      <c r="H1682" s="74">
        <v>3906207</v>
      </c>
      <c r="I1682" s="17" t="s">
        <v>653</v>
      </c>
      <c r="J1682" s="17" t="s">
        <v>208</v>
      </c>
      <c r="K1682" s="74">
        <v>3361308</v>
      </c>
    </row>
    <row r="1683" spans="1:43" s="3" customFormat="1" x14ac:dyDescent="0.3">
      <c r="B1683" s="44">
        <v>45969</v>
      </c>
      <c r="C1683" s="3" t="s">
        <v>416</v>
      </c>
      <c r="D1683" s="3" t="s">
        <v>58</v>
      </c>
      <c r="E1683" s="42"/>
      <c r="F1683" s="3" t="s">
        <v>712</v>
      </c>
      <c r="G1683" s="3" t="s">
        <v>270</v>
      </c>
      <c r="H1683" s="4">
        <v>3069605</v>
      </c>
      <c r="I1683" s="3" t="s">
        <v>706</v>
      </c>
      <c r="J1683" s="3" t="s">
        <v>269</v>
      </c>
      <c r="K1683" s="4">
        <v>3069407</v>
      </c>
    </row>
    <row r="1684" spans="1:43" s="3" customFormat="1" x14ac:dyDescent="0.3">
      <c r="B1684" s="44">
        <v>45969</v>
      </c>
      <c r="C1684" s="3" t="s">
        <v>416</v>
      </c>
      <c r="D1684" s="3" t="s">
        <v>495</v>
      </c>
      <c r="E1684" s="42"/>
      <c r="F1684" s="3" t="s">
        <v>712</v>
      </c>
      <c r="G1684" s="3" t="s">
        <v>164</v>
      </c>
      <c r="H1684" s="4">
        <v>3349402</v>
      </c>
      <c r="I1684" s="3" t="s">
        <v>713</v>
      </c>
      <c r="J1684" s="3" t="s">
        <v>199</v>
      </c>
      <c r="K1684" s="4">
        <v>3349100</v>
      </c>
    </row>
    <row r="1685" spans="1:43" s="3" customFormat="1" x14ac:dyDescent="0.3">
      <c r="B1685" s="44">
        <v>45969</v>
      </c>
      <c r="C1685" s="3" t="s">
        <v>416</v>
      </c>
      <c r="D1685" s="3" t="s">
        <v>63</v>
      </c>
      <c r="E1685" s="42"/>
      <c r="F1685" s="104" t="s">
        <v>712</v>
      </c>
      <c r="G1685" s="104" t="s">
        <v>334</v>
      </c>
      <c r="H1685" s="74">
        <v>3198009</v>
      </c>
      <c r="I1685" s="3" t="s">
        <v>697</v>
      </c>
      <c r="J1685" s="3" t="s">
        <v>448</v>
      </c>
      <c r="K1685" s="4">
        <v>3036808</v>
      </c>
    </row>
    <row r="1686" spans="1:43" s="3" customFormat="1" x14ac:dyDescent="0.3">
      <c r="B1686" s="44">
        <v>45969</v>
      </c>
      <c r="C1686" s="3" t="s">
        <v>416</v>
      </c>
      <c r="D1686" s="3" t="s">
        <v>492</v>
      </c>
      <c r="E1686" s="42"/>
      <c r="F1686" s="4" t="s">
        <v>713</v>
      </c>
      <c r="G1686" s="4" t="s">
        <v>165</v>
      </c>
      <c r="H1686" s="4">
        <v>3349006</v>
      </c>
      <c r="I1686" s="3" t="s">
        <v>474</v>
      </c>
      <c r="J1686" s="3" t="s">
        <v>161</v>
      </c>
      <c r="K1686" s="4">
        <v>3352509</v>
      </c>
    </row>
    <row r="1687" spans="1:43" s="3" customFormat="1" x14ac:dyDescent="0.3">
      <c r="B1687" s="44">
        <v>45969</v>
      </c>
      <c r="C1687" s="3" t="s">
        <v>416</v>
      </c>
      <c r="D1687" s="3" t="s">
        <v>500</v>
      </c>
      <c r="E1687" s="42"/>
      <c r="F1687" s="3" t="s">
        <v>663</v>
      </c>
      <c r="G1687" s="3" t="s">
        <v>239</v>
      </c>
      <c r="H1687" s="4">
        <v>3348809</v>
      </c>
      <c r="I1687" s="4" t="s">
        <v>701</v>
      </c>
      <c r="J1687" s="4" t="s">
        <v>236</v>
      </c>
      <c r="K1687" s="4">
        <v>3355704</v>
      </c>
    </row>
    <row r="1688" spans="1:43" s="3" customFormat="1" x14ac:dyDescent="0.3">
      <c r="B1688" s="44">
        <v>45969</v>
      </c>
      <c r="C1688" s="3" t="s">
        <v>416</v>
      </c>
      <c r="D1688" s="3" t="s">
        <v>69</v>
      </c>
      <c r="E1688" s="42"/>
      <c r="F1688" s="3" t="s">
        <v>663</v>
      </c>
      <c r="G1688" s="3" t="s">
        <v>362</v>
      </c>
      <c r="H1688" s="4">
        <v>3197406</v>
      </c>
      <c r="I1688" s="3" t="s">
        <v>471</v>
      </c>
      <c r="J1688" s="3" t="s">
        <v>364</v>
      </c>
      <c r="K1688" s="4">
        <v>3197000</v>
      </c>
    </row>
    <row r="1689" spans="1:43" s="3" customFormat="1" x14ac:dyDescent="0.3">
      <c r="B1689" s="44">
        <v>45969</v>
      </c>
      <c r="C1689" s="3" t="s">
        <v>416</v>
      </c>
      <c r="D1689" s="3" t="s">
        <v>593</v>
      </c>
      <c r="E1689" s="42"/>
      <c r="F1689" s="3" t="s">
        <v>663</v>
      </c>
      <c r="G1689" s="3" t="s">
        <v>396</v>
      </c>
      <c r="H1689" s="4">
        <v>3197104</v>
      </c>
      <c r="I1689" s="4" t="s">
        <v>681</v>
      </c>
      <c r="J1689" s="4" t="s">
        <v>397</v>
      </c>
      <c r="K1689" s="4">
        <v>3195908</v>
      </c>
    </row>
    <row r="1690" spans="1:43" s="3" customFormat="1" x14ac:dyDescent="0.3">
      <c r="A1690" s="4"/>
      <c r="B1690" s="99">
        <v>45969</v>
      </c>
      <c r="C1690" s="98" t="s">
        <v>553</v>
      </c>
      <c r="D1690" s="4" t="s">
        <v>506</v>
      </c>
      <c r="E1690" s="4"/>
      <c r="F1690" s="73" t="s">
        <v>544</v>
      </c>
      <c r="G1690" s="73" t="s">
        <v>544</v>
      </c>
      <c r="H1690" s="73"/>
      <c r="I1690" s="73" t="s">
        <v>480</v>
      </c>
      <c r="J1690" s="73" t="s">
        <v>480</v>
      </c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</row>
    <row r="1691" spans="1:43" s="3" customFormat="1" x14ac:dyDescent="0.3">
      <c r="B1691" s="44">
        <v>45969</v>
      </c>
      <c r="C1691" s="3" t="s">
        <v>416</v>
      </c>
      <c r="D1691" s="3" t="s">
        <v>590</v>
      </c>
      <c r="E1691" s="42"/>
      <c r="F1691" s="4" t="s">
        <v>471</v>
      </c>
      <c r="G1691" s="4" t="s">
        <v>291</v>
      </c>
      <c r="H1691" s="4">
        <v>3196709</v>
      </c>
      <c r="I1691" s="4" t="s">
        <v>657</v>
      </c>
      <c r="J1691" s="4" t="s">
        <v>321</v>
      </c>
      <c r="K1691" s="4">
        <v>3209607</v>
      </c>
    </row>
    <row r="1692" spans="1:43" s="3" customFormat="1" x14ac:dyDescent="0.3">
      <c r="B1692" s="44">
        <v>45969</v>
      </c>
      <c r="C1692" s="3" t="s">
        <v>416</v>
      </c>
      <c r="D1692" s="3" t="s">
        <v>493</v>
      </c>
      <c r="E1692" s="42"/>
      <c r="F1692" s="3" t="s">
        <v>471</v>
      </c>
      <c r="G1692" s="3" t="s">
        <v>174</v>
      </c>
      <c r="H1692" s="4">
        <v>3348101</v>
      </c>
      <c r="I1692" s="4" t="s">
        <v>657</v>
      </c>
      <c r="J1692" s="4" t="s">
        <v>167</v>
      </c>
      <c r="K1692" s="4">
        <v>3359804</v>
      </c>
    </row>
    <row r="1693" spans="1:43" s="3" customFormat="1" x14ac:dyDescent="0.3">
      <c r="B1693" s="44">
        <v>45969</v>
      </c>
      <c r="C1693" s="3" t="s">
        <v>416</v>
      </c>
      <c r="D1693" s="3" t="s">
        <v>65</v>
      </c>
      <c r="E1693" s="42"/>
      <c r="F1693" s="3" t="s">
        <v>471</v>
      </c>
      <c r="G1693" s="3" t="s">
        <v>363</v>
      </c>
      <c r="H1693" s="4">
        <v>3196907</v>
      </c>
      <c r="I1693" s="4" t="s">
        <v>476</v>
      </c>
      <c r="J1693" s="4" t="s">
        <v>358</v>
      </c>
      <c r="K1693" s="4">
        <v>3206402</v>
      </c>
    </row>
    <row r="1694" spans="1:43" s="3" customFormat="1" x14ac:dyDescent="0.3">
      <c r="B1694" s="44">
        <v>45969</v>
      </c>
      <c r="C1694" s="3" t="s">
        <v>416</v>
      </c>
      <c r="D1694" s="3" t="s">
        <v>493</v>
      </c>
      <c r="E1694" s="42"/>
      <c r="F1694" s="3" t="s">
        <v>471</v>
      </c>
      <c r="G1694" s="3" t="s">
        <v>217</v>
      </c>
      <c r="H1694" s="4">
        <v>3348309</v>
      </c>
      <c r="I1694" s="4" t="s">
        <v>663</v>
      </c>
      <c r="J1694" s="4" t="s">
        <v>173</v>
      </c>
      <c r="K1694" s="4">
        <v>3349308</v>
      </c>
    </row>
    <row r="1695" spans="1:43" s="3" customFormat="1" x14ac:dyDescent="0.3">
      <c r="B1695" s="44">
        <v>45969</v>
      </c>
      <c r="C1695" s="3" t="s">
        <v>416</v>
      </c>
      <c r="D1695" s="3" t="s">
        <v>497</v>
      </c>
      <c r="E1695" s="42"/>
      <c r="F1695" s="15" t="s">
        <v>471</v>
      </c>
      <c r="G1695" s="15" t="s">
        <v>240</v>
      </c>
      <c r="H1695" s="74">
        <v>3348403</v>
      </c>
      <c r="I1695" s="17" t="s">
        <v>657</v>
      </c>
      <c r="J1695" s="17" t="s">
        <v>213</v>
      </c>
      <c r="K1695" s="74">
        <v>3359502</v>
      </c>
    </row>
    <row r="1696" spans="1:43" s="3" customFormat="1" x14ac:dyDescent="0.3">
      <c r="B1696" s="44">
        <v>45969</v>
      </c>
      <c r="C1696" s="3" t="s">
        <v>416</v>
      </c>
      <c r="D1696" s="3" t="s">
        <v>500</v>
      </c>
      <c r="E1696" s="42"/>
      <c r="F1696" s="3" t="s">
        <v>471</v>
      </c>
      <c r="G1696" s="3" t="s">
        <v>467</v>
      </c>
      <c r="H1696" s="4">
        <v>3819409</v>
      </c>
      <c r="I1696" s="4" t="s">
        <v>691</v>
      </c>
      <c r="J1696" s="4" t="s">
        <v>238</v>
      </c>
      <c r="K1696" s="4">
        <v>3350105</v>
      </c>
    </row>
    <row r="1697" spans="2:13" s="3" customFormat="1" x14ac:dyDescent="0.3">
      <c r="B1697" s="44">
        <v>45969</v>
      </c>
      <c r="C1697" s="3" t="s">
        <v>416</v>
      </c>
      <c r="D1697" s="3" t="s">
        <v>70</v>
      </c>
      <c r="E1697" s="42"/>
      <c r="F1697" s="3" t="s">
        <v>692</v>
      </c>
      <c r="G1697" s="3" t="s">
        <v>378</v>
      </c>
      <c r="H1697" s="4">
        <v>3197802</v>
      </c>
      <c r="I1697" s="3" t="s">
        <v>662</v>
      </c>
      <c r="J1697" s="3" t="s">
        <v>399</v>
      </c>
      <c r="K1697" s="4">
        <v>3207401</v>
      </c>
    </row>
    <row r="1698" spans="2:13" s="3" customFormat="1" x14ac:dyDescent="0.3">
      <c r="B1698" s="44">
        <v>45969</v>
      </c>
      <c r="C1698" s="3" t="s">
        <v>416</v>
      </c>
      <c r="D1698" s="3" t="s">
        <v>501</v>
      </c>
      <c r="E1698" s="42"/>
      <c r="F1698" s="3" t="s">
        <v>692</v>
      </c>
      <c r="G1698" s="3" t="s">
        <v>582</v>
      </c>
      <c r="H1698" s="53">
        <v>3900901</v>
      </c>
      <c r="I1698" s="3" t="s">
        <v>689</v>
      </c>
      <c r="J1698" s="3" t="s">
        <v>581</v>
      </c>
      <c r="K1698" s="4">
        <v>4022804</v>
      </c>
      <c r="M1698" s="51"/>
    </row>
    <row r="1699" spans="2:13" s="3" customFormat="1" x14ac:dyDescent="0.3">
      <c r="B1699" s="44">
        <v>45969</v>
      </c>
      <c r="C1699" s="3" t="s">
        <v>416</v>
      </c>
      <c r="D1699" s="3" t="s">
        <v>491</v>
      </c>
      <c r="E1699" s="42"/>
      <c r="F1699" s="3" t="s">
        <v>698</v>
      </c>
      <c r="G1699" s="3" t="s">
        <v>567</v>
      </c>
      <c r="H1699" s="4" t="s">
        <v>556</v>
      </c>
      <c r="I1699" s="3" t="s">
        <v>697</v>
      </c>
      <c r="J1699" s="3" t="s">
        <v>150</v>
      </c>
      <c r="K1699" s="4">
        <v>3353706</v>
      </c>
    </row>
    <row r="1700" spans="2:13" s="3" customFormat="1" x14ac:dyDescent="0.3">
      <c r="B1700" s="44">
        <v>45969</v>
      </c>
      <c r="C1700" s="3" t="s">
        <v>416</v>
      </c>
      <c r="D1700" s="3" t="s">
        <v>60</v>
      </c>
      <c r="E1700" s="42"/>
      <c r="F1700" s="3" t="s">
        <v>698</v>
      </c>
      <c r="G1700" s="3" t="s">
        <v>595</v>
      </c>
      <c r="H1700" s="4" t="s">
        <v>563</v>
      </c>
      <c r="I1700" s="3" t="s">
        <v>707</v>
      </c>
      <c r="J1700" s="3" t="s">
        <v>295</v>
      </c>
      <c r="K1700" s="32">
        <v>3207505</v>
      </c>
    </row>
    <row r="1701" spans="2:13" s="3" customFormat="1" x14ac:dyDescent="0.3">
      <c r="B1701" s="44">
        <v>45969</v>
      </c>
      <c r="C1701" s="3" t="s">
        <v>416</v>
      </c>
      <c r="D1701" s="3" t="s">
        <v>495</v>
      </c>
      <c r="E1701" s="42"/>
      <c r="F1701" s="3" t="s">
        <v>699</v>
      </c>
      <c r="G1701" s="3" t="s">
        <v>569</v>
      </c>
      <c r="H1701" s="4">
        <v>3125708</v>
      </c>
      <c r="I1701" s="3" t="s">
        <v>666</v>
      </c>
      <c r="J1701" s="3" t="s">
        <v>192</v>
      </c>
      <c r="K1701" s="53">
        <v>3357004</v>
      </c>
    </row>
    <row r="1702" spans="2:13" s="3" customFormat="1" x14ac:dyDescent="0.3">
      <c r="B1702" s="44">
        <v>45969</v>
      </c>
      <c r="C1702" s="3" t="s">
        <v>416</v>
      </c>
      <c r="D1702" s="3" t="s">
        <v>590</v>
      </c>
      <c r="E1702" s="42"/>
      <c r="F1702" s="4" t="s">
        <v>699</v>
      </c>
      <c r="G1702" s="4" t="s">
        <v>594</v>
      </c>
      <c r="H1702" s="4">
        <v>3196407</v>
      </c>
      <c r="I1702" s="3" t="s">
        <v>676</v>
      </c>
      <c r="J1702" s="3" t="s">
        <v>285</v>
      </c>
      <c r="K1702" s="4">
        <v>3208504</v>
      </c>
    </row>
    <row r="1703" spans="2:13" s="3" customFormat="1" x14ac:dyDescent="0.3">
      <c r="B1703" s="44">
        <v>45969</v>
      </c>
      <c r="C1703" s="3" t="s">
        <v>416</v>
      </c>
      <c r="D1703" s="3" t="s">
        <v>64</v>
      </c>
      <c r="E1703" s="42">
        <v>4370907</v>
      </c>
      <c r="F1703" s="3" t="s">
        <v>670</v>
      </c>
      <c r="G1703" s="3" t="s">
        <v>343</v>
      </c>
      <c r="H1703" s="4">
        <v>3195606</v>
      </c>
      <c r="I1703" s="4" t="s">
        <v>692</v>
      </c>
      <c r="J1703" s="4" t="s">
        <v>342</v>
      </c>
      <c r="K1703" s="4">
        <v>3196501</v>
      </c>
    </row>
    <row r="1704" spans="2:13" s="3" customFormat="1" x14ac:dyDescent="0.3">
      <c r="B1704" s="44">
        <v>45969</v>
      </c>
      <c r="C1704" s="3" t="s">
        <v>416</v>
      </c>
      <c r="D1704" s="3" t="s">
        <v>495</v>
      </c>
      <c r="E1704" s="42"/>
      <c r="F1704" s="3" t="s">
        <v>670</v>
      </c>
      <c r="G1704" s="3" t="s">
        <v>224</v>
      </c>
      <c r="H1704" s="4">
        <v>3347008</v>
      </c>
      <c r="I1704" s="3" t="s">
        <v>646</v>
      </c>
      <c r="J1704" s="3" t="s">
        <v>195</v>
      </c>
      <c r="K1704" s="74">
        <v>3361600</v>
      </c>
    </row>
    <row r="1705" spans="2:13" s="3" customFormat="1" x14ac:dyDescent="0.3">
      <c r="B1705" s="44">
        <v>45969</v>
      </c>
      <c r="C1705" s="3" t="s">
        <v>416</v>
      </c>
      <c r="D1705" s="3" t="s">
        <v>64</v>
      </c>
      <c r="E1705" s="42">
        <v>4370907</v>
      </c>
      <c r="F1705" s="3" t="s">
        <v>673</v>
      </c>
      <c r="G1705" s="3" t="s">
        <v>355</v>
      </c>
      <c r="H1705" s="4">
        <v>3195002</v>
      </c>
      <c r="I1705" s="4" t="s">
        <v>646</v>
      </c>
      <c r="J1705" s="4" t="s">
        <v>349</v>
      </c>
      <c r="K1705" s="4">
        <v>3202500</v>
      </c>
    </row>
    <row r="1706" spans="2:13" s="3" customFormat="1" x14ac:dyDescent="0.3">
      <c r="B1706" s="44">
        <v>45969</v>
      </c>
      <c r="C1706" s="3" t="s">
        <v>416</v>
      </c>
      <c r="D1706" s="4" t="s">
        <v>614</v>
      </c>
      <c r="E1706" s="42"/>
      <c r="F1706" s="3" t="s">
        <v>673</v>
      </c>
      <c r="G1706" s="3" t="s">
        <v>455</v>
      </c>
      <c r="H1706" s="4">
        <v>3961604</v>
      </c>
      <c r="I1706" s="4" t="s">
        <v>699</v>
      </c>
      <c r="J1706" s="4" t="s">
        <v>624</v>
      </c>
      <c r="K1706" s="4">
        <v>3196105</v>
      </c>
    </row>
    <row r="1707" spans="2:13" s="3" customFormat="1" x14ac:dyDescent="0.3">
      <c r="B1707" s="44">
        <v>45969</v>
      </c>
      <c r="C1707" s="3" t="s">
        <v>416</v>
      </c>
      <c r="D1707" s="3" t="s">
        <v>495</v>
      </c>
      <c r="E1707" s="42"/>
      <c r="F1707" s="3" t="s">
        <v>673</v>
      </c>
      <c r="G1707" s="3" t="s">
        <v>200</v>
      </c>
      <c r="H1707" s="53">
        <v>3901004</v>
      </c>
      <c r="I1707" s="3" t="s">
        <v>570</v>
      </c>
      <c r="J1707" s="3" t="s">
        <v>570</v>
      </c>
      <c r="K1707" s="4" t="s">
        <v>556</v>
      </c>
    </row>
    <row r="1708" spans="2:13" s="3" customFormat="1" x14ac:dyDescent="0.3">
      <c r="B1708" s="44">
        <v>45969</v>
      </c>
      <c r="C1708" s="3" t="s">
        <v>416</v>
      </c>
      <c r="D1708" s="3" t="s">
        <v>67</v>
      </c>
      <c r="E1708" s="42"/>
      <c r="F1708" s="4" t="s">
        <v>717</v>
      </c>
      <c r="G1708" s="4" t="s">
        <v>435</v>
      </c>
      <c r="H1708" s="4">
        <v>3195200</v>
      </c>
      <c r="I1708" s="3" t="s">
        <v>708</v>
      </c>
      <c r="J1708" s="3" t="s">
        <v>339</v>
      </c>
      <c r="K1708" s="4">
        <v>3204300</v>
      </c>
    </row>
    <row r="1709" spans="2:13" s="3" customFormat="1" x14ac:dyDescent="0.3">
      <c r="B1709" s="44">
        <v>45969</v>
      </c>
      <c r="C1709" s="3" t="s">
        <v>416</v>
      </c>
      <c r="D1709" s="3" t="s">
        <v>501</v>
      </c>
      <c r="E1709" s="42"/>
      <c r="F1709" s="3" t="s">
        <v>717</v>
      </c>
      <c r="G1709" s="3" t="s">
        <v>583</v>
      </c>
      <c r="H1709" s="4">
        <v>4022908</v>
      </c>
      <c r="I1709" s="3" t="s">
        <v>475</v>
      </c>
      <c r="J1709" s="3" t="s">
        <v>241</v>
      </c>
      <c r="K1709" s="4">
        <v>3362401</v>
      </c>
      <c r="M1709" s="51"/>
    </row>
    <row r="1710" spans="2:13" s="3" customFormat="1" x14ac:dyDescent="0.3">
      <c r="B1710" s="44">
        <v>45969</v>
      </c>
      <c r="C1710" s="3" t="s">
        <v>416</v>
      </c>
      <c r="D1710" s="3" t="s">
        <v>62</v>
      </c>
      <c r="E1710" s="42"/>
      <c r="F1710" s="3" t="s">
        <v>679</v>
      </c>
      <c r="G1710" s="3" t="s">
        <v>292</v>
      </c>
      <c r="H1710" s="4">
        <v>3195304</v>
      </c>
      <c r="I1710" s="3" t="s">
        <v>701</v>
      </c>
      <c r="J1710" s="3" t="s">
        <v>360</v>
      </c>
      <c r="K1710" s="4">
        <v>3203801</v>
      </c>
    </row>
    <row r="1711" spans="2:13" s="3" customFormat="1" x14ac:dyDescent="0.3">
      <c r="B1711" s="44">
        <v>45969</v>
      </c>
      <c r="C1711" s="3" t="s">
        <v>416</v>
      </c>
      <c r="D1711" s="3" t="s">
        <v>500</v>
      </c>
      <c r="E1711" s="42"/>
      <c r="F1711" s="3" t="s">
        <v>679</v>
      </c>
      <c r="G1711" s="3" t="s">
        <v>466</v>
      </c>
      <c r="H1711" s="4">
        <v>3346707</v>
      </c>
      <c r="I1711" s="4" t="s">
        <v>676</v>
      </c>
      <c r="J1711" s="4" t="s">
        <v>577</v>
      </c>
      <c r="K1711" s="4" t="s">
        <v>556</v>
      </c>
    </row>
    <row r="1712" spans="2:13" s="3" customFormat="1" x14ac:dyDescent="0.3">
      <c r="B1712" s="44">
        <v>45969</v>
      </c>
      <c r="C1712" s="3" t="s">
        <v>416</v>
      </c>
      <c r="D1712" s="3" t="s">
        <v>487</v>
      </c>
      <c r="E1712" s="4"/>
      <c r="F1712" s="4" t="s">
        <v>721</v>
      </c>
      <c r="G1712" s="4" t="s">
        <v>124</v>
      </c>
      <c r="H1712" s="4">
        <v>3267501</v>
      </c>
      <c r="I1712" s="3" t="s">
        <v>663</v>
      </c>
      <c r="J1712" s="3" t="s">
        <v>419</v>
      </c>
      <c r="K1712" s="4">
        <v>3349204</v>
      </c>
    </row>
    <row r="1713" spans="1:43" s="3" customFormat="1" x14ac:dyDescent="0.3">
      <c r="B1713" s="44">
        <v>45969</v>
      </c>
      <c r="C1713" s="3" t="s">
        <v>416</v>
      </c>
      <c r="D1713" s="3" t="s">
        <v>58</v>
      </c>
      <c r="E1713" s="42"/>
      <c r="F1713" s="3" t="s">
        <v>721</v>
      </c>
      <c r="G1713" s="3" t="s">
        <v>271</v>
      </c>
      <c r="H1713" s="4">
        <v>3194701</v>
      </c>
      <c r="I1713" s="3" t="s">
        <v>698</v>
      </c>
      <c r="J1713" s="3" t="s">
        <v>587</v>
      </c>
      <c r="K1713" s="32" t="s">
        <v>563</v>
      </c>
    </row>
    <row r="1714" spans="1:43" s="3" customFormat="1" x14ac:dyDescent="0.3">
      <c r="B1714" s="44">
        <v>45969</v>
      </c>
      <c r="C1714" s="3" t="s">
        <v>416</v>
      </c>
      <c r="D1714" s="3" t="s">
        <v>60</v>
      </c>
      <c r="E1714" s="42"/>
      <c r="F1714" s="3" t="s">
        <v>721</v>
      </c>
      <c r="G1714" s="3" t="s">
        <v>300</v>
      </c>
      <c r="H1714" s="4">
        <v>3194805</v>
      </c>
      <c r="I1714" s="3" t="s">
        <v>667</v>
      </c>
      <c r="J1714" s="3" t="s">
        <v>444</v>
      </c>
      <c r="K1714" s="32">
        <v>3209909</v>
      </c>
    </row>
    <row r="1715" spans="1:43" s="3" customFormat="1" x14ac:dyDescent="0.3">
      <c r="B1715" s="44">
        <v>45969</v>
      </c>
      <c r="C1715" s="3" t="s">
        <v>416</v>
      </c>
      <c r="D1715" s="3" t="s">
        <v>489</v>
      </c>
      <c r="E1715" s="4"/>
      <c r="F1715" s="3" t="s">
        <v>688</v>
      </c>
      <c r="G1715" s="3" t="s">
        <v>10</v>
      </c>
      <c r="H1715" s="4">
        <v>3036204</v>
      </c>
      <c r="I1715" s="4" t="s">
        <v>682</v>
      </c>
      <c r="J1715" s="4" t="s">
        <v>564</v>
      </c>
      <c r="K1715" s="4">
        <v>3969804</v>
      </c>
    </row>
    <row r="1716" spans="1:43" s="3" customFormat="1" x14ac:dyDescent="0.3">
      <c r="B1716" s="44">
        <v>45969</v>
      </c>
      <c r="C1716" s="3" t="s">
        <v>416</v>
      </c>
      <c r="D1716" s="3" t="s">
        <v>56</v>
      </c>
      <c r="E1716" s="42"/>
      <c r="F1716" s="4" t="s">
        <v>688</v>
      </c>
      <c r="G1716" s="4" t="s">
        <v>264</v>
      </c>
      <c r="H1716" s="4">
        <v>3055603</v>
      </c>
      <c r="I1716" s="4" t="s">
        <v>471</v>
      </c>
      <c r="J1716" s="4" t="s">
        <v>441</v>
      </c>
      <c r="K1716" s="4">
        <v>3023409</v>
      </c>
    </row>
    <row r="1717" spans="1:43" s="3" customFormat="1" x14ac:dyDescent="0.3">
      <c r="B1717" s="44">
        <v>45969</v>
      </c>
      <c r="C1717" s="3" t="s">
        <v>416</v>
      </c>
      <c r="D1717" s="3" t="s">
        <v>498</v>
      </c>
      <c r="E1717" s="42"/>
      <c r="F1717" s="3" t="s">
        <v>688</v>
      </c>
      <c r="G1717" s="3" t="s">
        <v>146</v>
      </c>
      <c r="H1717" s="53">
        <v>3346405</v>
      </c>
      <c r="I1717" s="3" t="s">
        <v>689</v>
      </c>
      <c r="J1717" s="3" t="s">
        <v>468</v>
      </c>
      <c r="K1717" s="4">
        <v>3349902</v>
      </c>
    </row>
    <row r="1718" spans="1:43" s="3" customFormat="1" x14ac:dyDescent="0.3">
      <c r="B1718" s="44">
        <v>45969</v>
      </c>
      <c r="C1718" s="3" t="s">
        <v>416</v>
      </c>
      <c r="D1718" s="3" t="s">
        <v>487</v>
      </c>
      <c r="E1718" s="4"/>
      <c r="F1718" s="3" t="s">
        <v>647</v>
      </c>
      <c r="G1718" s="3" t="s">
        <v>116</v>
      </c>
      <c r="H1718" s="4">
        <v>3346009</v>
      </c>
      <c r="I1718" s="3" t="s">
        <v>479</v>
      </c>
      <c r="J1718" s="3" t="s">
        <v>127</v>
      </c>
      <c r="K1718" s="4">
        <v>3360809</v>
      </c>
    </row>
    <row r="1719" spans="1:43" s="3" customFormat="1" x14ac:dyDescent="0.3">
      <c r="B1719" s="44">
        <v>45969</v>
      </c>
      <c r="C1719" s="3" t="s">
        <v>416</v>
      </c>
      <c r="D1719" s="3" t="s">
        <v>57</v>
      </c>
      <c r="E1719" s="42"/>
      <c r="F1719" s="4" t="s">
        <v>647</v>
      </c>
      <c r="G1719" s="4" t="s">
        <v>282</v>
      </c>
      <c r="H1719" s="4">
        <v>3193900</v>
      </c>
      <c r="I1719" s="3" t="s">
        <v>645</v>
      </c>
      <c r="J1719" s="3" t="s">
        <v>263</v>
      </c>
      <c r="K1719" s="4">
        <v>3198707</v>
      </c>
    </row>
    <row r="1720" spans="1:43" s="3" customFormat="1" x14ac:dyDescent="0.3">
      <c r="B1720" s="44">
        <v>45969</v>
      </c>
      <c r="C1720" s="3" t="s">
        <v>416</v>
      </c>
      <c r="D1720" s="3" t="s">
        <v>67</v>
      </c>
      <c r="E1720" s="42"/>
      <c r="F1720" s="4" t="s">
        <v>647</v>
      </c>
      <c r="G1720" s="4" t="s">
        <v>345</v>
      </c>
      <c r="H1720" s="4">
        <v>3194003</v>
      </c>
      <c r="I1720" s="4" t="s">
        <v>472</v>
      </c>
      <c r="J1720" s="4" t="s">
        <v>374</v>
      </c>
      <c r="K1720" s="4">
        <v>3207203</v>
      </c>
    </row>
    <row r="1721" spans="1:43" s="3" customFormat="1" x14ac:dyDescent="0.3">
      <c r="B1721" s="44">
        <v>45969</v>
      </c>
      <c r="C1721" s="3" t="s">
        <v>416</v>
      </c>
      <c r="D1721" s="3" t="s">
        <v>498</v>
      </c>
      <c r="E1721" s="42"/>
      <c r="F1721" s="3" t="s">
        <v>647</v>
      </c>
      <c r="G1721" s="3" t="s">
        <v>225</v>
      </c>
      <c r="H1721" s="4">
        <v>3345802</v>
      </c>
      <c r="I1721" s="3" t="s">
        <v>717</v>
      </c>
      <c r="J1721" s="3" t="s">
        <v>429</v>
      </c>
      <c r="K1721" s="4">
        <v>3346905</v>
      </c>
    </row>
    <row r="1722" spans="1:43" s="3" customFormat="1" x14ac:dyDescent="0.3">
      <c r="B1722" s="44">
        <v>45969</v>
      </c>
      <c r="C1722" s="3" t="s">
        <v>416</v>
      </c>
      <c r="D1722" s="3" t="s">
        <v>59</v>
      </c>
      <c r="E1722" s="42"/>
      <c r="F1722" s="3" t="s">
        <v>687</v>
      </c>
      <c r="G1722" s="3" t="s">
        <v>283</v>
      </c>
      <c r="H1722" s="4">
        <v>3194107</v>
      </c>
      <c r="I1722" s="3" t="s">
        <v>681</v>
      </c>
      <c r="J1722" s="3" t="s">
        <v>281</v>
      </c>
      <c r="K1722" s="4">
        <v>3195700</v>
      </c>
    </row>
    <row r="1723" spans="1:43" s="3" customFormat="1" x14ac:dyDescent="0.3">
      <c r="B1723" s="44">
        <v>45969</v>
      </c>
      <c r="C1723" s="3" t="s">
        <v>416</v>
      </c>
      <c r="D1723" s="3" t="s">
        <v>499</v>
      </c>
      <c r="E1723" s="42"/>
      <c r="F1723" s="3" t="s">
        <v>687</v>
      </c>
      <c r="G1723" s="3" t="s">
        <v>231</v>
      </c>
      <c r="H1723" s="4">
        <v>3819503</v>
      </c>
      <c r="I1723" s="3" t="s">
        <v>710</v>
      </c>
      <c r="J1723" s="3" t="s">
        <v>230</v>
      </c>
      <c r="K1723" s="4">
        <v>3900609</v>
      </c>
      <c r="M1723" s="51"/>
    </row>
    <row r="1724" spans="1:43" s="3" customFormat="1" x14ac:dyDescent="0.3">
      <c r="A1724" s="4"/>
      <c r="B1724" s="100">
        <v>45970</v>
      </c>
      <c r="C1724" s="98" t="s">
        <v>553</v>
      </c>
      <c r="D1724" s="4" t="s">
        <v>516</v>
      </c>
      <c r="E1724" s="4"/>
      <c r="F1724" s="73" t="s">
        <v>533</v>
      </c>
      <c r="G1724" s="73" t="s">
        <v>533</v>
      </c>
      <c r="H1724" s="73"/>
      <c r="I1724" s="73" t="s">
        <v>518</v>
      </c>
      <c r="J1724" s="73" t="s">
        <v>518</v>
      </c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</row>
    <row r="1725" spans="1:43" s="3" customFormat="1" x14ac:dyDescent="0.3">
      <c r="A1725" s="4"/>
      <c r="B1725" s="100">
        <v>45970</v>
      </c>
      <c r="C1725" s="98" t="s">
        <v>553</v>
      </c>
      <c r="D1725" s="4" t="s">
        <v>521</v>
      </c>
      <c r="E1725" s="4"/>
      <c r="F1725" s="73" t="s">
        <v>472</v>
      </c>
      <c r="G1725" s="73" t="s">
        <v>472</v>
      </c>
      <c r="H1725" s="73"/>
      <c r="I1725" s="73" t="s">
        <v>536</v>
      </c>
      <c r="J1725" s="73" t="s">
        <v>536</v>
      </c>
      <c r="K1725" s="4"/>
      <c r="L1725" s="53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</row>
    <row r="1726" spans="1:43" s="3" customFormat="1" x14ac:dyDescent="0.3">
      <c r="A1726" s="4"/>
      <c r="B1726" s="100">
        <v>45970</v>
      </c>
      <c r="C1726" s="98" t="s">
        <v>553</v>
      </c>
      <c r="D1726" s="4" t="s">
        <v>516</v>
      </c>
      <c r="E1726" s="4"/>
      <c r="F1726" s="73" t="s">
        <v>476</v>
      </c>
      <c r="G1726" s="73" t="s">
        <v>476</v>
      </c>
      <c r="H1726" s="73"/>
      <c r="I1726" s="73" t="s">
        <v>527</v>
      </c>
      <c r="J1726" s="73" t="s">
        <v>527</v>
      </c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</row>
    <row r="1727" spans="1:43" s="3" customFormat="1" x14ac:dyDescent="0.3">
      <c r="A1727" s="4"/>
      <c r="B1727" s="100">
        <v>45970</v>
      </c>
      <c r="C1727" s="98" t="s">
        <v>553</v>
      </c>
      <c r="D1727" s="4" t="s">
        <v>516</v>
      </c>
      <c r="E1727" s="4"/>
      <c r="F1727" s="73" t="s">
        <v>540</v>
      </c>
      <c r="G1727" s="73" t="s">
        <v>540</v>
      </c>
      <c r="H1727" s="73"/>
      <c r="I1727" s="73" t="s">
        <v>474</v>
      </c>
      <c r="J1727" s="73" t="s">
        <v>474</v>
      </c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</row>
    <row r="1728" spans="1:43" s="3" customFormat="1" x14ac:dyDescent="0.3">
      <c r="A1728" s="4"/>
      <c r="B1728" s="100">
        <v>45970</v>
      </c>
      <c r="C1728" s="98" t="s">
        <v>553</v>
      </c>
      <c r="D1728" s="4" t="s">
        <v>521</v>
      </c>
      <c r="E1728" s="4"/>
      <c r="F1728" s="73" t="s">
        <v>541</v>
      </c>
      <c r="G1728" s="73" t="s">
        <v>541</v>
      </c>
      <c r="H1728" s="73"/>
      <c r="I1728" s="73" t="s">
        <v>479</v>
      </c>
      <c r="J1728" s="73" t="s">
        <v>479</v>
      </c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</row>
    <row r="1729" spans="1:43" s="3" customFormat="1" x14ac:dyDescent="0.3">
      <c r="A1729" s="4"/>
      <c r="B1729" s="100">
        <v>45970</v>
      </c>
      <c r="C1729" s="98" t="s">
        <v>553</v>
      </c>
      <c r="D1729" s="4" t="s">
        <v>521</v>
      </c>
      <c r="E1729" s="4"/>
      <c r="F1729" s="73" t="s">
        <v>528</v>
      </c>
      <c r="G1729" s="73" t="s">
        <v>528</v>
      </c>
      <c r="H1729" s="73"/>
      <c r="I1729" s="73" t="s">
        <v>471</v>
      </c>
      <c r="J1729" s="73" t="s">
        <v>471</v>
      </c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</row>
    <row r="1730" spans="1:43" s="3" customFormat="1" x14ac:dyDescent="0.3">
      <c r="B1730" s="44">
        <v>45976</v>
      </c>
      <c r="C1730" s="3" t="s">
        <v>416</v>
      </c>
      <c r="D1730" s="3" t="s">
        <v>487</v>
      </c>
      <c r="E1730" s="4"/>
      <c r="F1730" s="3" t="s">
        <v>475</v>
      </c>
      <c r="G1730" s="3" t="s">
        <v>96</v>
      </c>
      <c r="H1730" s="4">
        <v>3067107</v>
      </c>
      <c r="I1730" s="3" t="s">
        <v>695</v>
      </c>
      <c r="J1730" s="3" t="s">
        <v>101</v>
      </c>
      <c r="K1730" s="4">
        <v>3067305</v>
      </c>
    </row>
    <row r="1731" spans="1:43" s="3" customFormat="1" x14ac:dyDescent="0.3">
      <c r="B1731" s="44">
        <v>45976</v>
      </c>
      <c r="C1731" s="3" t="s">
        <v>416</v>
      </c>
      <c r="D1731" s="3" t="s">
        <v>494</v>
      </c>
      <c r="E1731" s="42"/>
      <c r="F1731" s="3" t="s">
        <v>475</v>
      </c>
      <c r="G1731" s="3" t="s">
        <v>183</v>
      </c>
      <c r="H1731" s="4">
        <v>3362901</v>
      </c>
      <c r="I1731" s="3" t="s">
        <v>708</v>
      </c>
      <c r="J1731" s="3" t="s">
        <v>220</v>
      </c>
      <c r="K1731" s="4">
        <v>3354809</v>
      </c>
    </row>
    <row r="1732" spans="1:43" s="3" customFormat="1" x14ac:dyDescent="0.3">
      <c r="B1732" s="44">
        <v>45976</v>
      </c>
      <c r="C1732" s="3" t="s">
        <v>416</v>
      </c>
      <c r="D1732" s="3" t="s">
        <v>498</v>
      </c>
      <c r="E1732" s="42"/>
      <c r="F1732" s="3" t="s">
        <v>475</v>
      </c>
      <c r="G1732" s="3" t="s">
        <v>184</v>
      </c>
      <c r="H1732" s="53">
        <v>3363004</v>
      </c>
      <c r="I1732" s="3" t="s">
        <v>717</v>
      </c>
      <c r="J1732" s="3" t="s">
        <v>429</v>
      </c>
      <c r="K1732" s="4">
        <v>3346905</v>
      </c>
    </row>
    <row r="1733" spans="1:43" s="3" customFormat="1" x14ac:dyDescent="0.3">
      <c r="B1733" s="44">
        <v>45976</v>
      </c>
      <c r="C1733" s="3" t="s">
        <v>416</v>
      </c>
      <c r="D1733" s="3" t="s">
        <v>70</v>
      </c>
      <c r="E1733" s="42"/>
      <c r="F1733" s="3" t="s">
        <v>475</v>
      </c>
      <c r="G1733" s="3" t="s">
        <v>370</v>
      </c>
      <c r="H1733" s="4">
        <v>3211903</v>
      </c>
      <c r="I1733" s="3" t="s">
        <v>692</v>
      </c>
      <c r="J1733" s="3" t="s">
        <v>378</v>
      </c>
      <c r="K1733" s="4">
        <v>3197802</v>
      </c>
    </row>
    <row r="1734" spans="1:43" s="3" customFormat="1" x14ac:dyDescent="0.3">
      <c r="B1734" s="44">
        <v>45976</v>
      </c>
      <c r="C1734" s="3" t="s">
        <v>416</v>
      </c>
      <c r="D1734" s="3" t="s">
        <v>70</v>
      </c>
      <c r="E1734" s="42"/>
      <c r="F1734" s="3" t="s">
        <v>475</v>
      </c>
      <c r="G1734" s="3" t="s">
        <v>371</v>
      </c>
      <c r="H1734" s="53">
        <v>3212006</v>
      </c>
      <c r="I1734" s="3" t="s">
        <v>688</v>
      </c>
      <c r="J1734" s="3" t="s">
        <v>379</v>
      </c>
      <c r="K1734" s="4">
        <v>3194409</v>
      </c>
    </row>
    <row r="1735" spans="1:43" s="3" customFormat="1" x14ac:dyDescent="0.3">
      <c r="B1735" s="44">
        <v>45976</v>
      </c>
      <c r="C1735" s="3" t="s">
        <v>416</v>
      </c>
      <c r="D1735" s="3" t="s">
        <v>60</v>
      </c>
      <c r="E1735" s="42"/>
      <c r="F1735" s="32" t="s">
        <v>705</v>
      </c>
      <c r="G1735" s="32" t="s">
        <v>293</v>
      </c>
      <c r="H1735" s="15">
        <v>3211705</v>
      </c>
      <c r="I1735" s="3" t="s">
        <v>473</v>
      </c>
      <c r="J1735" s="3" t="s">
        <v>298</v>
      </c>
      <c r="K1735" s="32">
        <v>3817807</v>
      </c>
    </row>
    <row r="1736" spans="1:43" s="3" customFormat="1" x14ac:dyDescent="0.3">
      <c r="B1736" s="44">
        <v>45976</v>
      </c>
      <c r="C1736" s="3" t="s">
        <v>416</v>
      </c>
      <c r="D1736" s="3" t="s">
        <v>590</v>
      </c>
      <c r="E1736" s="42"/>
      <c r="F1736" s="3" t="s">
        <v>648</v>
      </c>
      <c r="G1736" s="3" t="s">
        <v>449</v>
      </c>
      <c r="H1736" s="4">
        <v>3961500</v>
      </c>
      <c r="I1736" s="4" t="s">
        <v>474</v>
      </c>
      <c r="J1736" s="4" t="s">
        <v>317</v>
      </c>
      <c r="K1736" s="4">
        <v>3200700</v>
      </c>
    </row>
    <row r="1737" spans="1:43" s="3" customFormat="1" x14ac:dyDescent="0.3">
      <c r="B1737" s="44">
        <v>45976</v>
      </c>
      <c r="C1737" s="3" t="s">
        <v>416</v>
      </c>
      <c r="D1737" s="3" t="s">
        <v>68</v>
      </c>
      <c r="E1737" s="42"/>
      <c r="F1737" s="3" t="s">
        <v>649</v>
      </c>
      <c r="G1737" s="3" t="s">
        <v>456</v>
      </c>
      <c r="H1737" s="4">
        <v>3545602</v>
      </c>
      <c r="I1737" s="4" t="s">
        <v>570</v>
      </c>
      <c r="J1737" s="4" t="s">
        <v>570</v>
      </c>
      <c r="K1737" s="4" t="s">
        <v>556</v>
      </c>
    </row>
    <row r="1738" spans="1:43" s="3" customFormat="1" x14ac:dyDescent="0.3">
      <c r="A1738" s="4"/>
      <c r="B1738" s="99">
        <v>45976</v>
      </c>
      <c r="C1738" s="98" t="s">
        <v>553</v>
      </c>
      <c r="D1738" s="4" t="s">
        <v>514</v>
      </c>
      <c r="E1738" s="4"/>
      <c r="F1738" s="73" t="s">
        <v>550</v>
      </c>
      <c r="G1738" s="73" t="s">
        <v>550</v>
      </c>
      <c r="H1738" s="73"/>
      <c r="I1738" s="73" t="s">
        <v>479</v>
      </c>
      <c r="J1738" s="73" t="s">
        <v>479</v>
      </c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</row>
    <row r="1739" spans="1:43" s="3" customFormat="1" x14ac:dyDescent="0.3">
      <c r="B1739" s="44">
        <v>45976</v>
      </c>
      <c r="C1739" s="3" t="s">
        <v>416</v>
      </c>
      <c r="D1739" s="3" t="s">
        <v>486</v>
      </c>
      <c r="E1739" s="42"/>
      <c r="F1739" s="4" t="s">
        <v>651</v>
      </c>
      <c r="G1739" s="4" t="s">
        <v>97</v>
      </c>
      <c r="H1739" s="4">
        <v>3362005</v>
      </c>
      <c r="I1739" s="4" t="s">
        <v>680</v>
      </c>
      <c r="J1739" s="4" t="s">
        <v>98</v>
      </c>
      <c r="K1739" s="4">
        <v>3358909</v>
      </c>
    </row>
    <row r="1740" spans="1:43" s="3" customFormat="1" x14ac:dyDescent="0.3">
      <c r="B1740" s="44">
        <v>45976</v>
      </c>
      <c r="C1740" s="3" t="s">
        <v>416</v>
      </c>
      <c r="D1740" s="3" t="s">
        <v>68</v>
      </c>
      <c r="E1740" s="42"/>
      <c r="F1740" s="3" t="s">
        <v>651</v>
      </c>
      <c r="G1740" s="3" t="s">
        <v>387</v>
      </c>
      <c r="H1740" s="4">
        <v>3211403</v>
      </c>
      <c r="I1740" s="4" t="s">
        <v>686</v>
      </c>
      <c r="J1740" s="4" t="s">
        <v>626</v>
      </c>
      <c r="K1740" s="4" t="s">
        <v>637</v>
      </c>
    </row>
    <row r="1741" spans="1:43" s="3" customFormat="1" x14ac:dyDescent="0.3">
      <c r="B1741" s="44">
        <v>45976</v>
      </c>
      <c r="C1741" s="3" t="s">
        <v>416</v>
      </c>
      <c r="D1741" s="3" t="s">
        <v>499</v>
      </c>
      <c r="E1741" s="42"/>
      <c r="F1741" s="3" t="s">
        <v>651</v>
      </c>
      <c r="G1741" s="3" t="s">
        <v>226</v>
      </c>
      <c r="H1741" s="4">
        <v>3361902</v>
      </c>
      <c r="I1741" s="3" t="s">
        <v>652</v>
      </c>
      <c r="J1741" s="3" t="s">
        <v>573</v>
      </c>
      <c r="K1741" s="4">
        <v>3818400</v>
      </c>
      <c r="M1741" s="4"/>
    </row>
    <row r="1742" spans="1:43" s="3" customFormat="1" x14ac:dyDescent="0.3">
      <c r="B1742" s="44">
        <v>45976</v>
      </c>
      <c r="C1742" s="3" t="s">
        <v>416</v>
      </c>
      <c r="D1742" s="3" t="s">
        <v>492</v>
      </c>
      <c r="E1742" s="42"/>
      <c r="F1742" s="3" t="s">
        <v>719</v>
      </c>
      <c r="G1742" s="3" t="s">
        <v>155</v>
      </c>
      <c r="H1742" s="4">
        <v>3361600</v>
      </c>
      <c r="I1742" s="4" t="s">
        <v>652</v>
      </c>
      <c r="J1742" s="4" t="s">
        <v>157</v>
      </c>
      <c r="K1742" s="4">
        <v>3358503</v>
      </c>
    </row>
    <row r="1743" spans="1:43" s="3" customFormat="1" x14ac:dyDescent="0.3">
      <c r="B1743" s="44">
        <v>45976</v>
      </c>
      <c r="C1743" s="3" t="s">
        <v>416</v>
      </c>
      <c r="D1743" s="3" t="s">
        <v>59</v>
      </c>
      <c r="E1743" s="42"/>
      <c r="F1743" s="3" t="s">
        <v>653</v>
      </c>
      <c r="G1743" s="3" t="s">
        <v>272</v>
      </c>
      <c r="H1743" s="4">
        <v>3211205</v>
      </c>
      <c r="I1743" s="3" t="s">
        <v>687</v>
      </c>
      <c r="J1743" s="3" t="s">
        <v>283</v>
      </c>
      <c r="K1743" s="4">
        <v>3194107</v>
      </c>
    </row>
    <row r="1744" spans="1:43" s="3" customFormat="1" x14ac:dyDescent="0.3">
      <c r="B1744" s="44">
        <v>45976</v>
      </c>
      <c r="C1744" s="3" t="s">
        <v>416</v>
      </c>
      <c r="D1744" s="3" t="s">
        <v>497</v>
      </c>
      <c r="E1744" s="42"/>
      <c r="F1744" s="17" t="s">
        <v>653</v>
      </c>
      <c r="G1744" s="17" t="s">
        <v>208</v>
      </c>
      <c r="H1744" s="74">
        <v>3361308</v>
      </c>
      <c r="I1744" s="17" t="s">
        <v>691</v>
      </c>
      <c r="J1744" s="17" t="s">
        <v>215</v>
      </c>
      <c r="K1744" s="74">
        <v>3350407</v>
      </c>
    </row>
    <row r="1745" spans="1:43" s="3" customFormat="1" x14ac:dyDescent="0.3">
      <c r="B1745" s="44">
        <v>45976</v>
      </c>
      <c r="C1745" s="3" t="s">
        <v>416</v>
      </c>
      <c r="D1745" s="3" t="s">
        <v>497</v>
      </c>
      <c r="E1745" s="42"/>
      <c r="F1745" s="17" t="s">
        <v>653</v>
      </c>
      <c r="G1745" s="17" t="s">
        <v>209</v>
      </c>
      <c r="H1745" s="74">
        <v>3360705</v>
      </c>
      <c r="I1745" s="17" t="s">
        <v>476</v>
      </c>
      <c r="J1745" s="17" t="s">
        <v>234</v>
      </c>
      <c r="K1745" s="74">
        <v>3356807</v>
      </c>
    </row>
    <row r="1746" spans="1:43" s="3" customFormat="1" x14ac:dyDescent="0.3">
      <c r="B1746" s="44">
        <v>45976</v>
      </c>
      <c r="C1746" s="3" t="s">
        <v>416</v>
      </c>
      <c r="D1746" s="3" t="s">
        <v>593</v>
      </c>
      <c r="E1746" s="42"/>
      <c r="F1746" s="3" t="s">
        <v>653</v>
      </c>
      <c r="G1746" s="3" t="s">
        <v>459</v>
      </c>
      <c r="H1746" s="4">
        <v>3211101</v>
      </c>
      <c r="I1746" s="4" t="s">
        <v>663</v>
      </c>
      <c r="J1746" s="4" t="s">
        <v>396</v>
      </c>
      <c r="K1746" s="4">
        <v>3197104</v>
      </c>
    </row>
    <row r="1747" spans="1:43" s="3" customFormat="1" x14ac:dyDescent="0.3">
      <c r="B1747" s="44">
        <v>45976</v>
      </c>
      <c r="C1747" s="3" t="s">
        <v>416</v>
      </c>
      <c r="D1747" s="3" t="s">
        <v>504</v>
      </c>
      <c r="E1747" s="42"/>
      <c r="F1747" s="3" t="s">
        <v>479</v>
      </c>
      <c r="G1747" s="3" t="s">
        <v>9</v>
      </c>
      <c r="H1747" s="4">
        <v>3033405</v>
      </c>
      <c r="I1747" s="3" t="s">
        <v>472</v>
      </c>
      <c r="J1747" s="3" t="s">
        <v>11</v>
      </c>
      <c r="K1747" s="4">
        <v>3034800</v>
      </c>
    </row>
    <row r="1748" spans="1:43" s="3" customFormat="1" x14ac:dyDescent="0.3">
      <c r="B1748" s="44">
        <v>45976</v>
      </c>
      <c r="C1748" s="3" t="s">
        <v>416</v>
      </c>
      <c r="D1748" s="3" t="s">
        <v>490</v>
      </c>
      <c r="E1748" s="4"/>
      <c r="F1748" s="3" t="s">
        <v>479</v>
      </c>
      <c r="G1748" s="3" t="s">
        <v>136</v>
      </c>
      <c r="H1748" s="4">
        <v>3360903</v>
      </c>
      <c r="I1748" s="4" t="s">
        <v>676</v>
      </c>
      <c r="J1748" s="4" t="s">
        <v>138</v>
      </c>
      <c r="K1748" s="4">
        <v>3067805</v>
      </c>
    </row>
    <row r="1749" spans="1:43" s="3" customFormat="1" x14ac:dyDescent="0.3">
      <c r="B1749" s="44">
        <v>45976</v>
      </c>
      <c r="C1749" s="3" t="s">
        <v>416</v>
      </c>
      <c r="D1749" s="3" t="s">
        <v>590</v>
      </c>
      <c r="E1749" s="42"/>
      <c r="F1749" s="3" t="s">
        <v>479</v>
      </c>
      <c r="G1749" s="3" t="s">
        <v>284</v>
      </c>
      <c r="H1749" s="4">
        <v>3210904</v>
      </c>
      <c r="I1749" s="3" t="s">
        <v>699</v>
      </c>
      <c r="J1749" s="3" t="s">
        <v>594</v>
      </c>
      <c r="K1749" s="4">
        <v>3196407</v>
      </c>
    </row>
    <row r="1750" spans="1:43" s="3" customFormat="1" x14ac:dyDescent="0.3">
      <c r="B1750" s="44">
        <v>45976</v>
      </c>
      <c r="C1750" s="3" t="s">
        <v>416</v>
      </c>
      <c r="D1750" s="3" t="s">
        <v>490</v>
      </c>
      <c r="E1750" s="4"/>
      <c r="F1750" s="3" t="s">
        <v>479</v>
      </c>
      <c r="G1750" s="3" t="s">
        <v>166</v>
      </c>
      <c r="H1750" s="4">
        <v>3361006</v>
      </c>
      <c r="I1750" s="4" t="s">
        <v>653</v>
      </c>
      <c r="J1750" s="4" t="s">
        <v>126</v>
      </c>
      <c r="K1750" s="4">
        <v>3361402</v>
      </c>
    </row>
    <row r="1751" spans="1:43" s="3" customFormat="1" x14ac:dyDescent="0.3">
      <c r="B1751" s="44">
        <v>45976</v>
      </c>
      <c r="C1751" s="3" t="s">
        <v>416</v>
      </c>
      <c r="D1751" s="3" t="s">
        <v>62</v>
      </c>
      <c r="E1751" s="42"/>
      <c r="F1751" s="4" t="s">
        <v>479</v>
      </c>
      <c r="G1751" s="4" t="s">
        <v>319</v>
      </c>
      <c r="H1751" s="4">
        <v>3210508</v>
      </c>
      <c r="I1751" s="4" t="s">
        <v>476</v>
      </c>
      <c r="J1751" s="4" t="s">
        <v>287</v>
      </c>
      <c r="K1751" s="4">
        <v>3206600</v>
      </c>
    </row>
    <row r="1752" spans="1:43" s="3" customFormat="1" x14ac:dyDescent="0.3">
      <c r="B1752" s="44">
        <v>45976</v>
      </c>
      <c r="C1752" s="3" t="s">
        <v>416</v>
      </c>
      <c r="D1752" s="3" t="s">
        <v>493</v>
      </c>
      <c r="E1752" s="42"/>
      <c r="F1752" s="3" t="s">
        <v>479</v>
      </c>
      <c r="G1752" s="3" t="s">
        <v>210</v>
      </c>
      <c r="H1752" s="4">
        <v>3361100</v>
      </c>
      <c r="I1752" s="4" t="s">
        <v>476</v>
      </c>
      <c r="J1752" s="4" t="s">
        <v>170</v>
      </c>
      <c r="K1752" s="4">
        <v>3356703</v>
      </c>
    </row>
    <row r="1753" spans="1:43" s="3" customFormat="1" x14ac:dyDescent="0.3">
      <c r="B1753" s="44">
        <v>45976</v>
      </c>
      <c r="C1753" s="3" t="s">
        <v>416</v>
      </c>
      <c r="D1753" s="3" t="s">
        <v>65</v>
      </c>
      <c r="E1753" s="42"/>
      <c r="F1753" s="3" t="s">
        <v>479</v>
      </c>
      <c r="G1753" s="3" t="s">
        <v>320</v>
      </c>
      <c r="H1753" s="4">
        <v>3210602</v>
      </c>
      <c r="I1753" s="4" t="s">
        <v>693</v>
      </c>
      <c r="J1753" s="4" t="s">
        <v>357</v>
      </c>
      <c r="K1753" s="4">
        <v>3206704</v>
      </c>
    </row>
    <row r="1754" spans="1:43" s="3" customFormat="1" x14ac:dyDescent="0.3">
      <c r="A1754" s="4"/>
      <c r="B1754" s="100">
        <v>45976</v>
      </c>
      <c r="C1754" s="98" t="s">
        <v>553</v>
      </c>
      <c r="D1754" s="4" t="s">
        <v>508</v>
      </c>
      <c r="E1754" s="4"/>
      <c r="F1754" s="73" t="s">
        <v>554</v>
      </c>
      <c r="G1754" s="73" t="s">
        <v>9</v>
      </c>
      <c r="H1754" s="73"/>
      <c r="I1754" s="73" t="s">
        <v>511</v>
      </c>
      <c r="J1754" s="73" t="s">
        <v>511</v>
      </c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</row>
    <row r="1755" spans="1:43" s="3" customFormat="1" x14ac:dyDescent="0.3">
      <c r="B1755" s="44">
        <v>45976</v>
      </c>
      <c r="C1755" s="3" t="s">
        <v>416</v>
      </c>
      <c r="D1755" s="3" t="s">
        <v>63</v>
      </c>
      <c r="E1755" s="42"/>
      <c r="F1755" s="3" t="s">
        <v>658</v>
      </c>
      <c r="G1755" s="3" t="s">
        <v>366</v>
      </c>
      <c r="H1755" s="74">
        <v>3210404</v>
      </c>
      <c r="I1755" s="104" t="s">
        <v>645</v>
      </c>
      <c r="J1755" s="104" t="s">
        <v>333</v>
      </c>
      <c r="K1755" s="74">
        <v>3198801</v>
      </c>
    </row>
    <row r="1756" spans="1:43" s="3" customFormat="1" x14ac:dyDescent="0.3">
      <c r="A1756" s="4"/>
      <c r="B1756" s="99">
        <v>45976</v>
      </c>
      <c r="C1756" s="98" t="s">
        <v>553</v>
      </c>
      <c r="D1756" s="4" t="s">
        <v>506</v>
      </c>
      <c r="E1756" s="4"/>
      <c r="F1756" s="73" t="s">
        <v>480</v>
      </c>
      <c r="G1756" s="73" t="s">
        <v>480</v>
      </c>
      <c r="H1756" s="73"/>
      <c r="I1756" s="73" t="s">
        <v>548</v>
      </c>
      <c r="J1756" s="73" t="s">
        <v>548</v>
      </c>
      <c r="K1756" s="15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</row>
    <row r="1757" spans="1:43" s="3" customFormat="1" x14ac:dyDescent="0.3">
      <c r="B1757" s="44">
        <v>45976</v>
      </c>
      <c r="C1757" s="3" t="s">
        <v>416</v>
      </c>
      <c r="D1757" s="3" t="s">
        <v>486</v>
      </c>
      <c r="E1757" s="42"/>
      <c r="F1757" s="3" t="s">
        <v>480</v>
      </c>
      <c r="G1757" s="3" t="s">
        <v>406</v>
      </c>
      <c r="H1757" s="4">
        <v>3124501</v>
      </c>
      <c r="I1757" s="3" t="s">
        <v>474</v>
      </c>
      <c r="J1757" s="3" t="s">
        <v>103</v>
      </c>
      <c r="K1757" s="4">
        <v>3353206</v>
      </c>
    </row>
    <row r="1758" spans="1:43" s="3" customFormat="1" x14ac:dyDescent="0.3">
      <c r="B1758" s="44">
        <v>45976</v>
      </c>
      <c r="C1758" s="3" t="s">
        <v>416</v>
      </c>
      <c r="D1758" s="3" t="s">
        <v>493</v>
      </c>
      <c r="E1758" s="42"/>
      <c r="F1758" s="3" t="s">
        <v>480</v>
      </c>
      <c r="G1758" s="3" t="s">
        <v>423</v>
      </c>
      <c r="H1758" s="4">
        <v>3360403</v>
      </c>
      <c r="I1758" s="4" t="s">
        <v>676</v>
      </c>
      <c r="J1758" s="4" t="s">
        <v>214</v>
      </c>
      <c r="K1758" s="4">
        <v>3358805</v>
      </c>
    </row>
    <row r="1759" spans="1:43" s="3" customFormat="1" x14ac:dyDescent="0.3">
      <c r="B1759" s="44">
        <v>45976</v>
      </c>
      <c r="C1759" s="3" t="s">
        <v>416</v>
      </c>
      <c r="D1759" s="3" t="s">
        <v>497</v>
      </c>
      <c r="E1759" s="42"/>
      <c r="F1759" s="17" t="s">
        <v>480</v>
      </c>
      <c r="G1759" s="17" t="s">
        <v>428</v>
      </c>
      <c r="H1759" s="74">
        <v>3360309</v>
      </c>
      <c r="I1759" s="3" t="s">
        <v>654</v>
      </c>
      <c r="J1759" s="3" t="s">
        <v>438</v>
      </c>
      <c r="K1759" s="74">
        <v>3906207</v>
      </c>
    </row>
    <row r="1760" spans="1:43" s="3" customFormat="1" x14ac:dyDescent="0.3">
      <c r="B1760" s="44">
        <v>45976</v>
      </c>
      <c r="C1760" s="3" t="s">
        <v>416</v>
      </c>
      <c r="D1760" s="3" t="s">
        <v>56</v>
      </c>
      <c r="E1760" s="42"/>
      <c r="F1760" s="4" t="s">
        <v>661</v>
      </c>
      <c r="G1760" s="4" t="s">
        <v>439</v>
      </c>
      <c r="H1760" s="4">
        <v>3023701</v>
      </c>
      <c r="I1760" s="4" t="s">
        <v>696</v>
      </c>
      <c r="J1760" s="4" t="s">
        <v>261</v>
      </c>
      <c r="K1760" s="4">
        <v>3202302</v>
      </c>
    </row>
    <row r="1761" spans="1:43" s="3" customFormat="1" x14ac:dyDescent="0.3">
      <c r="A1761" s="4"/>
      <c r="B1761" s="100">
        <v>45976</v>
      </c>
      <c r="C1761" s="98" t="s">
        <v>553</v>
      </c>
      <c r="D1761" s="4" t="s">
        <v>512</v>
      </c>
      <c r="E1761" s="4"/>
      <c r="F1761" s="73" t="s">
        <v>549</v>
      </c>
      <c r="G1761" s="73" t="s">
        <v>549</v>
      </c>
      <c r="H1761" s="73"/>
      <c r="I1761" s="73" t="s">
        <v>477</v>
      </c>
      <c r="J1761" s="73" t="s">
        <v>477</v>
      </c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</row>
    <row r="1762" spans="1:43" s="3" customFormat="1" x14ac:dyDescent="0.3">
      <c r="B1762" s="44">
        <v>45976</v>
      </c>
      <c r="C1762" s="3" t="s">
        <v>416</v>
      </c>
      <c r="D1762" s="3" t="s">
        <v>590</v>
      </c>
      <c r="E1762" s="42"/>
      <c r="F1762" s="3" t="s">
        <v>657</v>
      </c>
      <c r="G1762" s="3" t="s">
        <v>321</v>
      </c>
      <c r="H1762" s="4">
        <v>3209607</v>
      </c>
      <c r="I1762" s="3" t="s">
        <v>472</v>
      </c>
      <c r="J1762" s="3" t="s">
        <v>315</v>
      </c>
      <c r="K1762" s="4">
        <v>3455307</v>
      </c>
    </row>
    <row r="1763" spans="1:43" s="3" customFormat="1" x14ac:dyDescent="0.3">
      <c r="B1763" s="44">
        <v>45976</v>
      </c>
      <c r="C1763" s="3" t="s">
        <v>416</v>
      </c>
      <c r="D1763" s="3" t="s">
        <v>493</v>
      </c>
      <c r="E1763" s="42"/>
      <c r="F1763" s="3" t="s">
        <v>657</v>
      </c>
      <c r="G1763" s="3" t="s">
        <v>167</v>
      </c>
      <c r="H1763" s="4">
        <v>3359804</v>
      </c>
      <c r="I1763" s="4" t="s">
        <v>479</v>
      </c>
      <c r="J1763" s="4" t="s">
        <v>211</v>
      </c>
      <c r="K1763" s="4">
        <v>3361204</v>
      </c>
    </row>
    <row r="1764" spans="1:43" s="3" customFormat="1" x14ac:dyDescent="0.3">
      <c r="B1764" s="44">
        <v>45976</v>
      </c>
      <c r="C1764" s="3" t="s">
        <v>416</v>
      </c>
      <c r="D1764" s="3" t="s">
        <v>497</v>
      </c>
      <c r="E1764" s="42"/>
      <c r="F1764" s="17" t="s">
        <v>657</v>
      </c>
      <c r="G1764" s="17" t="s">
        <v>213</v>
      </c>
      <c r="H1764" s="74">
        <v>3359502</v>
      </c>
      <c r="I1764" s="3" t="s">
        <v>678</v>
      </c>
      <c r="J1764" s="3" t="s">
        <v>172</v>
      </c>
      <c r="K1764" s="74">
        <v>3350709</v>
      </c>
    </row>
    <row r="1765" spans="1:43" s="3" customFormat="1" x14ac:dyDescent="0.3">
      <c r="B1765" s="44">
        <v>45976</v>
      </c>
      <c r="C1765" s="3" t="s">
        <v>416</v>
      </c>
      <c r="D1765" s="3" t="s">
        <v>495</v>
      </c>
      <c r="E1765" s="42"/>
      <c r="F1765" s="3" t="s">
        <v>570</v>
      </c>
      <c r="G1765" s="3" t="s">
        <v>570</v>
      </c>
      <c r="H1765" s="4" t="s">
        <v>556</v>
      </c>
      <c r="I1765" s="3" t="s">
        <v>712</v>
      </c>
      <c r="J1765" s="3" t="s">
        <v>164</v>
      </c>
      <c r="K1765" s="4">
        <v>3349402</v>
      </c>
    </row>
    <row r="1766" spans="1:43" s="3" customFormat="1" x14ac:dyDescent="0.3">
      <c r="B1766" s="44">
        <v>45976</v>
      </c>
      <c r="C1766" s="3" t="s">
        <v>416</v>
      </c>
      <c r="D1766" s="3" t="s">
        <v>499</v>
      </c>
      <c r="E1766" s="42"/>
      <c r="F1766" s="3" t="s">
        <v>723</v>
      </c>
      <c r="G1766" s="3" t="s">
        <v>599</v>
      </c>
      <c r="H1766" s="4" t="s">
        <v>556</v>
      </c>
      <c r="I1766" s="3" t="s">
        <v>687</v>
      </c>
      <c r="J1766" s="3" t="s">
        <v>231</v>
      </c>
      <c r="K1766" s="4">
        <v>3819503</v>
      </c>
      <c r="M1766" s="3" t="s">
        <v>231</v>
      </c>
      <c r="N1766" s="3" t="s">
        <v>582</v>
      </c>
    </row>
    <row r="1767" spans="1:43" s="3" customFormat="1" x14ac:dyDescent="0.3">
      <c r="B1767" s="44">
        <v>45976</v>
      </c>
      <c r="C1767" s="3" t="s">
        <v>416</v>
      </c>
      <c r="D1767" s="3" t="s">
        <v>501</v>
      </c>
      <c r="E1767" s="42"/>
      <c r="F1767" s="3" t="s">
        <v>722</v>
      </c>
      <c r="G1767" s="3" t="s">
        <v>600</v>
      </c>
      <c r="H1767" s="4" t="s">
        <v>556</v>
      </c>
      <c r="I1767" s="3" t="s">
        <v>692</v>
      </c>
      <c r="J1767" s="3" t="s">
        <v>582</v>
      </c>
      <c r="K1767" s="53">
        <v>3900901</v>
      </c>
      <c r="L1767" s="4"/>
      <c r="M1767" s="3" t="s">
        <v>231</v>
      </c>
      <c r="N1767" s="3" t="s">
        <v>582</v>
      </c>
    </row>
    <row r="1768" spans="1:43" s="3" customFormat="1" x14ac:dyDescent="0.3">
      <c r="B1768" s="44">
        <v>45976</v>
      </c>
      <c r="C1768" s="3" t="s">
        <v>416</v>
      </c>
      <c r="D1768" s="3" t="s">
        <v>60</v>
      </c>
      <c r="E1768" s="42"/>
      <c r="F1768" s="3" t="s">
        <v>667</v>
      </c>
      <c r="G1768" s="3" t="s">
        <v>444</v>
      </c>
      <c r="H1768" s="4">
        <v>3209909</v>
      </c>
      <c r="I1768" s="3" t="s">
        <v>473</v>
      </c>
      <c r="J1768" s="3" t="s">
        <v>446</v>
      </c>
      <c r="K1768" s="32">
        <v>3204206</v>
      </c>
    </row>
    <row r="1769" spans="1:43" s="3" customFormat="1" x14ac:dyDescent="0.3">
      <c r="B1769" s="44">
        <v>45976</v>
      </c>
      <c r="C1769" s="3" t="s">
        <v>416</v>
      </c>
      <c r="D1769" s="3" t="s">
        <v>60</v>
      </c>
      <c r="E1769" s="42"/>
      <c r="F1769" s="3" t="s">
        <v>667</v>
      </c>
      <c r="G1769" s="3" t="s">
        <v>294</v>
      </c>
      <c r="H1769" s="4">
        <v>3209409</v>
      </c>
      <c r="I1769" s="3" t="s">
        <v>721</v>
      </c>
      <c r="J1769" s="3" t="s">
        <v>300</v>
      </c>
      <c r="K1769" s="32">
        <v>3194805</v>
      </c>
    </row>
    <row r="1770" spans="1:43" s="3" customFormat="1" x14ac:dyDescent="0.3">
      <c r="B1770" s="44">
        <v>45976</v>
      </c>
      <c r="C1770" s="3" t="s">
        <v>416</v>
      </c>
      <c r="D1770" s="3" t="s">
        <v>56</v>
      </c>
      <c r="E1770" s="42"/>
      <c r="F1770" s="73" t="s">
        <v>671</v>
      </c>
      <c r="G1770" s="73" t="s">
        <v>247</v>
      </c>
      <c r="H1770" s="4">
        <v>3034102</v>
      </c>
      <c r="I1770" s="73" t="s">
        <v>474</v>
      </c>
      <c r="J1770" s="73" t="s">
        <v>253</v>
      </c>
      <c r="K1770" s="4">
        <v>3037109</v>
      </c>
    </row>
    <row r="1771" spans="1:43" s="3" customFormat="1" x14ac:dyDescent="0.3">
      <c r="B1771" s="44">
        <v>45976</v>
      </c>
      <c r="C1771" s="3" t="s">
        <v>416</v>
      </c>
      <c r="D1771" s="3" t="s">
        <v>486</v>
      </c>
      <c r="E1771" s="42"/>
      <c r="F1771" s="3" t="s">
        <v>671</v>
      </c>
      <c r="G1771" s="3" t="s">
        <v>108</v>
      </c>
      <c r="H1771" s="4">
        <v>3359700</v>
      </c>
      <c r="I1771" s="3" t="s">
        <v>682</v>
      </c>
      <c r="J1771" s="3" t="s">
        <v>559</v>
      </c>
      <c r="K1771" s="4">
        <v>3969200</v>
      </c>
    </row>
    <row r="1772" spans="1:43" s="3" customFormat="1" x14ac:dyDescent="0.3">
      <c r="B1772" s="44">
        <v>45976</v>
      </c>
      <c r="C1772" s="3" t="s">
        <v>416</v>
      </c>
      <c r="D1772" s="3" t="s">
        <v>590</v>
      </c>
      <c r="E1772" s="42"/>
      <c r="F1772" s="4" t="s">
        <v>671</v>
      </c>
      <c r="G1772" s="4" t="s">
        <v>311</v>
      </c>
      <c r="H1772" s="4">
        <v>3209003</v>
      </c>
      <c r="I1772" s="4" t="s">
        <v>471</v>
      </c>
      <c r="J1772" s="4" t="s">
        <v>291</v>
      </c>
      <c r="K1772" s="4">
        <v>3196709</v>
      </c>
    </row>
    <row r="1773" spans="1:43" s="3" customFormat="1" x14ac:dyDescent="0.3">
      <c r="B1773" s="44">
        <v>45976</v>
      </c>
      <c r="C1773" s="3" t="s">
        <v>416</v>
      </c>
      <c r="D1773" s="3" t="s">
        <v>496</v>
      </c>
      <c r="E1773" s="42"/>
      <c r="F1773" s="3" t="s">
        <v>671</v>
      </c>
      <c r="G1773" s="3" t="s">
        <v>203</v>
      </c>
      <c r="H1773" s="4">
        <v>3359304</v>
      </c>
      <c r="I1773" s="4" t="s">
        <v>665</v>
      </c>
      <c r="J1773" s="4" t="s">
        <v>204</v>
      </c>
      <c r="K1773" s="4">
        <v>3357400</v>
      </c>
    </row>
    <row r="1774" spans="1:43" s="3" customFormat="1" x14ac:dyDescent="0.3">
      <c r="B1774" s="44">
        <v>45976</v>
      </c>
      <c r="C1774" s="3" t="s">
        <v>416</v>
      </c>
      <c r="D1774" s="3" t="s">
        <v>496</v>
      </c>
      <c r="E1774" s="42"/>
      <c r="F1774" s="3" t="s">
        <v>671</v>
      </c>
      <c r="G1774" s="3" t="s">
        <v>227</v>
      </c>
      <c r="H1774" s="4">
        <v>3359408</v>
      </c>
      <c r="I1774" s="3" t="s">
        <v>651</v>
      </c>
      <c r="J1774" s="3" t="s">
        <v>202</v>
      </c>
      <c r="K1774" s="74">
        <v>3361808</v>
      </c>
    </row>
    <row r="1775" spans="1:43" s="3" customFormat="1" x14ac:dyDescent="0.3">
      <c r="B1775" s="44">
        <v>45976</v>
      </c>
      <c r="C1775" s="3" t="s">
        <v>416</v>
      </c>
      <c r="D1775" s="4" t="s">
        <v>614</v>
      </c>
      <c r="E1775" s="42"/>
      <c r="F1775" s="3" t="s">
        <v>674</v>
      </c>
      <c r="G1775" s="3" t="s">
        <v>346</v>
      </c>
      <c r="H1775" s="4">
        <v>3208900</v>
      </c>
      <c r="I1775" s="4" t="s">
        <v>682</v>
      </c>
      <c r="J1775" s="4" t="s">
        <v>622</v>
      </c>
      <c r="K1775" s="4">
        <v>3969502</v>
      </c>
    </row>
    <row r="1776" spans="1:43" s="3" customFormat="1" x14ac:dyDescent="0.3">
      <c r="B1776" s="44">
        <v>45976</v>
      </c>
      <c r="C1776" s="3" t="s">
        <v>416</v>
      </c>
      <c r="D1776" s="3" t="s">
        <v>590</v>
      </c>
      <c r="E1776" s="42"/>
      <c r="F1776" s="4" t="s">
        <v>676</v>
      </c>
      <c r="G1776" s="4" t="s">
        <v>285</v>
      </c>
      <c r="H1776" s="4">
        <v>3208504</v>
      </c>
      <c r="I1776" s="4" t="s">
        <v>693</v>
      </c>
      <c r="J1776" s="4" t="s">
        <v>322</v>
      </c>
      <c r="K1776" s="4">
        <v>3207005</v>
      </c>
    </row>
    <row r="1777" spans="2:13" s="3" customFormat="1" x14ac:dyDescent="0.3">
      <c r="B1777" s="44">
        <v>45976</v>
      </c>
      <c r="C1777" s="3" t="s">
        <v>416</v>
      </c>
      <c r="D1777" s="3" t="s">
        <v>62</v>
      </c>
      <c r="E1777" s="42"/>
      <c r="F1777" s="3" t="s">
        <v>676</v>
      </c>
      <c r="G1777" s="3" t="s">
        <v>286</v>
      </c>
      <c r="H1777" s="4">
        <v>3019605</v>
      </c>
      <c r="I1777" s="3" t="s">
        <v>660</v>
      </c>
      <c r="J1777" s="3" t="s">
        <v>443</v>
      </c>
      <c r="K1777" s="4">
        <v>3210008</v>
      </c>
    </row>
    <row r="1778" spans="2:13" s="3" customFormat="1" x14ac:dyDescent="0.3">
      <c r="B1778" s="44">
        <v>45976</v>
      </c>
      <c r="C1778" s="3" t="s">
        <v>416</v>
      </c>
      <c r="D1778" s="3" t="s">
        <v>65</v>
      </c>
      <c r="E1778" s="42"/>
      <c r="F1778" s="3" t="s">
        <v>676</v>
      </c>
      <c r="G1778" s="3" t="s">
        <v>356</v>
      </c>
      <c r="H1778" s="4">
        <v>3208608</v>
      </c>
      <c r="I1778" s="4" t="s">
        <v>655</v>
      </c>
      <c r="J1778" s="4" t="s">
        <v>325</v>
      </c>
      <c r="K1778" s="4">
        <v>3201501</v>
      </c>
    </row>
    <row r="1779" spans="2:13" s="3" customFormat="1" x14ac:dyDescent="0.3">
      <c r="B1779" s="44">
        <v>45976</v>
      </c>
      <c r="C1779" s="3" t="s">
        <v>416</v>
      </c>
      <c r="D1779" s="3" t="s">
        <v>500</v>
      </c>
      <c r="E1779" s="42"/>
      <c r="F1779" s="3" t="s">
        <v>676</v>
      </c>
      <c r="G1779" s="3" t="s">
        <v>577</v>
      </c>
      <c r="H1779" s="4" t="s">
        <v>556</v>
      </c>
      <c r="I1779" s="4" t="s">
        <v>471</v>
      </c>
      <c r="J1779" s="4" t="s">
        <v>467</v>
      </c>
      <c r="K1779" s="4">
        <v>3819409</v>
      </c>
    </row>
    <row r="1780" spans="2:13" s="3" customFormat="1" x14ac:dyDescent="0.3">
      <c r="B1780" s="44">
        <v>45976</v>
      </c>
      <c r="C1780" s="3" t="s">
        <v>416</v>
      </c>
      <c r="D1780" s="3" t="s">
        <v>61</v>
      </c>
      <c r="E1780" s="42"/>
      <c r="F1780" s="73" t="s">
        <v>680</v>
      </c>
      <c r="G1780" s="73" t="s">
        <v>302</v>
      </c>
      <c r="H1780" s="4">
        <v>3208400</v>
      </c>
      <c r="I1780" s="3" t="s">
        <v>645</v>
      </c>
      <c r="J1780" s="3" t="s">
        <v>309</v>
      </c>
      <c r="K1780" s="4">
        <v>3082104</v>
      </c>
    </row>
    <row r="1781" spans="2:13" s="3" customFormat="1" x14ac:dyDescent="0.3">
      <c r="B1781" s="44">
        <v>45976</v>
      </c>
      <c r="C1781" s="3" t="s">
        <v>416</v>
      </c>
      <c r="D1781" s="3" t="s">
        <v>63</v>
      </c>
      <c r="E1781" s="42"/>
      <c r="F1781" s="3" t="s">
        <v>680</v>
      </c>
      <c r="G1781" s="3" t="s">
        <v>329</v>
      </c>
      <c r="H1781" s="74">
        <v>3208108</v>
      </c>
      <c r="I1781" s="3" t="s">
        <v>478</v>
      </c>
      <c r="J1781" s="3" t="s">
        <v>331</v>
      </c>
      <c r="K1781" s="74">
        <v>3205403</v>
      </c>
    </row>
    <row r="1782" spans="2:13" s="3" customFormat="1" x14ac:dyDescent="0.3">
      <c r="B1782" s="44">
        <v>45976</v>
      </c>
      <c r="C1782" s="3" t="s">
        <v>416</v>
      </c>
      <c r="D1782" s="3" t="s">
        <v>491</v>
      </c>
      <c r="E1782" s="42"/>
      <c r="F1782" s="4" t="s">
        <v>680</v>
      </c>
      <c r="G1782" s="4" t="s">
        <v>177</v>
      </c>
      <c r="H1782" s="4">
        <v>3899709</v>
      </c>
      <c r="I1782" s="4" t="s">
        <v>645</v>
      </c>
      <c r="J1782" s="4" t="s">
        <v>464</v>
      </c>
      <c r="K1782" s="4">
        <v>3351406</v>
      </c>
    </row>
    <row r="1783" spans="2:13" s="3" customFormat="1" x14ac:dyDescent="0.3">
      <c r="B1783" s="44">
        <v>45976</v>
      </c>
      <c r="C1783" s="3" t="s">
        <v>416</v>
      </c>
      <c r="D1783" s="3" t="s">
        <v>486</v>
      </c>
      <c r="E1783" s="42"/>
      <c r="F1783" s="4" t="s">
        <v>652</v>
      </c>
      <c r="G1783" s="4" t="s">
        <v>110</v>
      </c>
      <c r="H1783" s="4">
        <v>3359106</v>
      </c>
      <c r="I1783" s="4" t="s">
        <v>645</v>
      </c>
      <c r="J1783" s="4" t="s">
        <v>104</v>
      </c>
      <c r="K1783" s="4">
        <v>3036308</v>
      </c>
    </row>
    <row r="1784" spans="2:13" s="3" customFormat="1" x14ac:dyDescent="0.3">
      <c r="B1784" s="44">
        <v>45976</v>
      </c>
      <c r="C1784" s="3" t="s">
        <v>416</v>
      </c>
      <c r="D1784" s="3" t="s">
        <v>59</v>
      </c>
      <c r="E1784" s="42"/>
      <c r="F1784" s="3" t="s">
        <v>652</v>
      </c>
      <c r="G1784" s="3" t="s">
        <v>313</v>
      </c>
      <c r="H1784" s="4">
        <v>3207901</v>
      </c>
      <c r="I1784" s="3" t="s">
        <v>479</v>
      </c>
      <c r="J1784" s="3" t="s">
        <v>273</v>
      </c>
      <c r="K1784" s="4">
        <v>3211007</v>
      </c>
    </row>
    <row r="1785" spans="2:13" s="3" customFormat="1" x14ac:dyDescent="0.3">
      <c r="B1785" s="44">
        <v>45976</v>
      </c>
      <c r="C1785" s="3" t="s">
        <v>416</v>
      </c>
      <c r="D1785" s="3" t="s">
        <v>68</v>
      </c>
      <c r="E1785" s="42"/>
      <c r="F1785" s="3" t="s">
        <v>652</v>
      </c>
      <c r="G1785" s="3" t="s">
        <v>625</v>
      </c>
      <c r="H1785" s="4">
        <v>3899803</v>
      </c>
      <c r="I1785" s="4" t="s">
        <v>671</v>
      </c>
      <c r="J1785" s="4" t="s">
        <v>389</v>
      </c>
      <c r="K1785" s="4">
        <v>3209201</v>
      </c>
    </row>
    <row r="1786" spans="2:13" s="3" customFormat="1" x14ac:dyDescent="0.3">
      <c r="B1786" s="44">
        <v>45976</v>
      </c>
      <c r="C1786" s="3" t="s">
        <v>416</v>
      </c>
      <c r="D1786" s="3" t="s">
        <v>504</v>
      </c>
      <c r="E1786" s="42"/>
      <c r="F1786" s="3" t="s">
        <v>662</v>
      </c>
      <c r="G1786" s="3" t="s">
        <v>99</v>
      </c>
      <c r="H1786" s="4">
        <v>3125604</v>
      </c>
      <c r="I1786" s="4" t="s">
        <v>480</v>
      </c>
      <c r="J1786" s="4" t="s">
        <v>505</v>
      </c>
      <c r="K1786" s="4">
        <v>3033207</v>
      </c>
    </row>
    <row r="1787" spans="2:13" s="3" customFormat="1" x14ac:dyDescent="0.3">
      <c r="B1787" s="44">
        <v>45976</v>
      </c>
      <c r="C1787" s="3" t="s">
        <v>416</v>
      </c>
      <c r="D1787" s="3" t="s">
        <v>64</v>
      </c>
      <c r="E1787" s="42">
        <v>4370907</v>
      </c>
      <c r="F1787" s="3" t="s">
        <v>662</v>
      </c>
      <c r="G1787" s="3" t="s">
        <v>372</v>
      </c>
      <c r="H1787" s="4">
        <v>3207703</v>
      </c>
      <c r="I1787" s="4" t="s">
        <v>672</v>
      </c>
      <c r="J1787" s="4" t="s">
        <v>316</v>
      </c>
      <c r="K1787" s="4">
        <v>3069105</v>
      </c>
    </row>
    <row r="1788" spans="2:13" s="3" customFormat="1" x14ac:dyDescent="0.3">
      <c r="B1788" s="44">
        <v>45976</v>
      </c>
      <c r="C1788" s="3" t="s">
        <v>416</v>
      </c>
      <c r="D1788" s="3" t="s">
        <v>494</v>
      </c>
      <c r="E1788" s="42"/>
      <c r="F1788" s="3" t="s">
        <v>662</v>
      </c>
      <c r="G1788" s="3" t="s">
        <v>218</v>
      </c>
      <c r="H1788" s="4">
        <v>3358201</v>
      </c>
      <c r="I1788" s="3" t="s">
        <v>694</v>
      </c>
      <c r="J1788" s="3" t="s">
        <v>221</v>
      </c>
      <c r="K1788" s="4">
        <v>3353404</v>
      </c>
    </row>
    <row r="1789" spans="2:13" s="3" customFormat="1" x14ac:dyDescent="0.3">
      <c r="B1789" s="44">
        <v>45976</v>
      </c>
      <c r="C1789" s="3" t="s">
        <v>416</v>
      </c>
      <c r="D1789" s="3" t="s">
        <v>70</v>
      </c>
      <c r="E1789" s="42"/>
      <c r="F1789" s="3" t="s">
        <v>662</v>
      </c>
      <c r="G1789" s="3" t="s">
        <v>399</v>
      </c>
      <c r="H1789" s="4">
        <v>3207401</v>
      </c>
      <c r="I1789" s="3" t="s">
        <v>472</v>
      </c>
      <c r="J1789" s="3" t="s">
        <v>400</v>
      </c>
      <c r="K1789" s="4">
        <v>3818608</v>
      </c>
    </row>
    <row r="1790" spans="2:13" s="3" customFormat="1" x14ac:dyDescent="0.3">
      <c r="B1790" s="44">
        <v>45976</v>
      </c>
      <c r="C1790" s="3" t="s">
        <v>416</v>
      </c>
      <c r="D1790" s="3" t="s">
        <v>501</v>
      </c>
      <c r="E1790" s="42"/>
      <c r="F1790" s="3" t="s">
        <v>662</v>
      </c>
      <c r="G1790" s="3" t="s">
        <v>243</v>
      </c>
      <c r="H1790" s="4">
        <v>3899907</v>
      </c>
      <c r="I1790" s="3" t="s">
        <v>717</v>
      </c>
      <c r="J1790" s="3" t="s">
        <v>583</v>
      </c>
      <c r="K1790" s="4">
        <v>4022908</v>
      </c>
      <c r="L1790" s="4"/>
      <c r="M1790" s="4"/>
    </row>
    <row r="1791" spans="2:13" s="3" customFormat="1" x14ac:dyDescent="0.3">
      <c r="B1791" s="44">
        <v>45976</v>
      </c>
      <c r="C1791" s="3" t="s">
        <v>416</v>
      </c>
      <c r="D1791" s="3" t="s">
        <v>592</v>
      </c>
      <c r="E1791" s="42"/>
      <c r="F1791" s="3" t="s">
        <v>662</v>
      </c>
      <c r="G1791" s="3" t="s">
        <v>634</v>
      </c>
      <c r="H1791" s="74">
        <v>4023105</v>
      </c>
      <c r="I1791" s="3" t="s">
        <v>570</v>
      </c>
      <c r="J1791" s="3" t="s">
        <v>570</v>
      </c>
      <c r="K1791" s="4" t="s">
        <v>556</v>
      </c>
    </row>
    <row r="1792" spans="2:13" s="3" customFormat="1" x14ac:dyDescent="0.3">
      <c r="B1792" s="44">
        <v>45976</v>
      </c>
      <c r="C1792" s="3" t="s">
        <v>416</v>
      </c>
      <c r="D1792" s="3" t="s">
        <v>60</v>
      </c>
      <c r="E1792" s="42"/>
      <c r="F1792" s="3" t="s">
        <v>707</v>
      </c>
      <c r="G1792" s="3" t="s">
        <v>295</v>
      </c>
      <c r="H1792" s="4">
        <v>3207505</v>
      </c>
      <c r="I1792" s="3" t="s">
        <v>706</v>
      </c>
      <c r="J1792" s="3" t="s">
        <v>299</v>
      </c>
      <c r="K1792" s="32">
        <v>3199102</v>
      </c>
    </row>
    <row r="1793" spans="1:43" s="3" customFormat="1" x14ac:dyDescent="0.3">
      <c r="B1793" s="44">
        <v>45976</v>
      </c>
      <c r="C1793" s="3" t="s">
        <v>416</v>
      </c>
      <c r="D1793" s="3" t="s">
        <v>490</v>
      </c>
      <c r="E1793" s="4"/>
      <c r="F1793" s="3" t="s">
        <v>472</v>
      </c>
      <c r="G1793" s="3" t="s">
        <v>140</v>
      </c>
      <c r="H1793" s="4">
        <v>3357900</v>
      </c>
      <c r="I1793" s="4" t="s">
        <v>660</v>
      </c>
      <c r="J1793" s="4" t="s">
        <v>137</v>
      </c>
      <c r="K1793" s="4">
        <v>3359908</v>
      </c>
    </row>
    <row r="1794" spans="1:43" s="3" customFormat="1" x14ac:dyDescent="0.3">
      <c r="B1794" s="44">
        <v>45976</v>
      </c>
      <c r="C1794" s="3" t="s">
        <v>416</v>
      </c>
      <c r="D1794" s="3" t="s">
        <v>67</v>
      </c>
      <c r="E1794" s="42"/>
      <c r="F1794" s="4" t="s">
        <v>472</v>
      </c>
      <c r="G1794" s="4" t="s">
        <v>338</v>
      </c>
      <c r="H1794" s="4">
        <v>3207307</v>
      </c>
      <c r="I1794" s="4" t="s">
        <v>717</v>
      </c>
      <c r="J1794" s="4" t="s">
        <v>435</v>
      </c>
      <c r="K1794" s="4">
        <v>3195200</v>
      </c>
    </row>
    <row r="1795" spans="1:43" s="3" customFormat="1" x14ac:dyDescent="0.3">
      <c r="B1795" s="44">
        <v>45976</v>
      </c>
      <c r="C1795" s="3" t="s">
        <v>416</v>
      </c>
      <c r="D1795" s="3" t="s">
        <v>494</v>
      </c>
      <c r="E1795" s="42"/>
      <c r="F1795" s="4" t="s">
        <v>472</v>
      </c>
      <c r="G1795" s="4" t="s">
        <v>185</v>
      </c>
      <c r="H1795" s="4">
        <v>3357806</v>
      </c>
      <c r="I1795" s="4" t="s">
        <v>662</v>
      </c>
      <c r="J1795" s="4" t="s">
        <v>242</v>
      </c>
      <c r="K1795" s="4">
        <v>3358107</v>
      </c>
    </row>
    <row r="1796" spans="1:43" s="3" customFormat="1" x14ac:dyDescent="0.3">
      <c r="B1796" s="44">
        <v>45976</v>
      </c>
      <c r="C1796" s="3" t="s">
        <v>416</v>
      </c>
      <c r="D1796" s="3" t="s">
        <v>67</v>
      </c>
      <c r="E1796" s="42"/>
      <c r="F1796" s="3" t="s">
        <v>472</v>
      </c>
      <c r="G1796" s="3" t="s">
        <v>374</v>
      </c>
      <c r="H1796" s="4">
        <v>3207203</v>
      </c>
      <c r="I1796" s="4" t="s">
        <v>475</v>
      </c>
      <c r="J1796" s="4" t="s">
        <v>336</v>
      </c>
      <c r="K1796" s="4">
        <v>3211809</v>
      </c>
    </row>
    <row r="1797" spans="1:43" s="3" customFormat="1" x14ac:dyDescent="0.3">
      <c r="B1797" s="44">
        <v>45976</v>
      </c>
      <c r="C1797" s="3" t="s">
        <v>416</v>
      </c>
      <c r="D1797" s="3" t="s">
        <v>498</v>
      </c>
      <c r="E1797" s="42"/>
      <c r="F1797" s="3" t="s">
        <v>472</v>
      </c>
      <c r="G1797" s="3" t="s">
        <v>244</v>
      </c>
      <c r="H1797" s="4">
        <v>3357504</v>
      </c>
      <c r="I1797" s="3" t="s">
        <v>714</v>
      </c>
      <c r="J1797" s="3" t="s">
        <v>222</v>
      </c>
      <c r="K1797" s="4">
        <v>3348507</v>
      </c>
    </row>
    <row r="1798" spans="1:43" s="3" customFormat="1" x14ac:dyDescent="0.3">
      <c r="B1798" s="44">
        <v>45976</v>
      </c>
      <c r="C1798" s="3" t="s">
        <v>416</v>
      </c>
      <c r="D1798" s="3" t="s">
        <v>499</v>
      </c>
      <c r="E1798" s="42"/>
      <c r="F1798" s="3" t="s">
        <v>665</v>
      </c>
      <c r="G1798" s="3" t="s">
        <v>461</v>
      </c>
      <c r="H1798" s="4">
        <v>3818702</v>
      </c>
      <c r="I1798" s="3" t="s">
        <v>671</v>
      </c>
      <c r="J1798" s="3" t="s">
        <v>228</v>
      </c>
      <c r="K1798" s="53">
        <v>3358607</v>
      </c>
    </row>
    <row r="1799" spans="1:43" s="3" customFormat="1" x14ac:dyDescent="0.3">
      <c r="B1799" s="44">
        <v>45976</v>
      </c>
      <c r="C1799" s="3" t="s">
        <v>416</v>
      </c>
      <c r="D1799" s="3" t="s">
        <v>57</v>
      </c>
      <c r="E1799" s="42"/>
      <c r="F1799" s="3" t="s">
        <v>693</v>
      </c>
      <c r="G1799" s="3" t="s">
        <v>258</v>
      </c>
      <c r="H1799" s="4">
        <v>3207109</v>
      </c>
      <c r="I1799" s="74" t="s">
        <v>694</v>
      </c>
      <c r="J1799" s="74" t="s">
        <v>276</v>
      </c>
      <c r="K1799" s="74">
        <v>3201709</v>
      </c>
    </row>
    <row r="1800" spans="1:43" s="3" customFormat="1" x14ac:dyDescent="0.3">
      <c r="B1800" s="44">
        <v>45976</v>
      </c>
      <c r="C1800" s="3" t="s">
        <v>416</v>
      </c>
      <c r="D1800" s="3" t="s">
        <v>593</v>
      </c>
      <c r="E1800" s="42"/>
      <c r="F1800" s="3" t="s">
        <v>693</v>
      </c>
      <c r="G1800" s="3" t="s">
        <v>629</v>
      </c>
      <c r="H1800" s="4">
        <v>3961708</v>
      </c>
      <c r="I1800" s="4" t="s">
        <v>676</v>
      </c>
      <c r="J1800" s="4" t="s">
        <v>639</v>
      </c>
      <c r="K1800" s="4">
        <v>3776805</v>
      </c>
    </row>
    <row r="1801" spans="1:43" s="3" customFormat="1" x14ac:dyDescent="0.3">
      <c r="A1801" s="4"/>
      <c r="B1801" s="100">
        <v>45976</v>
      </c>
      <c r="C1801" s="98" t="s">
        <v>553</v>
      </c>
      <c r="D1801" s="4" t="s">
        <v>508</v>
      </c>
      <c r="E1801" s="4"/>
      <c r="F1801" s="73" t="s">
        <v>476</v>
      </c>
      <c r="G1801" s="73" t="s">
        <v>476</v>
      </c>
      <c r="H1801" s="73"/>
      <c r="I1801" s="73" t="s">
        <v>475</v>
      </c>
      <c r="J1801" s="73" t="s">
        <v>475</v>
      </c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</row>
    <row r="1802" spans="1:43" s="3" customFormat="1" x14ac:dyDescent="0.3">
      <c r="B1802" s="44">
        <v>45976</v>
      </c>
      <c r="C1802" s="3" t="s">
        <v>416</v>
      </c>
      <c r="D1802" s="3" t="s">
        <v>57</v>
      </c>
      <c r="E1802" s="42"/>
      <c r="F1802" s="32" t="s">
        <v>476</v>
      </c>
      <c r="G1802" s="32" t="s">
        <v>249</v>
      </c>
      <c r="H1802" s="15">
        <v>3038202</v>
      </c>
      <c r="I1802" s="4" t="s">
        <v>647</v>
      </c>
      <c r="J1802" s="4" t="s">
        <v>282</v>
      </c>
      <c r="K1802" s="4">
        <v>3193900</v>
      </c>
    </row>
    <row r="1803" spans="1:43" s="3" customFormat="1" x14ac:dyDescent="0.3">
      <c r="B1803" s="44">
        <v>45976</v>
      </c>
      <c r="C1803" s="3" t="s">
        <v>416</v>
      </c>
      <c r="D1803" s="3" t="s">
        <v>489</v>
      </c>
      <c r="E1803" s="4"/>
      <c r="F1803" s="4" t="s">
        <v>476</v>
      </c>
      <c r="G1803" s="4" t="s">
        <v>128</v>
      </c>
      <c r="H1803" s="4">
        <v>3357202</v>
      </c>
      <c r="I1803" s="3" t="s">
        <v>662</v>
      </c>
      <c r="J1803" s="3" t="s">
        <v>139</v>
      </c>
      <c r="K1803" s="4">
        <v>3358305</v>
      </c>
    </row>
    <row r="1804" spans="1:43" s="3" customFormat="1" x14ac:dyDescent="0.3">
      <c r="B1804" s="44">
        <v>45976</v>
      </c>
      <c r="C1804" s="3" t="s">
        <v>416</v>
      </c>
      <c r="D1804" s="3" t="s">
        <v>59</v>
      </c>
      <c r="E1804" s="42"/>
      <c r="F1804" s="3" t="s">
        <v>476</v>
      </c>
      <c r="G1804" s="3" t="s">
        <v>274</v>
      </c>
      <c r="H1804" s="4">
        <v>3206902</v>
      </c>
      <c r="I1804" s="4" t="s">
        <v>661</v>
      </c>
      <c r="J1804" s="4" t="s">
        <v>641</v>
      </c>
      <c r="K1804" s="4">
        <v>3055707</v>
      </c>
    </row>
    <row r="1805" spans="1:43" s="3" customFormat="1" x14ac:dyDescent="0.3">
      <c r="B1805" s="44">
        <v>45976</v>
      </c>
      <c r="C1805" s="3" t="s">
        <v>416</v>
      </c>
      <c r="D1805" s="3" t="s">
        <v>490</v>
      </c>
      <c r="E1805" s="4"/>
      <c r="F1805" s="3" t="s">
        <v>476</v>
      </c>
      <c r="G1805" s="3" t="s">
        <v>168</v>
      </c>
      <c r="H1805" s="4">
        <v>3356505</v>
      </c>
      <c r="I1805" s="4" t="s">
        <v>480</v>
      </c>
      <c r="J1805" s="4" t="s">
        <v>420</v>
      </c>
      <c r="K1805" s="4">
        <v>3360101</v>
      </c>
    </row>
    <row r="1806" spans="1:43" s="3" customFormat="1" x14ac:dyDescent="0.3">
      <c r="B1806" s="44">
        <v>45976</v>
      </c>
      <c r="C1806" s="3" t="s">
        <v>416</v>
      </c>
      <c r="D1806" s="3" t="s">
        <v>65</v>
      </c>
      <c r="E1806" s="42"/>
      <c r="F1806" s="3" t="s">
        <v>476</v>
      </c>
      <c r="G1806" s="3" t="s">
        <v>358</v>
      </c>
      <c r="H1806" s="4">
        <v>3206402</v>
      </c>
      <c r="I1806" s="4" t="s">
        <v>718</v>
      </c>
      <c r="J1806" s="4" t="s">
        <v>359</v>
      </c>
      <c r="K1806" s="4">
        <v>3204602</v>
      </c>
    </row>
    <row r="1807" spans="1:43" s="3" customFormat="1" x14ac:dyDescent="0.3">
      <c r="B1807" s="44">
        <v>45976</v>
      </c>
      <c r="C1807" s="3" t="s">
        <v>416</v>
      </c>
      <c r="D1807" s="3" t="s">
        <v>500</v>
      </c>
      <c r="E1807" s="42"/>
      <c r="F1807" s="3" t="s">
        <v>476</v>
      </c>
      <c r="G1807" s="3" t="s">
        <v>575</v>
      </c>
      <c r="H1807" s="4">
        <v>3900005</v>
      </c>
      <c r="I1807" s="4" t="s">
        <v>479</v>
      </c>
      <c r="J1807" s="4" t="s">
        <v>232</v>
      </c>
      <c r="K1807" s="4">
        <v>3360507</v>
      </c>
    </row>
    <row r="1808" spans="1:43" s="3" customFormat="1" x14ac:dyDescent="0.3">
      <c r="B1808" s="44">
        <v>45976</v>
      </c>
      <c r="C1808" s="3" t="s">
        <v>416</v>
      </c>
      <c r="D1808" s="3" t="s">
        <v>57</v>
      </c>
      <c r="E1808" s="42"/>
      <c r="F1808" s="4" t="s">
        <v>666</v>
      </c>
      <c r="G1808" s="4" t="s">
        <v>259</v>
      </c>
      <c r="H1808" s="4">
        <v>3205809</v>
      </c>
      <c r="I1808" s="4" t="s">
        <v>680</v>
      </c>
      <c r="J1808" s="4" t="s">
        <v>266</v>
      </c>
      <c r="K1808" s="4">
        <v>3208306</v>
      </c>
    </row>
    <row r="1809" spans="1:43" s="3" customFormat="1" x14ac:dyDescent="0.3">
      <c r="B1809" s="44">
        <v>45976</v>
      </c>
      <c r="C1809" s="3" t="s">
        <v>416</v>
      </c>
      <c r="D1809" s="3" t="s">
        <v>610</v>
      </c>
      <c r="E1809" s="42"/>
      <c r="F1809" s="3" t="s">
        <v>666</v>
      </c>
      <c r="G1809" s="3" t="s">
        <v>348</v>
      </c>
      <c r="H1809" s="4">
        <v>3205903</v>
      </c>
      <c r="I1809" s="4" t="s">
        <v>650</v>
      </c>
      <c r="J1809" s="4" t="s">
        <v>353</v>
      </c>
      <c r="K1809" s="4">
        <v>3200200</v>
      </c>
    </row>
    <row r="1810" spans="1:43" s="3" customFormat="1" x14ac:dyDescent="0.3">
      <c r="B1810" s="44">
        <v>45976</v>
      </c>
      <c r="C1810" s="3" t="s">
        <v>416</v>
      </c>
      <c r="D1810" s="3" t="s">
        <v>495</v>
      </c>
      <c r="E1810" s="42"/>
      <c r="F1810" s="3" t="s">
        <v>666</v>
      </c>
      <c r="G1810" s="3" t="s">
        <v>192</v>
      </c>
      <c r="H1810" s="53">
        <v>3357004</v>
      </c>
      <c r="I1810" s="3" t="s">
        <v>682</v>
      </c>
      <c r="J1810" s="3" t="s">
        <v>568</v>
      </c>
      <c r="K1810" s="4">
        <v>3969908</v>
      </c>
    </row>
    <row r="1811" spans="1:43" s="3" customFormat="1" x14ac:dyDescent="0.3">
      <c r="A1811" s="4"/>
      <c r="B1811" s="100">
        <v>45976</v>
      </c>
      <c r="C1811" s="98" t="s">
        <v>553</v>
      </c>
      <c r="D1811" s="4" t="s">
        <v>508</v>
      </c>
      <c r="E1811" s="4"/>
      <c r="F1811" s="73" t="s">
        <v>478</v>
      </c>
      <c r="G1811" s="73" t="s">
        <v>478</v>
      </c>
      <c r="H1811" s="73"/>
      <c r="I1811" s="73" t="s">
        <v>473</v>
      </c>
      <c r="J1811" s="73" t="s">
        <v>473</v>
      </c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</row>
    <row r="1812" spans="1:43" s="3" customFormat="1" x14ac:dyDescent="0.3">
      <c r="B1812" s="44">
        <v>45976</v>
      </c>
      <c r="C1812" s="3" t="s">
        <v>416</v>
      </c>
      <c r="D1812" s="3" t="s">
        <v>57</v>
      </c>
      <c r="E1812" s="42"/>
      <c r="F1812" s="73" t="s">
        <v>478</v>
      </c>
      <c r="G1812" s="73" t="s">
        <v>260</v>
      </c>
      <c r="H1812" s="15">
        <v>3205705</v>
      </c>
      <c r="I1812" s="32" t="s">
        <v>709</v>
      </c>
      <c r="J1812" s="32" t="s">
        <v>268</v>
      </c>
      <c r="K1812" s="15">
        <v>3203103</v>
      </c>
    </row>
    <row r="1813" spans="1:43" s="3" customFormat="1" x14ac:dyDescent="0.3">
      <c r="B1813" s="44">
        <v>45976</v>
      </c>
      <c r="C1813" s="3" t="s">
        <v>416</v>
      </c>
      <c r="D1813" s="3" t="s">
        <v>58</v>
      </c>
      <c r="E1813" s="42"/>
      <c r="F1813" s="32" t="s">
        <v>478</v>
      </c>
      <c r="G1813" s="32" t="s">
        <v>267</v>
      </c>
      <c r="H1813" s="15">
        <v>3205205</v>
      </c>
      <c r="I1813" s="3" t="s">
        <v>704</v>
      </c>
      <c r="J1813" s="3" t="s">
        <v>297</v>
      </c>
      <c r="K1813" s="32">
        <v>3204008</v>
      </c>
    </row>
    <row r="1814" spans="1:43" s="3" customFormat="1" x14ac:dyDescent="0.3">
      <c r="B1814" s="44">
        <v>45976</v>
      </c>
      <c r="C1814" s="3" t="s">
        <v>416</v>
      </c>
      <c r="D1814" s="3" t="s">
        <v>61</v>
      </c>
      <c r="E1814" s="42"/>
      <c r="F1814" s="4" t="s">
        <v>478</v>
      </c>
      <c r="G1814" s="4" t="s">
        <v>330</v>
      </c>
      <c r="H1814" s="4">
        <v>3205309</v>
      </c>
      <c r="I1814" s="4" t="s">
        <v>477</v>
      </c>
      <c r="J1814" s="4" t="s">
        <v>332</v>
      </c>
      <c r="K1814" s="4">
        <v>3199206</v>
      </c>
    </row>
    <row r="1815" spans="1:43" s="3" customFormat="1" x14ac:dyDescent="0.3">
      <c r="B1815" s="44">
        <v>45976</v>
      </c>
      <c r="C1815" s="3" t="s">
        <v>416</v>
      </c>
      <c r="D1815" s="3" t="s">
        <v>56</v>
      </c>
      <c r="E1815" s="42"/>
      <c r="F1815" s="3" t="s">
        <v>690</v>
      </c>
      <c r="G1815" s="3" t="s">
        <v>250</v>
      </c>
      <c r="H1815" s="4">
        <v>3070100</v>
      </c>
      <c r="I1815" s="3" t="s">
        <v>475</v>
      </c>
      <c r="J1815" s="3" t="s">
        <v>256</v>
      </c>
      <c r="K1815" s="4">
        <v>3068700</v>
      </c>
    </row>
    <row r="1816" spans="1:43" s="3" customFormat="1" x14ac:dyDescent="0.3">
      <c r="B1816" s="44">
        <v>45976</v>
      </c>
      <c r="C1816" s="3" t="s">
        <v>416</v>
      </c>
      <c r="D1816" s="3" t="s">
        <v>58</v>
      </c>
      <c r="E1816" s="42"/>
      <c r="F1816" s="3" t="s">
        <v>690</v>
      </c>
      <c r="G1816" s="3" t="s">
        <v>303</v>
      </c>
      <c r="H1816" s="4">
        <v>3205101</v>
      </c>
      <c r="I1816" s="3" t="s">
        <v>712</v>
      </c>
      <c r="J1816" s="3" t="s">
        <v>270</v>
      </c>
      <c r="K1816" s="4">
        <v>3069605</v>
      </c>
    </row>
    <row r="1817" spans="1:43" s="3" customFormat="1" x14ac:dyDescent="0.3">
      <c r="B1817" s="44">
        <v>45976</v>
      </c>
      <c r="C1817" s="3" t="s">
        <v>416</v>
      </c>
      <c r="D1817" s="3" t="s">
        <v>61</v>
      </c>
      <c r="E1817" s="42"/>
      <c r="F1817" s="3" t="s">
        <v>690</v>
      </c>
      <c r="G1817" s="3" t="s">
        <v>304</v>
      </c>
      <c r="H1817" s="4">
        <v>3204404</v>
      </c>
      <c r="I1817" s="3" t="s">
        <v>703</v>
      </c>
      <c r="J1817" s="3" t="s">
        <v>596</v>
      </c>
      <c r="K1817" s="4" t="s">
        <v>556</v>
      </c>
    </row>
    <row r="1818" spans="1:43" s="3" customFormat="1" x14ac:dyDescent="0.3">
      <c r="B1818" s="44">
        <v>45976</v>
      </c>
      <c r="C1818" s="3" t="s">
        <v>416</v>
      </c>
      <c r="D1818" s="3" t="s">
        <v>66</v>
      </c>
      <c r="E1818" s="42"/>
      <c r="F1818" s="3" t="s">
        <v>690</v>
      </c>
      <c r="G1818" s="3" t="s">
        <v>605</v>
      </c>
      <c r="H1818" s="74">
        <v>3900109</v>
      </c>
      <c r="I1818" s="104" t="s">
        <v>659</v>
      </c>
      <c r="J1818" s="104" t="s">
        <v>602</v>
      </c>
      <c r="K1818" s="74">
        <v>4023001</v>
      </c>
    </row>
    <row r="1819" spans="1:43" s="3" customFormat="1" x14ac:dyDescent="0.3">
      <c r="B1819" s="44">
        <v>45976</v>
      </c>
      <c r="C1819" s="3" t="s">
        <v>416</v>
      </c>
      <c r="D1819" s="3" t="s">
        <v>57</v>
      </c>
      <c r="E1819" s="42"/>
      <c r="F1819" s="3" t="s">
        <v>682</v>
      </c>
      <c r="G1819" s="3" t="s">
        <v>584</v>
      </c>
      <c r="H1819" s="4">
        <v>3069303</v>
      </c>
      <c r="I1819" s="3" t="s">
        <v>667</v>
      </c>
      <c r="J1819" s="3" t="s">
        <v>257</v>
      </c>
      <c r="K1819" s="4">
        <v>3209805</v>
      </c>
    </row>
    <row r="1820" spans="1:43" s="3" customFormat="1" x14ac:dyDescent="0.3">
      <c r="B1820" s="44">
        <v>45976</v>
      </c>
      <c r="C1820" s="3" t="s">
        <v>416</v>
      </c>
      <c r="D1820" s="3" t="s">
        <v>489</v>
      </c>
      <c r="E1820" s="4"/>
      <c r="F1820" s="4" t="s">
        <v>682</v>
      </c>
      <c r="G1820" s="4" t="s">
        <v>564</v>
      </c>
      <c r="H1820" s="4">
        <v>3969804</v>
      </c>
      <c r="I1820" s="4" t="s">
        <v>474</v>
      </c>
      <c r="J1820" s="4" t="s">
        <v>130</v>
      </c>
      <c r="K1820" s="4">
        <v>3352405</v>
      </c>
    </row>
    <row r="1821" spans="1:43" s="3" customFormat="1" x14ac:dyDescent="0.3">
      <c r="B1821" s="44">
        <v>45976</v>
      </c>
      <c r="C1821" s="3" t="s">
        <v>416</v>
      </c>
      <c r="D1821" s="3" t="s">
        <v>501</v>
      </c>
      <c r="E1821" s="42"/>
      <c r="F1821" s="3" t="s">
        <v>682</v>
      </c>
      <c r="G1821" s="3" t="s">
        <v>579</v>
      </c>
      <c r="H1821" s="53">
        <v>3970007</v>
      </c>
      <c r="I1821" s="3" t="s">
        <v>475</v>
      </c>
      <c r="J1821" s="3" t="s">
        <v>241</v>
      </c>
      <c r="K1821" s="4">
        <v>3362401</v>
      </c>
      <c r="L1821" s="4"/>
      <c r="M1821" s="4"/>
    </row>
    <row r="1822" spans="1:43" s="3" customFormat="1" x14ac:dyDescent="0.3">
      <c r="B1822" s="44">
        <v>45976</v>
      </c>
      <c r="C1822" s="3" t="s">
        <v>416</v>
      </c>
      <c r="D1822" s="3" t="s">
        <v>592</v>
      </c>
      <c r="E1822" s="42"/>
      <c r="F1822" s="3" t="s">
        <v>682</v>
      </c>
      <c r="G1822" s="3" t="s">
        <v>635</v>
      </c>
      <c r="H1822" s="74">
        <v>3969700</v>
      </c>
      <c r="I1822" s="3" t="s">
        <v>475</v>
      </c>
      <c r="J1822" s="3" t="s">
        <v>398</v>
      </c>
      <c r="K1822" s="74">
        <v>3211601</v>
      </c>
    </row>
    <row r="1823" spans="1:43" s="3" customFormat="1" x14ac:dyDescent="0.3">
      <c r="B1823" s="44">
        <v>45976</v>
      </c>
      <c r="C1823" s="3" t="s">
        <v>416</v>
      </c>
      <c r="D1823" s="3" t="s">
        <v>62</v>
      </c>
      <c r="E1823" s="42"/>
      <c r="F1823" s="3" t="s">
        <v>700</v>
      </c>
      <c r="G1823" s="3" t="s">
        <v>442</v>
      </c>
      <c r="H1823" s="4">
        <v>3205007</v>
      </c>
      <c r="I1823" s="3" t="s">
        <v>677</v>
      </c>
      <c r="J1823" s="3" t="s">
        <v>324</v>
      </c>
      <c r="K1823" s="4">
        <v>3201605</v>
      </c>
    </row>
    <row r="1824" spans="1:43" s="3" customFormat="1" x14ac:dyDescent="0.3">
      <c r="B1824" s="44">
        <v>45976</v>
      </c>
      <c r="C1824" s="3" t="s">
        <v>416</v>
      </c>
      <c r="D1824" s="3" t="s">
        <v>493</v>
      </c>
      <c r="E1824" s="42"/>
      <c r="F1824" s="3" t="s">
        <v>701</v>
      </c>
      <c r="G1824" s="3" t="s">
        <v>171</v>
      </c>
      <c r="H1824" s="4">
        <v>3355600</v>
      </c>
      <c r="I1824" s="4" t="s">
        <v>471</v>
      </c>
      <c r="J1824" s="4" t="s">
        <v>174</v>
      </c>
      <c r="K1824" s="4">
        <v>3348101</v>
      </c>
    </row>
    <row r="1825" spans="2:13" s="3" customFormat="1" x14ac:dyDescent="0.3">
      <c r="B1825" s="44">
        <v>45976</v>
      </c>
      <c r="C1825" s="3" t="s">
        <v>416</v>
      </c>
      <c r="D1825" s="3" t="s">
        <v>62</v>
      </c>
      <c r="E1825" s="42"/>
      <c r="F1825" s="3" t="s">
        <v>701</v>
      </c>
      <c r="G1825" s="3" t="s">
        <v>360</v>
      </c>
      <c r="H1825" s="4">
        <v>3203801</v>
      </c>
      <c r="I1825" s="4" t="s">
        <v>694</v>
      </c>
      <c r="J1825" s="4" t="s">
        <v>340</v>
      </c>
      <c r="K1825" s="4">
        <v>3201803</v>
      </c>
    </row>
    <row r="1826" spans="2:13" s="3" customFormat="1" x14ac:dyDescent="0.3">
      <c r="B1826" s="44">
        <v>45976</v>
      </c>
      <c r="C1826" s="3" t="s">
        <v>416</v>
      </c>
      <c r="D1826" s="3" t="s">
        <v>500</v>
      </c>
      <c r="E1826" s="42"/>
      <c r="F1826" s="3" t="s">
        <v>701</v>
      </c>
      <c r="G1826" s="3" t="s">
        <v>236</v>
      </c>
      <c r="H1826" s="4">
        <v>3355704</v>
      </c>
      <c r="I1826" s="4" t="s">
        <v>679</v>
      </c>
      <c r="J1826" s="4" t="s">
        <v>466</v>
      </c>
      <c r="K1826" s="4">
        <v>3346707</v>
      </c>
    </row>
    <row r="1827" spans="2:13" s="3" customFormat="1" x14ac:dyDescent="0.3">
      <c r="B1827" s="44">
        <v>45976</v>
      </c>
      <c r="C1827" s="3" t="s">
        <v>416</v>
      </c>
      <c r="D1827" s="3" t="s">
        <v>593</v>
      </c>
      <c r="E1827" s="42"/>
      <c r="F1827" s="3" t="s">
        <v>701</v>
      </c>
      <c r="G1827" s="3" t="s">
        <v>631</v>
      </c>
      <c r="H1827" s="4">
        <v>4023209</v>
      </c>
      <c r="I1827" s="4" t="s">
        <v>476</v>
      </c>
      <c r="J1827" s="4" t="s">
        <v>630</v>
      </c>
      <c r="K1827" s="4">
        <v>3206308</v>
      </c>
    </row>
    <row r="1828" spans="2:13" s="3" customFormat="1" x14ac:dyDescent="0.3">
      <c r="B1828" s="44">
        <v>45976</v>
      </c>
      <c r="C1828" s="3" t="s">
        <v>416</v>
      </c>
      <c r="D1828" s="3" t="s">
        <v>58</v>
      </c>
      <c r="E1828" s="42"/>
      <c r="F1828" s="3" t="s">
        <v>702</v>
      </c>
      <c r="G1828" s="3" t="s">
        <v>447</v>
      </c>
      <c r="H1828" s="4">
        <v>3055207</v>
      </c>
      <c r="I1828" s="3" t="s">
        <v>703</v>
      </c>
      <c r="J1828" s="3" t="s">
        <v>586</v>
      </c>
      <c r="K1828" s="32" t="s">
        <v>588</v>
      </c>
    </row>
    <row r="1829" spans="2:13" s="3" customFormat="1" x14ac:dyDescent="0.3">
      <c r="B1829" s="44">
        <v>45976</v>
      </c>
      <c r="C1829" s="3" t="s">
        <v>416</v>
      </c>
      <c r="D1829" s="3" t="s">
        <v>60</v>
      </c>
      <c r="E1829" s="42"/>
      <c r="F1829" s="3" t="s">
        <v>695</v>
      </c>
      <c r="G1829" s="3" t="s">
        <v>296</v>
      </c>
      <c r="H1829" s="4">
        <v>3203905</v>
      </c>
      <c r="I1829" s="3" t="s">
        <v>473</v>
      </c>
      <c r="J1829" s="3" t="s">
        <v>445</v>
      </c>
      <c r="K1829" s="4">
        <v>3204102</v>
      </c>
    </row>
    <row r="1830" spans="2:13" s="3" customFormat="1" x14ac:dyDescent="0.3">
      <c r="B1830" s="44">
        <v>45976</v>
      </c>
      <c r="C1830" s="3" t="s">
        <v>416</v>
      </c>
      <c r="D1830" s="3" t="s">
        <v>488</v>
      </c>
      <c r="E1830" s="42"/>
      <c r="F1830" s="4" t="s">
        <v>695</v>
      </c>
      <c r="G1830" s="4" t="s">
        <v>147</v>
      </c>
      <c r="H1830" s="4">
        <v>3067409</v>
      </c>
      <c r="I1830" s="4" t="s">
        <v>645</v>
      </c>
      <c r="J1830" s="4" t="s">
        <v>151</v>
      </c>
      <c r="K1830" s="4">
        <v>3351208</v>
      </c>
    </row>
    <row r="1831" spans="2:13" s="3" customFormat="1" x14ac:dyDescent="0.3">
      <c r="B1831" s="44">
        <v>45976</v>
      </c>
      <c r="C1831" s="3" t="s">
        <v>416</v>
      </c>
      <c r="D1831" s="3" t="s">
        <v>488</v>
      </c>
      <c r="E1831" s="42"/>
      <c r="F1831" s="3" t="s">
        <v>704</v>
      </c>
      <c r="G1831" s="3" t="s">
        <v>120</v>
      </c>
      <c r="H1831" s="4">
        <v>3355506</v>
      </c>
      <c r="I1831" s="3" t="s">
        <v>690</v>
      </c>
      <c r="J1831" s="3" t="s">
        <v>118</v>
      </c>
      <c r="K1831" s="4">
        <v>3356005</v>
      </c>
    </row>
    <row r="1832" spans="2:13" s="3" customFormat="1" x14ac:dyDescent="0.3">
      <c r="B1832" s="44">
        <v>45976</v>
      </c>
      <c r="C1832" s="3" t="s">
        <v>416</v>
      </c>
      <c r="D1832" s="3" t="s">
        <v>67</v>
      </c>
      <c r="E1832" s="42"/>
      <c r="F1832" s="4" t="s">
        <v>708</v>
      </c>
      <c r="G1832" s="4" t="s">
        <v>339</v>
      </c>
      <c r="H1832" s="4">
        <v>3204300</v>
      </c>
      <c r="I1832" s="4" t="s">
        <v>715</v>
      </c>
      <c r="J1832" s="4" t="s">
        <v>377</v>
      </c>
      <c r="K1832" s="4">
        <v>3200106</v>
      </c>
    </row>
    <row r="1833" spans="2:13" s="3" customFormat="1" x14ac:dyDescent="0.3">
      <c r="B1833" s="44">
        <v>45976</v>
      </c>
      <c r="C1833" s="3" t="s">
        <v>416</v>
      </c>
      <c r="D1833" s="3" t="s">
        <v>501</v>
      </c>
      <c r="E1833" s="42"/>
      <c r="F1833" s="3" t="s">
        <v>708</v>
      </c>
      <c r="G1833" s="3" t="s">
        <v>598</v>
      </c>
      <c r="H1833" s="4">
        <v>3354903</v>
      </c>
      <c r="I1833" s="3" t="s">
        <v>689</v>
      </c>
      <c r="J1833" s="3" t="s">
        <v>580</v>
      </c>
      <c r="K1833" s="4">
        <v>3350001</v>
      </c>
      <c r="L1833" s="4"/>
      <c r="M1833" s="4"/>
    </row>
    <row r="1834" spans="2:13" s="3" customFormat="1" x14ac:dyDescent="0.3">
      <c r="B1834" s="44">
        <v>45976</v>
      </c>
      <c r="C1834" s="3" t="s">
        <v>416</v>
      </c>
      <c r="D1834" s="3" t="s">
        <v>488</v>
      </c>
      <c r="E1834" s="42"/>
      <c r="F1834" s="3" t="s">
        <v>703</v>
      </c>
      <c r="G1834" s="3" t="s">
        <v>560</v>
      </c>
      <c r="H1834" s="4" t="s">
        <v>562</v>
      </c>
      <c r="I1834" s="4" t="s">
        <v>684</v>
      </c>
      <c r="J1834" s="4" t="s">
        <v>121</v>
      </c>
      <c r="K1834" s="4">
        <v>3354309</v>
      </c>
    </row>
    <row r="1835" spans="2:13" s="3" customFormat="1" x14ac:dyDescent="0.3">
      <c r="B1835" s="44">
        <v>45976</v>
      </c>
      <c r="C1835" s="3" t="s">
        <v>416</v>
      </c>
      <c r="D1835" s="3" t="s">
        <v>66</v>
      </c>
      <c r="E1835" s="42"/>
      <c r="F1835" s="3" t="s">
        <v>703</v>
      </c>
      <c r="G1835" s="3" t="s">
        <v>606</v>
      </c>
      <c r="H1835" s="74" t="s">
        <v>588</v>
      </c>
      <c r="I1835" s="3" t="s">
        <v>684</v>
      </c>
      <c r="J1835" s="3" t="s">
        <v>608</v>
      </c>
      <c r="K1835" s="74">
        <v>3819107</v>
      </c>
    </row>
    <row r="1836" spans="2:13" s="3" customFormat="1" x14ac:dyDescent="0.3">
      <c r="B1836" s="44">
        <v>45976</v>
      </c>
      <c r="C1836" s="3" t="s">
        <v>416</v>
      </c>
      <c r="D1836" s="3" t="s">
        <v>487</v>
      </c>
      <c r="E1836" s="4"/>
      <c r="F1836" s="3" t="s">
        <v>709</v>
      </c>
      <c r="G1836" s="3" t="s">
        <v>111</v>
      </c>
      <c r="H1836" s="4">
        <v>3354601</v>
      </c>
      <c r="I1836" s="4" t="s">
        <v>657</v>
      </c>
      <c r="J1836" s="4" t="s">
        <v>107</v>
      </c>
      <c r="K1836" s="4">
        <v>3068408</v>
      </c>
    </row>
    <row r="1837" spans="2:13" s="3" customFormat="1" x14ac:dyDescent="0.3">
      <c r="B1837" s="44">
        <v>45976</v>
      </c>
      <c r="C1837" s="3" t="s">
        <v>416</v>
      </c>
      <c r="D1837" s="3" t="s">
        <v>491</v>
      </c>
      <c r="E1837" s="42"/>
      <c r="F1837" s="4" t="s">
        <v>709</v>
      </c>
      <c r="G1837" s="4" t="s">
        <v>566</v>
      </c>
      <c r="H1837" s="4">
        <v>3560703</v>
      </c>
      <c r="I1837" s="4" t="s">
        <v>702</v>
      </c>
      <c r="J1837" s="4" t="s">
        <v>180</v>
      </c>
      <c r="K1837" s="4">
        <v>3355308</v>
      </c>
    </row>
    <row r="1838" spans="2:13" s="3" customFormat="1" x14ac:dyDescent="0.3">
      <c r="B1838" s="44">
        <v>45976</v>
      </c>
      <c r="C1838" s="3" t="s">
        <v>416</v>
      </c>
      <c r="D1838" s="3" t="s">
        <v>66</v>
      </c>
      <c r="E1838" s="42"/>
      <c r="F1838" s="3" t="s">
        <v>709</v>
      </c>
      <c r="G1838" s="3" t="s">
        <v>607</v>
      </c>
      <c r="H1838" s="4">
        <v>3596309</v>
      </c>
      <c r="I1838" s="3" t="s">
        <v>478</v>
      </c>
      <c r="J1838" s="3" t="s">
        <v>604</v>
      </c>
      <c r="K1838" s="74">
        <v>3205507</v>
      </c>
    </row>
    <row r="1839" spans="2:13" s="3" customFormat="1" x14ac:dyDescent="0.3">
      <c r="B1839" s="44">
        <v>45976</v>
      </c>
      <c r="C1839" s="3" t="s">
        <v>416</v>
      </c>
      <c r="D1839" s="3" t="s">
        <v>61</v>
      </c>
      <c r="E1839" s="42"/>
      <c r="F1839" s="3" t="s">
        <v>684</v>
      </c>
      <c r="G1839" s="3" t="s">
        <v>306</v>
      </c>
      <c r="H1839" s="4">
        <v>3202604</v>
      </c>
      <c r="I1839" s="4" t="s">
        <v>658</v>
      </c>
      <c r="J1839" s="4" t="s">
        <v>301</v>
      </c>
      <c r="K1839" s="4">
        <v>3210300</v>
      </c>
    </row>
    <row r="1840" spans="2:13" s="3" customFormat="1" x14ac:dyDescent="0.3">
      <c r="B1840" s="44">
        <v>45976</v>
      </c>
      <c r="C1840" s="3" t="s">
        <v>416</v>
      </c>
      <c r="D1840" s="3" t="s">
        <v>491</v>
      </c>
      <c r="E1840" s="42"/>
      <c r="F1840" s="3" t="s">
        <v>684</v>
      </c>
      <c r="G1840" s="3" t="s">
        <v>149</v>
      </c>
      <c r="H1840" s="4">
        <v>3354507</v>
      </c>
      <c r="I1840" s="3" t="s">
        <v>695</v>
      </c>
      <c r="J1840" s="3" t="s">
        <v>148</v>
      </c>
      <c r="K1840" s="4">
        <v>3355402</v>
      </c>
    </row>
    <row r="1841" spans="2:11" s="3" customFormat="1" x14ac:dyDescent="0.3">
      <c r="B1841" s="44">
        <v>45976</v>
      </c>
      <c r="C1841" s="3" t="s">
        <v>416</v>
      </c>
      <c r="D1841" s="3" t="s">
        <v>63</v>
      </c>
      <c r="E1841" s="42"/>
      <c r="F1841" s="3" t="s">
        <v>684</v>
      </c>
      <c r="G1841" s="3" t="s">
        <v>369</v>
      </c>
      <c r="H1841" s="74">
        <v>3202708</v>
      </c>
      <c r="I1841" s="104" t="s">
        <v>712</v>
      </c>
      <c r="J1841" s="104" t="s">
        <v>334</v>
      </c>
      <c r="K1841" s="74">
        <v>3198009</v>
      </c>
    </row>
    <row r="1842" spans="2:11" s="3" customFormat="1" x14ac:dyDescent="0.3">
      <c r="B1842" s="44">
        <v>45976</v>
      </c>
      <c r="C1842" s="3" t="s">
        <v>416</v>
      </c>
      <c r="D1842" s="3" t="s">
        <v>491</v>
      </c>
      <c r="E1842" s="42"/>
      <c r="F1842" s="104" t="s">
        <v>684</v>
      </c>
      <c r="G1842" s="104" t="s">
        <v>182</v>
      </c>
      <c r="H1842" s="53">
        <v>3900203</v>
      </c>
      <c r="I1842" s="3" t="s">
        <v>478</v>
      </c>
      <c r="J1842" s="3" t="s">
        <v>463</v>
      </c>
      <c r="K1842" s="74">
        <v>3125500</v>
      </c>
    </row>
    <row r="1843" spans="2:11" s="3" customFormat="1" x14ac:dyDescent="0.3">
      <c r="B1843" s="44">
        <v>45976</v>
      </c>
      <c r="C1843" s="3" t="s">
        <v>416</v>
      </c>
      <c r="D1843" s="3" t="s">
        <v>56</v>
      </c>
      <c r="E1843" s="42"/>
      <c r="F1843" s="3" t="s">
        <v>646</v>
      </c>
      <c r="G1843" s="3" t="s">
        <v>251</v>
      </c>
      <c r="H1843" s="4">
        <v>3036704</v>
      </c>
      <c r="I1843" s="4" t="s">
        <v>688</v>
      </c>
      <c r="J1843" s="4" t="s">
        <v>264</v>
      </c>
      <c r="K1843" s="4">
        <v>3055603</v>
      </c>
    </row>
    <row r="1844" spans="2:11" s="3" customFormat="1" x14ac:dyDescent="0.3">
      <c r="B1844" s="44">
        <v>45976</v>
      </c>
      <c r="C1844" s="3" t="s">
        <v>416</v>
      </c>
      <c r="D1844" s="3" t="s">
        <v>492</v>
      </c>
      <c r="E1844" s="42"/>
      <c r="F1844" s="3" t="s">
        <v>646</v>
      </c>
      <c r="G1844" s="3" t="s">
        <v>159</v>
      </c>
      <c r="H1844" s="4">
        <v>3354403</v>
      </c>
      <c r="I1844" s="3" t="s">
        <v>666</v>
      </c>
      <c r="J1844" s="3" t="s">
        <v>158</v>
      </c>
      <c r="K1844" s="4">
        <v>3356901</v>
      </c>
    </row>
    <row r="1845" spans="2:11" s="3" customFormat="1" x14ac:dyDescent="0.3">
      <c r="B1845" s="44">
        <v>45976</v>
      </c>
      <c r="C1845" s="3" t="s">
        <v>416</v>
      </c>
      <c r="D1845" s="3" t="s">
        <v>64</v>
      </c>
      <c r="E1845" s="42">
        <v>4370907</v>
      </c>
      <c r="F1845" s="3" t="s">
        <v>646</v>
      </c>
      <c r="G1845" s="3" t="s">
        <v>349</v>
      </c>
      <c r="H1845" s="4">
        <v>3202500</v>
      </c>
      <c r="I1845" s="4" t="s">
        <v>671</v>
      </c>
      <c r="J1845" s="4" t="s">
        <v>312</v>
      </c>
      <c r="K1845" s="4">
        <v>3209107</v>
      </c>
    </row>
    <row r="1846" spans="2:11" s="3" customFormat="1" x14ac:dyDescent="0.3">
      <c r="B1846" s="44">
        <v>45976</v>
      </c>
      <c r="C1846" s="3" t="s">
        <v>416</v>
      </c>
      <c r="D1846" s="3" t="s">
        <v>495</v>
      </c>
      <c r="E1846" s="42"/>
      <c r="F1846" s="3" t="s">
        <v>646</v>
      </c>
      <c r="G1846" s="3" t="s">
        <v>195</v>
      </c>
      <c r="H1846" s="74">
        <v>3361600</v>
      </c>
      <c r="I1846" s="3" t="s">
        <v>699</v>
      </c>
      <c r="J1846" s="3" t="s">
        <v>569</v>
      </c>
      <c r="K1846" s="4">
        <v>3125708</v>
      </c>
    </row>
    <row r="1847" spans="2:11" s="3" customFormat="1" x14ac:dyDescent="0.3">
      <c r="B1847" s="44">
        <v>45976</v>
      </c>
      <c r="C1847" s="3" t="s">
        <v>416</v>
      </c>
      <c r="D1847" s="3" t="s">
        <v>61</v>
      </c>
      <c r="E1847" s="42"/>
      <c r="F1847" s="3" t="s">
        <v>696</v>
      </c>
      <c r="G1847" s="3" t="s">
        <v>307</v>
      </c>
      <c r="H1847" s="4">
        <v>3201907</v>
      </c>
      <c r="I1847" s="106" t="s">
        <v>659</v>
      </c>
      <c r="J1847" s="106" t="s">
        <v>367</v>
      </c>
      <c r="K1847" s="106">
        <v>3208806</v>
      </c>
    </row>
    <row r="1848" spans="2:11" s="3" customFormat="1" x14ac:dyDescent="0.3">
      <c r="B1848" s="44">
        <v>45976</v>
      </c>
      <c r="C1848" s="3" t="s">
        <v>416</v>
      </c>
      <c r="D1848" s="3" t="s">
        <v>66</v>
      </c>
      <c r="E1848" s="42"/>
      <c r="F1848" s="3" t="s">
        <v>696</v>
      </c>
      <c r="G1848" s="3" t="s">
        <v>609</v>
      </c>
      <c r="H1848" s="74">
        <v>3900401</v>
      </c>
      <c r="I1848" s="104" t="s">
        <v>680</v>
      </c>
      <c r="J1848" s="104" t="s">
        <v>603</v>
      </c>
      <c r="K1848" s="74">
        <v>3945400</v>
      </c>
    </row>
    <row r="1849" spans="2:11" s="3" customFormat="1" x14ac:dyDescent="0.3">
      <c r="B1849" s="44">
        <v>45976</v>
      </c>
      <c r="C1849" s="3" t="s">
        <v>416</v>
      </c>
      <c r="D1849" s="3" t="s">
        <v>500</v>
      </c>
      <c r="E1849" s="42"/>
      <c r="F1849" s="3" t="s">
        <v>672</v>
      </c>
      <c r="G1849" s="3" t="s">
        <v>187</v>
      </c>
      <c r="H1849" s="4">
        <v>3354101</v>
      </c>
      <c r="I1849" s="4" t="s">
        <v>663</v>
      </c>
      <c r="J1849" s="4" t="s">
        <v>239</v>
      </c>
      <c r="K1849" s="4">
        <v>3348809</v>
      </c>
    </row>
    <row r="1850" spans="2:11" s="3" customFormat="1" x14ac:dyDescent="0.3">
      <c r="B1850" s="44">
        <v>45976</v>
      </c>
      <c r="C1850" s="3" t="s">
        <v>416</v>
      </c>
      <c r="D1850" s="3" t="s">
        <v>67</v>
      </c>
      <c r="E1850" s="42"/>
      <c r="F1850" s="3" t="s">
        <v>672</v>
      </c>
      <c r="G1850" s="3" t="s">
        <v>375</v>
      </c>
      <c r="H1850" s="4">
        <v>3069209</v>
      </c>
      <c r="I1850" s="3" t="s">
        <v>570</v>
      </c>
      <c r="J1850" s="3" t="s">
        <v>570</v>
      </c>
      <c r="K1850" s="4" t="s">
        <v>556</v>
      </c>
    </row>
    <row r="1851" spans="2:11" s="3" customFormat="1" x14ac:dyDescent="0.3">
      <c r="B1851" s="44">
        <v>45976</v>
      </c>
      <c r="C1851" s="3" t="s">
        <v>416</v>
      </c>
      <c r="D1851" s="3" t="s">
        <v>58</v>
      </c>
      <c r="E1851" s="42"/>
      <c r="F1851" s="3" t="s">
        <v>697</v>
      </c>
      <c r="G1851" s="3" t="s">
        <v>262</v>
      </c>
      <c r="H1851" s="4">
        <v>3055405</v>
      </c>
      <c r="I1851" s="3" t="s">
        <v>721</v>
      </c>
      <c r="J1851" s="3" t="s">
        <v>271</v>
      </c>
      <c r="K1851" s="32">
        <v>3194701</v>
      </c>
    </row>
    <row r="1852" spans="2:11" s="3" customFormat="1" x14ac:dyDescent="0.3">
      <c r="B1852" s="44">
        <v>45976</v>
      </c>
      <c r="C1852" s="3" t="s">
        <v>416</v>
      </c>
      <c r="D1852" s="3" t="s">
        <v>491</v>
      </c>
      <c r="E1852" s="42"/>
      <c r="F1852" s="3" t="s">
        <v>697</v>
      </c>
      <c r="G1852" s="3" t="s">
        <v>150</v>
      </c>
      <c r="H1852" s="4">
        <v>3353706</v>
      </c>
      <c r="I1852" s="3" t="s">
        <v>690</v>
      </c>
      <c r="J1852" s="3" t="s">
        <v>179</v>
      </c>
      <c r="K1852" s="4">
        <v>3818900</v>
      </c>
    </row>
    <row r="1853" spans="2:11" s="3" customFormat="1" x14ac:dyDescent="0.3">
      <c r="B1853" s="44">
        <v>45976</v>
      </c>
      <c r="C1853" s="3" t="s">
        <v>416</v>
      </c>
      <c r="D1853" s="3" t="s">
        <v>63</v>
      </c>
      <c r="E1853" s="42"/>
      <c r="F1853" s="3" t="s">
        <v>697</v>
      </c>
      <c r="G1853" s="3" t="s">
        <v>448</v>
      </c>
      <c r="H1853" s="4">
        <v>3036808</v>
      </c>
      <c r="I1853" s="3" t="s">
        <v>683</v>
      </c>
      <c r="J1853" s="3" t="s">
        <v>368</v>
      </c>
      <c r="K1853" s="74">
        <v>3203009</v>
      </c>
    </row>
    <row r="1854" spans="2:11" s="3" customFormat="1" x14ac:dyDescent="0.3">
      <c r="B1854" s="44">
        <v>45976</v>
      </c>
      <c r="C1854" s="3" t="s">
        <v>416</v>
      </c>
      <c r="D1854" s="3" t="s">
        <v>504</v>
      </c>
      <c r="E1854" s="42"/>
      <c r="F1854" s="4" t="s">
        <v>694</v>
      </c>
      <c r="G1854" s="4" t="s">
        <v>112</v>
      </c>
      <c r="H1854" s="4">
        <v>3353602</v>
      </c>
      <c r="I1854" s="4" t="s">
        <v>476</v>
      </c>
      <c r="J1854" s="4" t="s">
        <v>100</v>
      </c>
      <c r="K1854" s="4">
        <v>3125302</v>
      </c>
    </row>
    <row r="1855" spans="2:11" s="3" customFormat="1" x14ac:dyDescent="0.3">
      <c r="B1855" s="44">
        <v>45976</v>
      </c>
      <c r="C1855" s="3" t="s">
        <v>416</v>
      </c>
      <c r="D1855" s="3" t="s">
        <v>69</v>
      </c>
      <c r="E1855" s="42"/>
      <c r="F1855" s="3" t="s">
        <v>694</v>
      </c>
      <c r="G1855" s="3" t="s">
        <v>376</v>
      </c>
      <c r="H1855" s="53">
        <v>3201303</v>
      </c>
      <c r="I1855" s="3" t="s">
        <v>691</v>
      </c>
      <c r="J1855" s="3" t="s">
        <v>395</v>
      </c>
      <c r="K1855" s="4">
        <v>3197604</v>
      </c>
    </row>
    <row r="1856" spans="2:11" s="3" customFormat="1" x14ac:dyDescent="0.3">
      <c r="B1856" s="44">
        <v>45976</v>
      </c>
      <c r="C1856" s="3" t="s">
        <v>416</v>
      </c>
      <c r="D1856" s="3" t="s">
        <v>498</v>
      </c>
      <c r="E1856" s="42"/>
      <c r="F1856" s="3" t="s">
        <v>694</v>
      </c>
      <c r="G1856" s="3" t="s">
        <v>245</v>
      </c>
      <c r="H1856" s="4">
        <v>3352905</v>
      </c>
      <c r="I1856" s="3" t="s">
        <v>688</v>
      </c>
      <c r="J1856" s="3" t="s">
        <v>146</v>
      </c>
      <c r="K1856" s="53">
        <v>3346405</v>
      </c>
    </row>
    <row r="1857" spans="2:11" s="3" customFormat="1" x14ac:dyDescent="0.3">
      <c r="B1857" s="44">
        <v>45976</v>
      </c>
      <c r="C1857" s="3" t="s">
        <v>416</v>
      </c>
      <c r="D1857" s="3" t="s">
        <v>593</v>
      </c>
      <c r="E1857" s="42"/>
      <c r="F1857" s="3" t="s">
        <v>694</v>
      </c>
      <c r="G1857" s="3" t="s">
        <v>632</v>
      </c>
      <c r="H1857" s="4">
        <v>4023303</v>
      </c>
      <c r="I1857" s="4" t="s">
        <v>661</v>
      </c>
      <c r="J1857" s="4" t="s">
        <v>640</v>
      </c>
      <c r="K1857" s="4">
        <v>3210102</v>
      </c>
    </row>
    <row r="1858" spans="2:11" s="3" customFormat="1" x14ac:dyDescent="0.3">
      <c r="B1858" s="44">
        <v>45976</v>
      </c>
      <c r="C1858" s="3" t="s">
        <v>416</v>
      </c>
      <c r="D1858" s="3" t="s">
        <v>69</v>
      </c>
      <c r="E1858" s="42"/>
      <c r="F1858" s="3" t="s">
        <v>655</v>
      </c>
      <c r="G1858" s="3" t="s">
        <v>394</v>
      </c>
      <c r="H1858" s="4">
        <v>3201105</v>
      </c>
      <c r="I1858" s="3" t="s">
        <v>479</v>
      </c>
      <c r="J1858" s="3" t="s">
        <v>392</v>
      </c>
      <c r="K1858" s="53">
        <v>3210706</v>
      </c>
    </row>
    <row r="1859" spans="2:11" s="3" customFormat="1" x14ac:dyDescent="0.3">
      <c r="B1859" s="44">
        <v>45976</v>
      </c>
      <c r="C1859" s="3" t="s">
        <v>416</v>
      </c>
      <c r="D1859" s="3" t="s">
        <v>610</v>
      </c>
      <c r="E1859" s="42"/>
      <c r="F1859" s="3" t="s">
        <v>711</v>
      </c>
      <c r="G1859" s="3" t="s">
        <v>381</v>
      </c>
      <c r="H1859" s="4">
        <v>3201209</v>
      </c>
      <c r="I1859" s="4" t="s">
        <v>682</v>
      </c>
      <c r="J1859" s="4" t="s">
        <v>611</v>
      </c>
      <c r="K1859" s="4">
        <v>3204800</v>
      </c>
    </row>
    <row r="1860" spans="2:11" s="3" customFormat="1" x14ac:dyDescent="0.3">
      <c r="B1860" s="44">
        <v>45976</v>
      </c>
      <c r="C1860" s="3" t="s">
        <v>416</v>
      </c>
      <c r="D1860" s="3" t="s">
        <v>489</v>
      </c>
      <c r="E1860" s="4"/>
      <c r="F1860" s="4" t="s">
        <v>685</v>
      </c>
      <c r="G1860" s="4" t="s">
        <v>160</v>
      </c>
      <c r="H1860" s="4">
        <v>3353008</v>
      </c>
      <c r="I1860" s="3" t="s">
        <v>650</v>
      </c>
      <c r="J1860" s="3" t="s">
        <v>163</v>
      </c>
      <c r="K1860" s="4">
        <v>3351802</v>
      </c>
    </row>
    <row r="1861" spans="2:11" s="3" customFormat="1" x14ac:dyDescent="0.3">
      <c r="B1861" s="44">
        <v>45976</v>
      </c>
      <c r="C1861" s="3" t="s">
        <v>416</v>
      </c>
      <c r="D1861" s="3" t="s">
        <v>610</v>
      </c>
      <c r="E1861" s="42"/>
      <c r="F1861" s="3" t="s">
        <v>685</v>
      </c>
      <c r="G1861" s="3" t="s">
        <v>351</v>
      </c>
      <c r="H1861" s="4">
        <v>3201001</v>
      </c>
      <c r="I1861" s="4" t="s">
        <v>646</v>
      </c>
      <c r="J1861" s="4" t="s">
        <v>350</v>
      </c>
      <c r="K1861" s="4">
        <v>3202802</v>
      </c>
    </row>
    <row r="1862" spans="2:11" s="3" customFormat="1" x14ac:dyDescent="0.3">
      <c r="B1862" s="44">
        <v>45976</v>
      </c>
      <c r="C1862" s="3" t="s">
        <v>416</v>
      </c>
      <c r="D1862" s="3" t="s">
        <v>495</v>
      </c>
      <c r="E1862" s="42"/>
      <c r="F1862" s="3" t="s">
        <v>685</v>
      </c>
      <c r="G1862" s="3" t="s">
        <v>196</v>
      </c>
      <c r="H1862" s="4">
        <v>3353102</v>
      </c>
      <c r="I1862" s="3" t="s">
        <v>673</v>
      </c>
      <c r="J1862" s="3" t="s">
        <v>200</v>
      </c>
      <c r="K1862" s="53">
        <v>3901004</v>
      </c>
    </row>
    <row r="1863" spans="2:11" s="3" customFormat="1" x14ac:dyDescent="0.3">
      <c r="B1863" s="44">
        <v>45976</v>
      </c>
      <c r="C1863" s="3" t="s">
        <v>416</v>
      </c>
      <c r="D1863" s="3" t="s">
        <v>610</v>
      </c>
      <c r="E1863" s="42"/>
      <c r="F1863" s="3" t="s">
        <v>685</v>
      </c>
      <c r="G1863" s="3" t="s">
        <v>382</v>
      </c>
      <c r="H1863" s="4">
        <v>3200804</v>
      </c>
      <c r="I1863" s="4" t="s">
        <v>716</v>
      </c>
      <c r="J1863" s="4" t="s">
        <v>433</v>
      </c>
      <c r="K1863" s="4">
        <v>3198905</v>
      </c>
    </row>
    <row r="1864" spans="2:11" s="3" customFormat="1" x14ac:dyDescent="0.3">
      <c r="B1864" s="44">
        <v>45976</v>
      </c>
      <c r="C1864" s="3" t="s">
        <v>416</v>
      </c>
      <c r="D1864" s="3" t="s">
        <v>495</v>
      </c>
      <c r="E1864" s="42"/>
      <c r="F1864" s="3" t="s">
        <v>685</v>
      </c>
      <c r="G1864" s="3" t="s">
        <v>197</v>
      </c>
      <c r="H1864" s="4">
        <v>3353300</v>
      </c>
      <c r="I1864" s="3" t="s">
        <v>670</v>
      </c>
      <c r="J1864" s="3" t="s">
        <v>224</v>
      </c>
      <c r="K1864" s="4">
        <v>3347008</v>
      </c>
    </row>
    <row r="1865" spans="2:11" s="3" customFormat="1" x14ac:dyDescent="0.3">
      <c r="B1865" s="44">
        <v>45976</v>
      </c>
      <c r="C1865" s="3" t="s">
        <v>416</v>
      </c>
      <c r="D1865" s="3" t="s">
        <v>610</v>
      </c>
      <c r="E1865" s="42"/>
      <c r="F1865" s="3" t="s">
        <v>474</v>
      </c>
      <c r="G1865" s="3" t="s">
        <v>458</v>
      </c>
      <c r="H1865" s="4">
        <v>3200304</v>
      </c>
      <c r="I1865" s="4" t="s">
        <v>714</v>
      </c>
      <c r="J1865" s="4" t="s">
        <v>352</v>
      </c>
      <c r="K1865" s="4">
        <v>3197208</v>
      </c>
    </row>
    <row r="1866" spans="2:11" s="3" customFormat="1" x14ac:dyDescent="0.3">
      <c r="B1866" s="44">
        <v>45976</v>
      </c>
      <c r="C1866" s="3" t="s">
        <v>416</v>
      </c>
      <c r="D1866" s="3" t="s">
        <v>492</v>
      </c>
      <c r="E1866" s="42"/>
      <c r="F1866" s="3" t="s">
        <v>474</v>
      </c>
      <c r="G1866" s="3" t="s">
        <v>161</v>
      </c>
      <c r="H1866" s="4">
        <v>3352509</v>
      </c>
      <c r="I1866" s="3" t="s">
        <v>649</v>
      </c>
      <c r="J1866" s="3" t="s">
        <v>154</v>
      </c>
      <c r="K1866" s="4">
        <v>3362109</v>
      </c>
    </row>
    <row r="1867" spans="2:11" s="3" customFormat="1" x14ac:dyDescent="0.3">
      <c r="B1867" s="44">
        <v>45976</v>
      </c>
      <c r="C1867" s="3" t="s">
        <v>416</v>
      </c>
      <c r="D1867" s="3" t="s">
        <v>68</v>
      </c>
      <c r="E1867" s="42"/>
      <c r="F1867" s="3" t="s">
        <v>474</v>
      </c>
      <c r="G1867" s="3" t="s">
        <v>383</v>
      </c>
      <c r="H1867" s="4">
        <v>3200502</v>
      </c>
      <c r="I1867" s="4" t="s">
        <v>665</v>
      </c>
      <c r="J1867" s="4" t="s">
        <v>457</v>
      </c>
      <c r="K1867" s="4">
        <v>3818806</v>
      </c>
    </row>
    <row r="1868" spans="2:11" s="3" customFormat="1" x14ac:dyDescent="0.3">
      <c r="B1868" s="44">
        <v>45976</v>
      </c>
      <c r="C1868" s="3" t="s">
        <v>416</v>
      </c>
      <c r="D1868" s="3" t="s">
        <v>492</v>
      </c>
      <c r="E1868" s="42"/>
      <c r="F1868" s="3" t="s">
        <v>714</v>
      </c>
      <c r="G1868" s="3" t="s">
        <v>162</v>
      </c>
      <c r="H1868" s="4">
        <v>3348903</v>
      </c>
      <c r="I1868" s="4" t="s">
        <v>648</v>
      </c>
      <c r="J1868" s="4" t="s">
        <v>201</v>
      </c>
      <c r="K1868" s="4">
        <v>3362203</v>
      </c>
    </row>
    <row r="1869" spans="2:11" s="3" customFormat="1" x14ac:dyDescent="0.3">
      <c r="B1869" s="44">
        <v>45976</v>
      </c>
      <c r="C1869" s="3" t="s">
        <v>416</v>
      </c>
      <c r="D1869" s="3" t="s">
        <v>496</v>
      </c>
      <c r="E1869" s="42"/>
      <c r="F1869" s="3" t="s">
        <v>650</v>
      </c>
      <c r="G1869" s="3" t="s">
        <v>205</v>
      </c>
      <c r="H1869" s="74">
        <v>3351906</v>
      </c>
      <c r="I1869" s="4" t="s">
        <v>710</v>
      </c>
      <c r="J1869" s="4" t="s">
        <v>206</v>
      </c>
      <c r="K1869" s="4">
        <v>3352103</v>
      </c>
    </row>
    <row r="1870" spans="2:11" s="3" customFormat="1" x14ac:dyDescent="0.3">
      <c r="B1870" s="44">
        <v>45976</v>
      </c>
      <c r="C1870" s="3" t="s">
        <v>416</v>
      </c>
      <c r="D1870" s="3" t="s">
        <v>68</v>
      </c>
      <c r="E1870" s="42"/>
      <c r="F1870" s="3" t="s">
        <v>650</v>
      </c>
      <c r="G1870" s="3" t="s">
        <v>390</v>
      </c>
      <c r="H1870" s="4">
        <v>3544509</v>
      </c>
      <c r="I1870" s="4" t="s">
        <v>665</v>
      </c>
      <c r="J1870" s="4" t="s">
        <v>627</v>
      </c>
      <c r="K1870" s="4" t="s">
        <v>638</v>
      </c>
    </row>
    <row r="1871" spans="2:11" s="3" customFormat="1" x14ac:dyDescent="0.3">
      <c r="B1871" s="44">
        <v>45976</v>
      </c>
      <c r="C1871" s="3" t="s">
        <v>416</v>
      </c>
      <c r="D1871" s="3" t="s">
        <v>59</v>
      </c>
      <c r="E1871" s="42"/>
      <c r="F1871" s="4" t="s">
        <v>656</v>
      </c>
      <c r="G1871" s="4" t="s">
        <v>278</v>
      </c>
      <c r="H1871" s="4">
        <v>3199800</v>
      </c>
      <c r="I1871" s="4" t="s">
        <v>646</v>
      </c>
      <c r="J1871" s="4" t="s">
        <v>275</v>
      </c>
      <c r="K1871" s="4">
        <v>3202406</v>
      </c>
    </row>
    <row r="1872" spans="2:11" s="3" customFormat="1" x14ac:dyDescent="0.3">
      <c r="B1872" s="44">
        <v>45976</v>
      </c>
      <c r="C1872" s="3" t="s">
        <v>416</v>
      </c>
      <c r="D1872" s="3" t="s">
        <v>65</v>
      </c>
      <c r="E1872" s="42"/>
      <c r="F1872" s="3" t="s">
        <v>656</v>
      </c>
      <c r="G1872" s="3" t="s">
        <v>326</v>
      </c>
      <c r="H1872" s="4">
        <v>3199904</v>
      </c>
      <c r="I1872" s="4" t="s">
        <v>471</v>
      </c>
      <c r="J1872" s="4" t="s">
        <v>363</v>
      </c>
      <c r="K1872" s="4">
        <v>3196907</v>
      </c>
    </row>
    <row r="1873" spans="2:13" s="3" customFormat="1" x14ac:dyDescent="0.3">
      <c r="B1873" s="44">
        <v>45976</v>
      </c>
      <c r="C1873" s="3" t="s">
        <v>416</v>
      </c>
      <c r="D1873" s="3" t="s">
        <v>69</v>
      </c>
      <c r="E1873" s="42"/>
      <c r="F1873" s="3" t="s">
        <v>656</v>
      </c>
      <c r="G1873" s="3" t="s">
        <v>361</v>
      </c>
      <c r="H1873" s="4">
        <v>3200002</v>
      </c>
      <c r="I1873" s="3" t="s">
        <v>657</v>
      </c>
      <c r="J1873" s="3" t="s">
        <v>393</v>
      </c>
      <c r="K1873" s="4">
        <v>3209701</v>
      </c>
    </row>
    <row r="1874" spans="2:13" s="3" customFormat="1" x14ac:dyDescent="0.3">
      <c r="B1874" s="44">
        <v>45976</v>
      </c>
      <c r="C1874" s="3" t="s">
        <v>416</v>
      </c>
      <c r="D1874" s="3" t="s">
        <v>59</v>
      </c>
      <c r="E1874" s="42"/>
      <c r="F1874" s="4" t="s">
        <v>710</v>
      </c>
      <c r="G1874" s="4" t="s">
        <v>279</v>
      </c>
      <c r="H1874" s="4">
        <v>3199706</v>
      </c>
      <c r="I1874" s="4" t="s">
        <v>655</v>
      </c>
      <c r="J1874" s="4" t="s">
        <v>288</v>
      </c>
      <c r="K1874" s="4">
        <v>3200908</v>
      </c>
    </row>
    <row r="1875" spans="2:13" s="3" customFormat="1" x14ac:dyDescent="0.3">
      <c r="B1875" s="44">
        <v>45976</v>
      </c>
      <c r="C1875" s="3" t="s">
        <v>416</v>
      </c>
      <c r="D1875" s="3" t="s">
        <v>64</v>
      </c>
      <c r="E1875" s="42">
        <v>4370907</v>
      </c>
      <c r="F1875" s="3" t="s">
        <v>710</v>
      </c>
      <c r="G1875" s="3" t="s">
        <v>354</v>
      </c>
      <c r="H1875" s="4">
        <v>3199404</v>
      </c>
      <c r="I1875" s="4" t="s">
        <v>669</v>
      </c>
      <c r="J1875" s="4" t="s">
        <v>337</v>
      </c>
      <c r="K1875" s="4">
        <v>3209305</v>
      </c>
    </row>
    <row r="1876" spans="2:13" s="3" customFormat="1" x14ac:dyDescent="0.3">
      <c r="B1876" s="44">
        <v>45976</v>
      </c>
      <c r="C1876" s="3" t="s">
        <v>416</v>
      </c>
      <c r="D1876" s="3" t="s">
        <v>496</v>
      </c>
      <c r="E1876" s="42"/>
      <c r="F1876" s="3" t="s">
        <v>710</v>
      </c>
      <c r="G1876" s="3" t="s">
        <v>462</v>
      </c>
      <c r="H1876" s="4">
        <v>3352207</v>
      </c>
      <c r="I1876" s="3" t="s">
        <v>652</v>
      </c>
      <c r="J1876" s="3" t="s">
        <v>229</v>
      </c>
      <c r="K1876" s="4">
        <v>3358409</v>
      </c>
    </row>
    <row r="1877" spans="2:13" s="3" customFormat="1" x14ac:dyDescent="0.3">
      <c r="B1877" s="44">
        <v>45976</v>
      </c>
      <c r="C1877" s="3" t="s">
        <v>416</v>
      </c>
      <c r="D1877" s="3" t="s">
        <v>499</v>
      </c>
      <c r="E1877" s="42"/>
      <c r="F1877" s="3" t="s">
        <v>710</v>
      </c>
      <c r="G1877" s="3" t="s">
        <v>230</v>
      </c>
      <c r="H1877" s="4">
        <v>3900609</v>
      </c>
      <c r="I1877" s="3" t="s">
        <v>474</v>
      </c>
      <c r="J1877" s="3" t="s">
        <v>597</v>
      </c>
      <c r="K1877" s="4">
        <v>3352707</v>
      </c>
      <c r="M1877" s="4"/>
    </row>
    <row r="1878" spans="2:13" s="3" customFormat="1" x14ac:dyDescent="0.3">
      <c r="B1878" s="44">
        <v>45976</v>
      </c>
      <c r="C1878" s="3" t="s">
        <v>416</v>
      </c>
      <c r="D1878" s="4" t="s">
        <v>614</v>
      </c>
      <c r="E1878" s="42"/>
      <c r="F1878" s="3" t="s">
        <v>710</v>
      </c>
      <c r="G1878" s="3" t="s">
        <v>385</v>
      </c>
      <c r="H1878" s="4">
        <v>3199602</v>
      </c>
      <c r="I1878" s="4" t="s">
        <v>710</v>
      </c>
      <c r="J1878" s="4" t="s">
        <v>384</v>
      </c>
      <c r="K1878" s="4">
        <v>3199508</v>
      </c>
    </row>
    <row r="1879" spans="2:13" s="3" customFormat="1" x14ac:dyDescent="0.3">
      <c r="B1879" s="44">
        <v>45976</v>
      </c>
      <c r="C1879" s="3" t="s">
        <v>416</v>
      </c>
      <c r="D1879" s="3" t="s">
        <v>58</v>
      </c>
      <c r="E1879" s="42"/>
      <c r="F1879" s="3" t="s">
        <v>706</v>
      </c>
      <c r="G1879" s="3" t="s">
        <v>269</v>
      </c>
      <c r="H1879" s="4">
        <v>3069407</v>
      </c>
      <c r="I1879" s="3" t="s">
        <v>659</v>
      </c>
      <c r="J1879" s="3" t="s">
        <v>265</v>
      </c>
      <c r="K1879" s="32">
        <v>3208702</v>
      </c>
    </row>
    <row r="1880" spans="2:13" s="3" customFormat="1" x14ac:dyDescent="0.3">
      <c r="B1880" s="44">
        <v>45976</v>
      </c>
      <c r="C1880" s="3" t="s">
        <v>416</v>
      </c>
      <c r="D1880" s="3" t="s">
        <v>504</v>
      </c>
      <c r="E1880" s="42"/>
      <c r="F1880" s="3" t="s">
        <v>645</v>
      </c>
      <c r="G1880" s="3" t="s">
        <v>37</v>
      </c>
      <c r="H1880" s="4">
        <v>3029903</v>
      </c>
      <c r="I1880" s="3" t="s">
        <v>475</v>
      </c>
      <c r="J1880" s="3" t="s">
        <v>15</v>
      </c>
      <c r="K1880" s="4">
        <v>3029601</v>
      </c>
    </row>
    <row r="1881" spans="2:13" s="3" customFormat="1" x14ac:dyDescent="0.3">
      <c r="B1881" s="44">
        <v>45976</v>
      </c>
      <c r="C1881" s="3" t="s">
        <v>416</v>
      </c>
      <c r="D1881" s="3" t="s">
        <v>57</v>
      </c>
      <c r="E1881" s="42"/>
      <c r="F1881" s="3" t="s">
        <v>645</v>
      </c>
      <c r="G1881" s="3" t="s">
        <v>263</v>
      </c>
      <c r="H1881" s="4">
        <v>3198707</v>
      </c>
      <c r="I1881" s="15" t="s">
        <v>703</v>
      </c>
      <c r="J1881" s="15" t="s">
        <v>585</v>
      </c>
      <c r="K1881" s="74" t="s">
        <v>556</v>
      </c>
    </row>
    <row r="1882" spans="2:13" s="3" customFormat="1" x14ac:dyDescent="0.3">
      <c r="B1882" s="44">
        <v>45976</v>
      </c>
      <c r="C1882" s="3" t="s">
        <v>416</v>
      </c>
      <c r="D1882" s="3" t="s">
        <v>487</v>
      </c>
      <c r="E1882" s="4"/>
      <c r="F1882" s="4" t="s">
        <v>645</v>
      </c>
      <c r="G1882" s="4" t="s">
        <v>114</v>
      </c>
      <c r="H1882" s="4">
        <v>3351000</v>
      </c>
      <c r="I1882" s="3" t="s">
        <v>647</v>
      </c>
      <c r="J1882" s="3" t="s">
        <v>116</v>
      </c>
      <c r="K1882" s="4">
        <v>3346009</v>
      </c>
    </row>
    <row r="1883" spans="2:13" s="3" customFormat="1" x14ac:dyDescent="0.3">
      <c r="B1883" s="44">
        <v>45976</v>
      </c>
      <c r="C1883" s="3" t="s">
        <v>416</v>
      </c>
      <c r="D1883" s="3" t="s">
        <v>488</v>
      </c>
      <c r="E1883" s="42"/>
      <c r="F1883" s="3" t="s">
        <v>645</v>
      </c>
      <c r="G1883" s="3" t="s">
        <v>123</v>
      </c>
      <c r="H1883" s="4">
        <v>3351104</v>
      </c>
      <c r="I1883" s="3" t="s">
        <v>680</v>
      </c>
      <c r="J1883" s="3" t="s">
        <v>117</v>
      </c>
      <c r="K1883" s="4">
        <v>3359002</v>
      </c>
    </row>
    <row r="1884" spans="2:13" s="3" customFormat="1" x14ac:dyDescent="0.3">
      <c r="B1884" s="44">
        <v>45976</v>
      </c>
      <c r="C1884" s="3" t="s">
        <v>416</v>
      </c>
      <c r="D1884" s="3" t="s">
        <v>491</v>
      </c>
      <c r="E1884" s="42"/>
      <c r="F1884" s="3" t="s">
        <v>645</v>
      </c>
      <c r="G1884" s="3" t="s">
        <v>152</v>
      </c>
      <c r="H1884" s="4">
        <v>3351302</v>
      </c>
      <c r="I1884" s="3" t="s">
        <v>698</v>
      </c>
      <c r="J1884" s="3" t="s">
        <v>567</v>
      </c>
      <c r="K1884" s="4" t="s">
        <v>556</v>
      </c>
    </row>
    <row r="1885" spans="2:13" s="3" customFormat="1" x14ac:dyDescent="0.3">
      <c r="B1885" s="44">
        <v>45976</v>
      </c>
      <c r="C1885" s="3" t="s">
        <v>416</v>
      </c>
      <c r="D1885" s="3" t="s">
        <v>489</v>
      </c>
      <c r="E1885" s="4"/>
      <c r="F1885" s="3" t="s">
        <v>678</v>
      </c>
      <c r="G1885" s="3" t="s">
        <v>131</v>
      </c>
      <c r="H1885" s="4">
        <v>3350605</v>
      </c>
      <c r="I1885" s="3" t="s">
        <v>688</v>
      </c>
      <c r="J1885" s="3" t="s">
        <v>10</v>
      </c>
      <c r="K1885" s="4">
        <v>3036204</v>
      </c>
    </row>
    <row r="1886" spans="2:13" s="3" customFormat="1" x14ac:dyDescent="0.3">
      <c r="B1886" s="44">
        <v>45976</v>
      </c>
      <c r="C1886" s="3" t="s">
        <v>416</v>
      </c>
      <c r="D1886" s="3" t="s">
        <v>65</v>
      </c>
      <c r="E1886" s="42"/>
      <c r="F1886" s="3" t="s">
        <v>678</v>
      </c>
      <c r="G1886" s="3" t="s">
        <v>452</v>
      </c>
      <c r="H1886" s="4">
        <v>3198207</v>
      </c>
      <c r="I1886" s="4" t="s">
        <v>653</v>
      </c>
      <c r="J1886" s="4" t="s">
        <v>451</v>
      </c>
      <c r="K1886" s="4">
        <v>3211309</v>
      </c>
    </row>
    <row r="1887" spans="2:13" s="3" customFormat="1" x14ac:dyDescent="0.3">
      <c r="B1887" s="44">
        <v>45976</v>
      </c>
      <c r="C1887" s="3" t="s">
        <v>416</v>
      </c>
      <c r="D1887" s="3" t="s">
        <v>496</v>
      </c>
      <c r="E1887" s="42"/>
      <c r="F1887" s="3" t="s">
        <v>675</v>
      </c>
      <c r="G1887" s="3" t="s">
        <v>198</v>
      </c>
      <c r="H1887" s="4">
        <v>3350803</v>
      </c>
      <c r="I1887" s="3" t="s">
        <v>716</v>
      </c>
      <c r="J1887" s="3" t="s">
        <v>427</v>
      </c>
      <c r="K1887" s="4">
        <v>3351500</v>
      </c>
    </row>
    <row r="1888" spans="2:13" s="3" customFormat="1" x14ac:dyDescent="0.3">
      <c r="B1888" s="44">
        <v>45976</v>
      </c>
      <c r="C1888" s="3" t="s">
        <v>416</v>
      </c>
      <c r="D1888" s="3" t="s">
        <v>610</v>
      </c>
      <c r="E1888" s="42"/>
      <c r="F1888" s="3" t="s">
        <v>675</v>
      </c>
      <c r="G1888" s="3" t="s">
        <v>450</v>
      </c>
      <c r="H1888" s="4">
        <v>3198405</v>
      </c>
      <c r="I1888" s="4" t="s">
        <v>652</v>
      </c>
      <c r="J1888" s="4" t="s">
        <v>347</v>
      </c>
      <c r="K1888" s="4">
        <v>3818504</v>
      </c>
    </row>
    <row r="1889" spans="2:14" s="3" customFormat="1" x14ac:dyDescent="0.3">
      <c r="B1889" s="44">
        <v>45976</v>
      </c>
      <c r="C1889" s="3" t="s">
        <v>416</v>
      </c>
      <c r="D1889" s="3" t="s">
        <v>499</v>
      </c>
      <c r="E1889" s="42"/>
      <c r="F1889" s="3" t="s">
        <v>675</v>
      </c>
      <c r="G1889" s="3" t="s">
        <v>572</v>
      </c>
      <c r="H1889" s="53">
        <v>3350303</v>
      </c>
      <c r="I1889" s="3" t="s">
        <v>650</v>
      </c>
      <c r="J1889" s="3" t="s">
        <v>571</v>
      </c>
      <c r="K1889" s="4">
        <v>3900505</v>
      </c>
      <c r="M1889" s="4"/>
    </row>
    <row r="1890" spans="2:14" s="3" customFormat="1" x14ac:dyDescent="0.3">
      <c r="B1890" s="44">
        <v>45976</v>
      </c>
      <c r="C1890" s="3" t="s">
        <v>416</v>
      </c>
      <c r="D1890" s="4" t="s">
        <v>614</v>
      </c>
      <c r="E1890" s="42"/>
      <c r="F1890" s="3" t="s">
        <v>675</v>
      </c>
      <c r="G1890" s="3" t="s">
        <v>403</v>
      </c>
      <c r="H1890" s="4">
        <v>3198509</v>
      </c>
      <c r="I1890" s="4" t="s">
        <v>673</v>
      </c>
      <c r="J1890" s="4" t="s">
        <v>455</v>
      </c>
      <c r="K1890" s="4">
        <v>3961604</v>
      </c>
    </row>
    <row r="1891" spans="2:14" s="3" customFormat="1" x14ac:dyDescent="0.3">
      <c r="B1891" s="44">
        <v>45976</v>
      </c>
      <c r="C1891" s="3" t="s">
        <v>416</v>
      </c>
      <c r="D1891" s="3" t="s">
        <v>490</v>
      </c>
      <c r="E1891" s="4"/>
      <c r="F1891" s="3" t="s">
        <v>691</v>
      </c>
      <c r="G1891" s="3" t="s">
        <v>142</v>
      </c>
      <c r="H1891" s="4">
        <v>3350501</v>
      </c>
      <c r="I1891" s="4" t="s">
        <v>475</v>
      </c>
      <c r="J1891" s="4" t="s">
        <v>125</v>
      </c>
      <c r="K1891" s="4">
        <v>3362807</v>
      </c>
    </row>
    <row r="1892" spans="2:14" s="3" customFormat="1" x14ac:dyDescent="0.3">
      <c r="B1892" s="44">
        <v>45976</v>
      </c>
      <c r="C1892" s="3" t="s">
        <v>416</v>
      </c>
      <c r="D1892" s="3" t="s">
        <v>590</v>
      </c>
      <c r="E1892" s="42"/>
      <c r="F1892" s="3" t="s">
        <v>691</v>
      </c>
      <c r="G1892" s="3" t="s">
        <v>289</v>
      </c>
      <c r="H1892" s="4">
        <v>3068804</v>
      </c>
      <c r="I1892" s="3" t="s">
        <v>650</v>
      </c>
      <c r="J1892" s="3" t="s">
        <v>277</v>
      </c>
      <c r="K1892" s="4">
        <v>3088400</v>
      </c>
    </row>
    <row r="1893" spans="2:14" s="3" customFormat="1" x14ac:dyDescent="0.3">
      <c r="B1893" s="44">
        <v>45976</v>
      </c>
      <c r="C1893" s="3" t="s">
        <v>416</v>
      </c>
      <c r="D1893" s="3" t="s">
        <v>500</v>
      </c>
      <c r="E1893" s="42"/>
      <c r="F1893" s="3" t="s">
        <v>691</v>
      </c>
      <c r="G1893" s="3" t="s">
        <v>238</v>
      </c>
      <c r="H1893" s="4">
        <v>3350105</v>
      </c>
      <c r="I1893" s="4" t="s">
        <v>657</v>
      </c>
      <c r="J1893" s="4" t="s">
        <v>574</v>
      </c>
      <c r="K1893" s="4">
        <v>3359606</v>
      </c>
    </row>
    <row r="1894" spans="2:14" s="3" customFormat="1" x14ac:dyDescent="0.3">
      <c r="B1894" s="44">
        <v>45976</v>
      </c>
      <c r="C1894" s="3" t="s">
        <v>416</v>
      </c>
      <c r="D1894" s="3" t="s">
        <v>494</v>
      </c>
      <c r="E1894" s="42"/>
      <c r="F1894" s="3" t="s">
        <v>689</v>
      </c>
      <c r="G1894" s="3" t="s">
        <v>189</v>
      </c>
      <c r="H1894" s="4">
        <v>3350209</v>
      </c>
      <c r="I1894" s="3" t="s">
        <v>694</v>
      </c>
      <c r="J1894" s="3" t="s">
        <v>188</v>
      </c>
      <c r="K1894" s="4">
        <v>3353508</v>
      </c>
    </row>
    <row r="1895" spans="2:14" s="3" customFormat="1" x14ac:dyDescent="0.3">
      <c r="B1895" s="44">
        <v>45976</v>
      </c>
      <c r="C1895" s="3" t="s">
        <v>416</v>
      </c>
      <c r="D1895" s="3" t="s">
        <v>67</v>
      </c>
      <c r="E1895" s="42"/>
      <c r="F1895" s="3" t="s">
        <v>689</v>
      </c>
      <c r="G1895" s="3" t="s">
        <v>341</v>
      </c>
      <c r="H1895" s="4">
        <v>3197708</v>
      </c>
      <c r="I1895" s="3" t="s">
        <v>662</v>
      </c>
      <c r="J1895" s="3" t="s">
        <v>373</v>
      </c>
      <c r="K1895" s="4">
        <v>3207807</v>
      </c>
    </row>
    <row r="1896" spans="2:14" s="3" customFormat="1" x14ac:dyDescent="0.3">
      <c r="B1896" s="44">
        <v>45976</v>
      </c>
      <c r="C1896" s="3" t="s">
        <v>416</v>
      </c>
      <c r="D1896" s="3" t="s">
        <v>498</v>
      </c>
      <c r="E1896" s="42"/>
      <c r="F1896" s="3" t="s">
        <v>689</v>
      </c>
      <c r="G1896" s="3" t="s">
        <v>468</v>
      </c>
      <c r="H1896" s="4">
        <v>3349902</v>
      </c>
      <c r="I1896" s="3" t="s">
        <v>472</v>
      </c>
      <c r="J1896" s="3" t="s">
        <v>219</v>
      </c>
      <c r="K1896" s="4">
        <v>3357608</v>
      </c>
    </row>
    <row r="1897" spans="2:14" s="3" customFormat="1" x14ac:dyDescent="0.3">
      <c r="B1897" s="44">
        <v>45976</v>
      </c>
      <c r="C1897" s="3" t="s">
        <v>416</v>
      </c>
      <c r="D1897" s="3" t="s">
        <v>501</v>
      </c>
      <c r="E1897" s="42"/>
      <c r="F1897" s="3" t="s">
        <v>689</v>
      </c>
      <c r="G1897" s="3" t="s">
        <v>581</v>
      </c>
      <c r="H1897" s="4">
        <v>4022804</v>
      </c>
      <c r="I1897" s="3" t="s">
        <v>472</v>
      </c>
      <c r="J1897" s="3" t="s">
        <v>578</v>
      </c>
      <c r="K1897" s="4">
        <v>4022700</v>
      </c>
      <c r="M1897" s="4"/>
      <c r="N1897" s="4"/>
    </row>
    <row r="1898" spans="2:14" s="3" customFormat="1" x14ac:dyDescent="0.3">
      <c r="B1898" s="44">
        <v>45976</v>
      </c>
      <c r="C1898" s="3" t="s">
        <v>416</v>
      </c>
      <c r="D1898" s="3" t="s">
        <v>60</v>
      </c>
      <c r="E1898" s="42"/>
      <c r="F1898" s="3" t="s">
        <v>668</v>
      </c>
      <c r="G1898" s="3" t="s">
        <v>431</v>
      </c>
      <c r="H1898" s="4">
        <v>3900703</v>
      </c>
      <c r="I1898" s="3" t="s">
        <v>698</v>
      </c>
      <c r="J1898" s="3" t="s">
        <v>595</v>
      </c>
      <c r="K1898" s="32" t="s">
        <v>563</v>
      </c>
    </row>
    <row r="1899" spans="2:14" s="3" customFormat="1" x14ac:dyDescent="0.3">
      <c r="B1899" s="44">
        <v>45976</v>
      </c>
      <c r="C1899" s="3" t="s">
        <v>416</v>
      </c>
      <c r="D1899" s="3" t="s">
        <v>497</v>
      </c>
      <c r="E1899" s="42"/>
      <c r="F1899" s="3" t="s">
        <v>654</v>
      </c>
      <c r="G1899" s="3" t="s">
        <v>216</v>
      </c>
      <c r="H1899" s="4">
        <v>3349808</v>
      </c>
      <c r="I1899" s="15" t="s">
        <v>471</v>
      </c>
      <c r="J1899" s="15" t="s">
        <v>240</v>
      </c>
      <c r="K1899" s="74">
        <v>3348403</v>
      </c>
    </row>
    <row r="1900" spans="2:14" s="3" customFormat="1" x14ac:dyDescent="0.3">
      <c r="B1900" s="44">
        <v>45976</v>
      </c>
      <c r="C1900" s="3" t="s">
        <v>416</v>
      </c>
      <c r="D1900" s="3" t="s">
        <v>500</v>
      </c>
      <c r="E1900" s="42"/>
      <c r="F1900" s="3" t="s">
        <v>654</v>
      </c>
      <c r="G1900" s="3" t="s">
        <v>576</v>
      </c>
      <c r="H1900" s="4">
        <v>4009003</v>
      </c>
      <c r="I1900" s="4" t="s">
        <v>479</v>
      </c>
      <c r="J1900" s="4" t="s">
        <v>465</v>
      </c>
      <c r="K1900" s="4">
        <v>3962207</v>
      </c>
    </row>
    <row r="1901" spans="2:14" s="3" customFormat="1" x14ac:dyDescent="0.3">
      <c r="B1901" s="44">
        <v>45976</v>
      </c>
      <c r="C1901" s="3" t="s">
        <v>416</v>
      </c>
      <c r="D1901" s="3" t="s">
        <v>489</v>
      </c>
      <c r="E1901" s="4"/>
      <c r="F1901" s="4" t="s">
        <v>712</v>
      </c>
      <c r="G1901" s="4" t="s">
        <v>132</v>
      </c>
      <c r="H1901" s="4">
        <v>3068304</v>
      </c>
      <c r="I1901" s="3" t="s">
        <v>672</v>
      </c>
      <c r="J1901" s="3" t="s">
        <v>129</v>
      </c>
      <c r="K1901" s="4">
        <v>3067503</v>
      </c>
    </row>
    <row r="1902" spans="2:14" s="3" customFormat="1" x14ac:dyDescent="0.3">
      <c r="B1902" s="44">
        <v>45976</v>
      </c>
      <c r="C1902" s="3" t="s">
        <v>416</v>
      </c>
      <c r="D1902" s="4" t="s">
        <v>614</v>
      </c>
      <c r="E1902" s="42"/>
      <c r="F1902" s="3" t="s">
        <v>713</v>
      </c>
      <c r="G1902" s="3" t="s">
        <v>386</v>
      </c>
      <c r="H1902" s="4">
        <v>3900807</v>
      </c>
      <c r="I1902" s="4" t="s">
        <v>666</v>
      </c>
      <c r="J1902" s="4" t="s">
        <v>453</v>
      </c>
      <c r="K1902" s="4">
        <v>3206006</v>
      </c>
    </row>
    <row r="1903" spans="2:14" s="3" customFormat="1" x14ac:dyDescent="0.3">
      <c r="B1903" s="44">
        <v>45976</v>
      </c>
      <c r="C1903" s="3" t="s">
        <v>416</v>
      </c>
      <c r="D1903" s="3" t="s">
        <v>495</v>
      </c>
      <c r="E1903" s="42"/>
      <c r="F1903" s="3" t="s">
        <v>713</v>
      </c>
      <c r="G1903" s="3" t="s">
        <v>199</v>
      </c>
      <c r="H1903" s="4">
        <v>3349100</v>
      </c>
      <c r="I1903" s="3" t="s">
        <v>666</v>
      </c>
      <c r="J1903" s="3" t="s">
        <v>193</v>
      </c>
      <c r="K1903" s="4">
        <v>3357108</v>
      </c>
    </row>
    <row r="1904" spans="2:14" s="3" customFormat="1" x14ac:dyDescent="0.3">
      <c r="B1904" s="44">
        <v>45976</v>
      </c>
      <c r="C1904" s="3" t="s">
        <v>416</v>
      </c>
      <c r="D1904" s="4" t="s">
        <v>614</v>
      </c>
      <c r="E1904" s="42"/>
      <c r="F1904" s="3" t="s">
        <v>713</v>
      </c>
      <c r="G1904" s="3" t="s">
        <v>623</v>
      </c>
      <c r="H1904" s="4">
        <v>3819305</v>
      </c>
      <c r="I1904" s="4" t="s">
        <v>714</v>
      </c>
      <c r="J1904" s="4" t="s">
        <v>454</v>
      </c>
      <c r="K1904" s="4">
        <v>3820300</v>
      </c>
    </row>
    <row r="1905" spans="2:11" s="3" customFormat="1" x14ac:dyDescent="0.3">
      <c r="B1905" s="44">
        <v>45976</v>
      </c>
      <c r="C1905" s="3" t="s">
        <v>416</v>
      </c>
      <c r="D1905" s="3" t="s">
        <v>487</v>
      </c>
      <c r="E1905" s="4"/>
      <c r="F1905" s="3" t="s">
        <v>663</v>
      </c>
      <c r="G1905" s="3" t="s">
        <v>419</v>
      </c>
      <c r="H1905" s="4">
        <v>3349204</v>
      </c>
      <c r="I1905" s="3" t="s">
        <v>479</v>
      </c>
      <c r="J1905" s="3" t="s">
        <v>127</v>
      </c>
      <c r="K1905" s="4">
        <v>3360809</v>
      </c>
    </row>
    <row r="1906" spans="2:11" s="3" customFormat="1" x14ac:dyDescent="0.3">
      <c r="B1906" s="44">
        <v>45976</v>
      </c>
      <c r="C1906" s="3" t="s">
        <v>416</v>
      </c>
      <c r="D1906" s="3" t="s">
        <v>62</v>
      </c>
      <c r="E1906" s="42"/>
      <c r="F1906" s="3" t="s">
        <v>663</v>
      </c>
      <c r="G1906" s="3" t="s">
        <v>280</v>
      </c>
      <c r="H1906" s="4">
        <v>3198103</v>
      </c>
      <c r="I1906" s="3" t="s">
        <v>679</v>
      </c>
      <c r="J1906" s="3" t="s">
        <v>292</v>
      </c>
      <c r="K1906" s="4">
        <v>3195304</v>
      </c>
    </row>
    <row r="1907" spans="2:11" s="3" customFormat="1" x14ac:dyDescent="0.3">
      <c r="B1907" s="44">
        <v>45976</v>
      </c>
      <c r="C1907" s="3" t="s">
        <v>416</v>
      </c>
      <c r="D1907" s="3" t="s">
        <v>493</v>
      </c>
      <c r="E1907" s="42"/>
      <c r="F1907" s="3" t="s">
        <v>663</v>
      </c>
      <c r="G1907" s="3" t="s">
        <v>173</v>
      </c>
      <c r="H1907" s="4">
        <v>3349308</v>
      </c>
      <c r="I1907" s="4" t="s">
        <v>476</v>
      </c>
      <c r="J1907" s="4" t="s">
        <v>169</v>
      </c>
      <c r="K1907" s="4">
        <v>3356609</v>
      </c>
    </row>
    <row r="1908" spans="2:11" s="3" customFormat="1" x14ac:dyDescent="0.3">
      <c r="B1908" s="44">
        <v>45976</v>
      </c>
      <c r="C1908" s="3" t="s">
        <v>416</v>
      </c>
      <c r="D1908" s="3" t="s">
        <v>65</v>
      </c>
      <c r="E1908" s="42"/>
      <c r="F1908" s="3" t="s">
        <v>663</v>
      </c>
      <c r="G1908" s="3" t="s">
        <v>290</v>
      </c>
      <c r="H1908" s="4">
        <v>3197500</v>
      </c>
      <c r="I1908" s="15" t="s">
        <v>691</v>
      </c>
      <c r="J1908" s="15" t="s">
        <v>327</v>
      </c>
      <c r="K1908" s="74">
        <v>3198603</v>
      </c>
    </row>
    <row r="1909" spans="2:11" s="3" customFormat="1" x14ac:dyDescent="0.3">
      <c r="B1909" s="44">
        <v>45976</v>
      </c>
      <c r="C1909" s="3" t="s">
        <v>416</v>
      </c>
      <c r="D1909" s="3" t="s">
        <v>56</v>
      </c>
      <c r="E1909" s="42"/>
      <c r="F1909" s="4" t="s">
        <v>471</v>
      </c>
      <c r="G1909" s="4" t="s">
        <v>441</v>
      </c>
      <c r="H1909" s="4">
        <v>3023409</v>
      </c>
      <c r="I1909" s="4" t="s">
        <v>472</v>
      </c>
      <c r="J1909" s="4" t="s">
        <v>248</v>
      </c>
      <c r="K1909" s="4">
        <v>3207609</v>
      </c>
    </row>
    <row r="1910" spans="2:11" s="3" customFormat="1" x14ac:dyDescent="0.3">
      <c r="B1910" s="44">
        <v>45976</v>
      </c>
      <c r="C1910" s="3" t="s">
        <v>416</v>
      </c>
      <c r="D1910" s="3" t="s">
        <v>504</v>
      </c>
      <c r="E1910" s="42"/>
      <c r="F1910" s="3" t="s">
        <v>471</v>
      </c>
      <c r="G1910" s="3" t="s">
        <v>14</v>
      </c>
      <c r="H1910" s="4">
        <v>3348601</v>
      </c>
      <c r="I1910" s="3" t="s">
        <v>666</v>
      </c>
      <c r="J1910" s="3" t="s">
        <v>12</v>
      </c>
      <c r="K1910" s="4">
        <v>3034206</v>
      </c>
    </row>
    <row r="1911" spans="2:11" s="3" customFormat="1" x14ac:dyDescent="0.3">
      <c r="B1911" s="44">
        <v>45976</v>
      </c>
      <c r="C1911" s="3" t="s">
        <v>416</v>
      </c>
      <c r="D1911" s="3" t="s">
        <v>56</v>
      </c>
      <c r="E1911" s="42"/>
      <c r="F1911" s="3" t="s">
        <v>471</v>
      </c>
      <c r="G1911" s="3" t="s">
        <v>254</v>
      </c>
      <c r="H1911" s="4">
        <v>3068908</v>
      </c>
      <c r="I1911" s="106" t="s">
        <v>672</v>
      </c>
      <c r="J1911" s="106" t="s">
        <v>252</v>
      </c>
      <c r="K1911" s="106">
        <v>3070204</v>
      </c>
    </row>
    <row r="1912" spans="2:11" s="3" customFormat="1" x14ac:dyDescent="0.3">
      <c r="B1912" s="44">
        <v>45976</v>
      </c>
      <c r="C1912" s="3" t="s">
        <v>416</v>
      </c>
      <c r="D1912" s="3" t="s">
        <v>487</v>
      </c>
      <c r="E1912" s="4"/>
      <c r="F1912" s="4" t="s">
        <v>471</v>
      </c>
      <c r="G1912" s="4" t="s">
        <v>133</v>
      </c>
      <c r="H1912" s="4">
        <v>3348705</v>
      </c>
      <c r="I1912" s="4" t="s">
        <v>721</v>
      </c>
      <c r="J1912" s="4" t="s">
        <v>124</v>
      </c>
      <c r="K1912" s="4">
        <v>3267501</v>
      </c>
    </row>
    <row r="1913" spans="2:11" s="3" customFormat="1" x14ac:dyDescent="0.3">
      <c r="B1913" s="44">
        <v>45976</v>
      </c>
      <c r="C1913" s="3" t="s">
        <v>416</v>
      </c>
      <c r="D1913" s="3" t="s">
        <v>62</v>
      </c>
      <c r="E1913" s="42"/>
      <c r="F1913" s="4" t="s">
        <v>471</v>
      </c>
      <c r="G1913" s="4" t="s">
        <v>328</v>
      </c>
      <c r="H1913" s="4">
        <v>3196803</v>
      </c>
      <c r="I1913" s="4" t="s">
        <v>476</v>
      </c>
      <c r="J1913" s="4" t="s">
        <v>323</v>
      </c>
      <c r="K1913" s="4">
        <v>3206506</v>
      </c>
    </row>
    <row r="1914" spans="2:11" s="3" customFormat="1" x14ac:dyDescent="0.3">
      <c r="B1914" s="44">
        <v>45976</v>
      </c>
      <c r="C1914" s="3" t="s">
        <v>416</v>
      </c>
      <c r="D1914" s="3" t="s">
        <v>493</v>
      </c>
      <c r="E1914" s="42"/>
      <c r="F1914" s="3" t="s">
        <v>471</v>
      </c>
      <c r="G1914" s="3" t="s">
        <v>190</v>
      </c>
      <c r="H1914" s="4">
        <v>3348205</v>
      </c>
      <c r="I1914" s="4" t="s">
        <v>471</v>
      </c>
      <c r="J1914" s="4" t="s">
        <v>217</v>
      </c>
      <c r="K1914" s="4">
        <v>3348309</v>
      </c>
    </row>
    <row r="1915" spans="2:11" s="3" customFormat="1" x14ac:dyDescent="0.3">
      <c r="B1915" s="44">
        <v>45976</v>
      </c>
      <c r="C1915" s="3" t="s">
        <v>416</v>
      </c>
      <c r="D1915" s="3" t="s">
        <v>69</v>
      </c>
      <c r="E1915" s="42"/>
      <c r="F1915" s="3" t="s">
        <v>471</v>
      </c>
      <c r="G1915" s="3" t="s">
        <v>364</v>
      </c>
      <c r="H1915" s="4">
        <v>3197000</v>
      </c>
      <c r="I1915" s="3" t="s">
        <v>694</v>
      </c>
      <c r="J1915" s="3" t="s">
        <v>402</v>
      </c>
      <c r="K1915" s="4">
        <v>3201407</v>
      </c>
    </row>
    <row r="1916" spans="2:11" s="3" customFormat="1" x14ac:dyDescent="0.3">
      <c r="B1916" s="44">
        <v>45976</v>
      </c>
      <c r="C1916" s="3" t="s">
        <v>416</v>
      </c>
      <c r="D1916" s="3" t="s">
        <v>487</v>
      </c>
      <c r="E1916" s="4"/>
      <c r="F1916" s="4" t="s">
        <v>692</v>
      </c>
      <c r="G1916" s="4" t="s">
        <v>115</v>
      </c>
      <c r="H1916" s="4">
        <v>3068106</v>
      </c>
      <c r="I1916" s="4" t="s">
        <v>710</v>
      </c>
      <c r="J1916" s="4" t="s">
        <v>113</v>
      </c>
      <c r="K1916" s="4">
        <v>3352009</v>
      </c>
    </row>
    <row r="1917" spans="2:11" s="3" customFormat="1" x14ac:dyDescent="0.3">
      <c r="B1917" s="44">
        <v>45976</v>
      </c>
      <c r="C1917" s="3" t="s">
        <v>416</v>
      </c>
      <c r="D1917" s="3" t="s">
        <v>64</v>
      </c>
      <c r="E1917" s="42">
        <v>4370907</v>
      </c>
      <c r="F1917" s="3" t="s">
        <v>692</v>
      </c>
      <c r="G1917" s="3" t="s">
        <v>342</v>
      </c>
      <c r="H1917" s="4">
        <v>3196501</v>
      </c>
      <c r="I1917" s="4" t="s">
        <v>673</v>
      </c>
      <c r="J1917" s="4" t="s">
        <v>355</v>
      </c>
      <c r="K1917" s="4">
        <v>3195002</v>
      </c>
    </row>
    <row r="1918" spans="2:11" s="3" customFormat="1" x14ac:dyDescent="0.3">
      <c r="B1918" s="44">
        <v>45976</v>
      </c>
      <c r="C1918" s="3" t="s">
        <v>416</v>
      </c>
      <c r="D1918" s="3" t="s">
        <v>494</v>
      </c>
      <c r="E1918" s="42"/>
      <c r="F1918" s="3" t="s">
        <v>692</v>
      </c>
      <c r="G1918" s="3" t="s">
        <v>144</v>
      </c>
      <c r="H1918" s="4">
        <v>3347904</v>
      </c>
      <c r="I1918" s="4" t="s">
        <v>708</v>
      </c>
      <c r="J1918" s="4" t="s">
        <v>141</v>
      </c>
      <c r="K1918" s="4">
        <v>3125802</v>
      </c>
    </row>
    <row r="1919" spans="2:11" s="3" customFormat="1" x14ac:dyDescent="0.3">
      <c r="B1919" s="44">
        <v>45976</v>
      </c>
      <c r="C1919" s="3" t="s">
        <v>416</v>
      </c>
      <c r="D1919" s="3" t="s">
        <v>498</v>
      </c>
      <c r="E1919" s="42"/>
      <c r="F1919" s="3" t="s">
        <v>692</v>
      </c>
      <c r="G1919" s="3" t="s">
        <v>223</v>
      </c>
      <c r="H1919" s="4">
        <v>3348007</v>
      </c>
      <c r="I1919" s="3" t="s">
        <v>647</v>
      </c>
      <c r="J1919" s="3" t="s">
        <v>225</v>
      </c>
      <c r="K1919" s="4">
        <v>3345802</v>
      </c>
    </row>
    <row r="1920" spans="2:11" s="3" customFormat="1" x14ac:dyDescent="0.3">
      <c r="B1920" s="44">
        <v>45976</v>
      </c>
      <c r="C1920" s="3" t="s">
        <v>416</v>
      </c>
      <c r="D1920" s="3" t="s">
        <v>488</v>
      </c>
      <c r="E1920" s="42"/>
      <c r="F1920" s="4" t="s">
        <v>698</v>
      </c>
      <c r="G1920" s="4" t="s">
        <v>561</v>
      </c>
      <c r="H1920" s="4" t="s">
        <v>563</v>
      </c>
      <c r="I1920" s="4" t="s">
        <v>697</v>
      </c>
      <c r="J1920" s="4" t="s">
        <v>122</v>
      </c>
      <c r="K1920" s="4">
        <v>3353800</v>
      </c>
    </row>
    <row r="1921" spans="2:11" s="3" customFormat="1" x14ac:dyDescent="0.3">
      <c r="B1921" s="44">
        <v>45976</v>
      </c>
      <c r="C1921" s="3" t="s">
        <v>416</v>
      </c>
      <c r="D1921" s="3" t="s">
        <v>58</v>
      </c>
      <c r="E1921" s="42"/>
      <c r="F1921" s="3" t="s">
        <v>698</v>
      </c>
      <c r="G1921" s="3" t="s">
        <v>587</v>
      </c>
      <c r="H1921" s="4" t="s">
        <v>563</v>
      </c>
      <c r="I1921" s="3" t="s">
        <v>683</v>
      </c>
      <c r="J1921" s="3" t="s">
        <v>305</v>
      </c>
      <c r="K1921" s="32">
        <v>3202906</v>
      </c>
    </row>
    <row r="1922" spans="2:11" s="3" customFormat="1" x14ac:dyDescent="0.3">
      <c r="B1922" s="44">
        <v>45976</v>
      </c>
      <c r="C1922" s="3" t="s">
        <v>416</v>
      </c>
      <c r="D1922" s="4" t="s">
        <v>614</v>
      </c>
      <c r="E1922" s="42"/>
      <c r="F1922" s="3" t="s">
        <v>699</v>
      </c>
      <c r="G1922" s="3" t="s">
        <v>624</v>
      </c>
      <c r="H1922" s="4">
        <v>3196105</v>
      </c>
      <c r="I1922" s="4" t="s">
        <v>646</v>
      </c>
      <c r="J1922" s="4" t="s">
        <v>380</v>
      </c>
      <c r="K1922" s="4">
        <v>3202208</v>
      </c>
    </row>
    <row r="1923" spans="2:11" s="3" customFormat="1" x14ac:dyDescent="0.3">
      <c r="B1923" s="44">
        <v>45976</v>
      </c>
      <c r="C1923" s="3" t="s">
        <v>416</v>
      </c>
      <c r="D1923" s="3" t="s">
        <v>486</v>
      </c>
      <c r="E1923" s="42"/>
      <c r="F1923" s="3" t="s">
        <v>681</v>
      </c>
      <c r="G1923" s="3" t="s">
        <v>105</v>
      </c>
      <c r="H1923" s="4">
        <v>3035809</v>
      </c>
      <c r="I1923" s="3" t="s">
        <v>676</v>
      </c>
      <c r="J1923" s="3" t="s">
        <v>109</v>
      </c>
      <c r="K1923" s="4">
        <v>3067701</v>
      </c>
    </row>
    <row r="1924" spans="2:11" s="3" customFormat="1" x14ac:dyDescent="0.3">
      <c r="B1924" s="44">
        <v>45976</v>
      </c>
      <c r="C1924" s="3" t="s">
        <v>416</v>
      </c>
      <c r="D1924" s="3" t="s">
        <v>59</v>
      </c>
      <c r="E1924" s="42"/>
      <c r="F1924" s="3" t="s">
        <v>681</v>
      </c>
      <c r="G1924" s="3" t="s">
        <v>281</v>
      </c>
      <c r="H1924" s="4">
        <v>3195700</v>
      </c>
      <c r="I1924" s="3" t="s">
        <v>662</v>
      </c>
      <c r="J1924" s="3" t="s">
        <v>314</v>
      </c>
      <c r="K1924" s="4">
        <v>3208004</v>
      </c>
    </row>
    <row r="1925" spans="2:11" s="3" customFormat="1" x14ac:dyDescent="0.3">
      <c r="B1925" s="44">
        <v>45976</v>
      </c>
      <c r="C1925" s="3" t="s">
        <v>416</v>
      </c>
      <c r="D1925" s="3" t="s">
        <v>497</v>
      </c>
      <c r="E1925" s="42"/>
      <c r="F1925" s="3" t="s">
        <v>681</v>
      </c>
      <c r="G1925" s="3" t="s">
        <v>175</v>
      </c>
      <c r="H1925" s="74">
        <v>3347800</v>
      </c>
      <c r="I1925" s="17" t="s">
        <v>660</v>
      </c>
      <c r="J1925" s="17" t="s">
        <v>212</v>
      </c>
      <c r="K1925" s="74">
        <v>3360007</v>
      </c>
    </row>
    <row r="1926" spans="2:11" s="3" customFormat="1" x14ac:dyDescent="0.3">
      <c r="B1926" s="44">
        <v>45976</v>
      </c>
      <c r="C1926" s="3" t="s">
        <v>416</v>
      </c>
      <c r="D1926" s="3" t="s">
        <v>69</v>
      </c>
      <c r="E1926" s="42"/>
      <c r="F1926" s="3" t="s">
        <v>681</v>
      </c>
      <c r="G1926" s="3" t="s">
        <v>365</v>
      </c>
      <c r="H1926" s="4">
        <v>3195804</v>
      </c>
      <c r="I1926" s="3" t="s">
        <v>663</v>
      </c>
      <c r="J1926" s="3" t="s">
        <v>362</v>
      </c>
      <c r="K1926" s="4">
        <v>3197406</v>
      </c>
    </row>
    <row r="1927" spans="2:11" s="3" customFormat="1" x14ac:dyDescent="0.3">
      <c r="B1927" s="44">
        <v>45976</v>
      </c>
      <c r="C1927" s="3" t="s">
        <v>416</v>
      </c>
      <c r="D1927" s="3" t="s">
        <v>593</v>
      </c>
      <c r="E1927" s="42"/>
      <c r="F1927" s="3" t="s">
        <v>681</v>
      </c>
      <c r="G1927" s="3" t="s">
        <v>397</v>
      </c>
      <c r="H1927" s="4">
        <v>3195908</v>
      </c>
      <c r="I1927" s="4" t="s">
        <v>479</v>
      </c>
      <c r="J1927" s="4" t="s">
        <v>628</v>
      </c>
      <c r="K1927" s="4" t="s">
        <v>642</v>
      </c>
    </row>
    <row r="1928" spans="2:11" s="3" customFormat="1" x14ac:dyDescent="0.3">
      <c r="B1928" s="44">
        <v>45976</v>
      </c>
      <c r="C1928" s="3" t="s">
        <v>416</v>
      </c>
      <c r="D1928" s="3" t="s">
        <v>492</v>
      </c>
      <c r="E1928" s="42"/>
      <c r="F1928" s="4" t="s">
        <v>670</v>
      </c>
      <c r="G1928" s="4" t="s">
        <v>145</v>
      </c>
      <c r="H1928" s="4">
        <v>3347404</v>
      </c>
      <c r="I1928" s="4" t="s">
        <v>713</v>
      </c>
      <c r="J1928" s="4" t="s">
        <v>165</v>
      </c>
      <c r="K1928" s="4">
        <v>3349006</v>
      </c>
    </row>
    <row r="1929" spans="2:11" s="3" customFormat="1" x14ac:dyDescent="0.3">
      <c r="B1929" s="44">
        <v>45976</v>
      </c>
      <c r="C1929" s="3" t="s">
        <v>416</v>
      </c>
      <c r="D1929" s="3" t="s">
        <v>592</v>
      </c>
      <c r="E1929" s="42"/>
      <c r="F1929" s="3" t="s">
        <v>670</v>
      </c>
      <c r="G1929" s="3" t="s">
        <v>636</v>
      </c>
      <c r="H1929" s="74">
        <v>3195502</v>
      </c>
      <c r="I1929" s="3" t="s">
        <v>647</v>
      </c>
      <c r="J1929" s="3" t="s">
        <v>405</v>
      </c>
      <c r="K1929" s="74">
        <v>3901108</v>
      </c>
    </row>
    <row r="1930" spans="2:11" s="3" customFormat="1" x14ac:dyDescent="0.3">
      <c r="B1930" s="44">
        <v>45976</v>
      </c>
      <c r="C1930" s="3" t="s">
        <v>416</v>
      </c>
      <c r="D1930" s="3" t="s">
        <v>486</v>
      </c>
      <c r="E1930" s="42"/>
      <c r="F1930" s="3" t="s">
        <v>673</v>
      </c>
      <c r="G1930" s="3" t="s">
        <v>106</v>
      </c>
      <c r="H1930" s="4">
        <v>3067607</v>
      </c>
      <c r="I1930" s="4" t="s">
        <v>646</v>
      </c>
      <c r="J1930" s="4" t="s">
        <v>102</v>
      </c>
      <c r="K1930" s="4">
        <v>3125406</v>
      </c>
    </row>
    <row r="1931" spans="2:11" s="3" customFormat="1" x14ac:dyDescent="0.3">
      <c r="B1931" s="44">
        <v>45976</v>
      </c>
      <c r="C1931" s="3" t="s">
        <v>416</v>
      </c>
      <c r="D1931" s="3" t="s">
        <v>492</v>
      </c>
      <c r="E1931" s="42"/>
      <c r="F1931" s="4" t="s">
        <v>673</v>
      </c>
      <c r="G1931" s="4" t="s">
        <v>134</v>
      </c>
      <c r="H1931" s="4">
        <v>3347102</v>
      </c>
      <c r="I1931" s="4" t="s">
        <v>646</v>
      </c>
      <c r="J1931" s="4" t="s">
        <v>194</v>
      </c>
      <c r="K1931" s="4">
        <v>3354205</v>
      </c>
    </row>
    <row r="1932" spans="2:11" s="3" customFormat="1" x14ac:dyDescent="0.3">
      <c r="B1932" s="44">
        <v>45976</v>
      </c>
      <c r="C1932" s="3" t="s">
        <v>416</v>
      </c>
      <c r="D1932" s="3" t="s">
        <v>490</v>
      </c>
      <c r="E1932" s="4"/>
      <c r="F1932" s="3" t="s">
        <v>717</v>
      </c>
      <c r="G1932" s="3" t="s">
        <v>425</v>
      </c>
      <c r="H1932" s="4">
        <v>3347206</v>
      </c>
      <c r="I1932" s="4" t="s">
        <v>654</v>
      </c>
      <c r="J1932" s="4" t="s">
        <v>143</v>
      </c>
      <c r="K1932" s="4">
        <v>3349704</v>
      </c>
    </row>
    <row r="1933" spans="2:11" s="3" customFormat="1" x14ac:dyDescent="0.3">
      <c r="B1933" s="44">
        <v>45976</v>
      </c>
      <c r="C1933" s="3" t="s">
        <v>416</v>
      </c>
      <c r="D1933" s="3" t="s">
        <v>64</v>
      </c>
      <c r="E1933" s="42">
        <v>4370907</v>
      </c>
      <c r="F1933" s="3" t="s">
        <v>717</v>
      </c>
      <c r="G1933" s="3" t="s">
        <v>432</v>
      </c>
      <c r="H1933" s="4">
        <v>3195106</v>
      </c>
      <c r="I1933" s="4" t="s">
        <v>475</v>
      </c>
      <c r="J1933" s="4" t="s">
        <v>310</v>
      </c>
      <c r="K1933" s="4">
        <v>3212402</v>
      </c>
    </row>
    <row r="1934" spans="2:11" s="3" customFormat="1" x14ac:dyDescent="0.3">
      <c r="B1934" s="44">
        <v>45976</v>
      </c>
      <c r="C1934" s="3" t="s">
        <v>416</v>
      </c>
      <c r="D1934" s="3" t="s">
        <v>70</v>
      </c>
      <c r="E1934" s="42"/>
      <c r="F1934" s="3" t="s">
        <v>717</v>
      </c>
      <c r="G1934" s="3" t="s">
        <v>434</v>
      </c>
      <c r="H1934" s="4">
        <v>3195408</v>
      </c>
      <c r="I1934" s="3" t="s">
        <v>689</v>
      </c>
      <c r="J1934" s="3" t="s">
        <v>404</v>
      </c>
      <c r="K1934" s="53">
        <v>3196605</v>
      </c>
    </row>
    <row r="1935" spans="2:11" s="3" customFormat="1" x14ac:dyDescent="0.3">
      <c r="B1935" s="44">
        <v>45976</v>
      </c>
      <c r="C1935" s="3" t="s">
        <v>416</v>
      </c>
      <c r="D1935" s="3" t="s">
        <v>489</v>
      </c>
      <c r="E1935" s="4"/>
      <c r="F1935" s="4" t="s">
        <v>679</v>
      </c>
      <c r="G1935" s="4" t="s">
        <v>135</v>
      </c>
      <c r="H1935" s="4">
        <v>3346603</v>
      </c>
      <c r="I1935" s="3" t="s">
        <v>671</v>
      </c>
      <c r="J1935" s="3" t="s">
        <v>156</v>
      </c>
      <c r="K1935" s="4">
        <v>3359200</v>
      </c>
    </row>
    <row r="1936" spans="2:11" s="3" customFormat="1" x14ac:dyDescent="0.3">
      <c r="B1936" s="44">
        <v>45976</v>
      </c>
      <c r="C1936" s="3" t="s">
        <v>416</v>
      </c>
      <c r="D1936" s="3" t="s">
        <v>593</v>
      </c>
      <c r="E1936" s="42"/>
      <c r="F1936" s="3" t="s">
        <v>679</v>
      </c>
      <c r="G1936" s="3" t="s">
        <v>633</v>
      </c>
      <c r="H1936" s="4">
        <v>3194607</v>
      </c>
      <c r="I1936" s="15" t="s">
        <v>570</v>
      </c>
      <c r="J1936" s="15" t="s">
        <v>570</v>
      </c>
      <c r="K1936" s="74" t="s">
        <v>556</v>
      </c>
    </row>
    <row r="1937" spans="1:43" s="3" customFormat="1" x14ac:dyDescent="0.3">
      <c r="B1937" s="44">
        <v>45976</v>
      </c>
      <c r="C1937" s="3" t="s">
        <v>416</v>
      </c>
      <c r="D1937" s="3" t="s">
        <v>64</v>
      </c>
      <c r="E1937" s="42">
        <v>4370907</v>
      </c>
      <c r="F1937" s="3" t="s">
        <v>688</v>
      </c>
      <c r="G1937" s="3" t="s">
        <v>318</v>
      </c>
      <c r="H1937" s="4">
        <v>3037401</v>
      </c>
      <c r="I1937" s="4" t="s">
        <v>670</v>
      </c>
      <c r="J1937" s="4" t="s">
        <v>343</v>
      </c>
      <c r="K1937" s="4">
        <v>3195606</v>
      </c>
    </row>
    <row r="1938" spans="1:43" s="3" customFormat="1" x14ac:dyDescent="0.3">
      <c r="B1938" s="44">
        <v>45976</v>
      </c>
      <c r="C1938" s="3" t="s">
        <v>416</v>
      </c>
      <c r="D1938" s="3" t="s">
        <v>67</v>
      </c>
      <c r="E1938" s="42"/>
      <c r="F1938" s="3" t="s">
        <v>688</v>
      </c>
      <c r="G1938" s="3" t="s">
        <v>344</v>
      </c>
      <c r="H1938" s="4">
        <v>3194909</v>
      </c>
      <c r="I1938" s="3" t="s">
        <v>647</v>
      </c>
      <c r="J1938" s="3" t="s">
        <v>345</v>
      </c>
      <c r="K1938" s="4">
        <v>3194003</v>
      </c>
    </row>
    <row r="1939" spans="1:43" s="3" customFormat="1" x14ac:dyDescent="0.3">
      <c r="B1939" s="44">
        <v>45976</v>
      </c>
      <c r="C1939" s="3" t="s">
        <v>416</v>
      </c>
      <c r="D1939" s="3" t="s">
        <v>70</v>
      </c>
      <c r="E1939" s="42"/>
      <c r="F1939" s="3" t="s">
        <v>688</v>
      </c>
      <c r="G1939" s="3" t="s">
        <v>460</v>
      </c>
      <c r="H1939" s="4">
        <v>3194503</v>
      </c>
      <c r="I1939" s="3" t="s">
        <v>672</v>
      </c>
      <c r="J1939" s="3" t="s">
        <v>401</v>
      </c>
      <c r="K1939" s="4">
        <v>3202000</v>
      </c>
    </row>
    <row r="1940" spans="1:43" s="3" customFormat="1" x14ac:dyDescent="0.3">
      <c r="B1940" s="44">
        <v>45976</v>
      </c>
      <c r="C1940" s="3" t="s">
        <v>416</v>
      </c>
      <c r="D1940" s="3" t="s">
        <v>504</v>
      </c>
      <c r="E1940" s="42"/>
      <c r="F1940" s="4" t="s">
        <v>720</v>
      </c>
      <c r="G1940" s="4" t="s">
        <v>13</v>
      </c>
      <c r="H1940" s="4">
        <v>3125906</v>
      </c>
      <c r="I1940" s="4" t="s">
        <v>671</v>
      </c>
      <c r="J1940" s="4" t="s">
        <v>8</v>
      </c>
      <c r="K1940" s="4">
        <v>3034008</v>
      </c>
    </row>
    <row r="1941" spans="1:43" s="3" customFormat="1" x14ac:dyDescent="0.3">
      <c r="B1941" s="44">
        <v>45976</v>
      </c>
      <c r="C1941" s="3" t="s">
        <v>416</v>
      </c>
      <c r="D1941" s="3" t="s">
        <v>61</v>
      </c>
      <c r="E1941" s="42"/>
      <c r="F1941" s="4" t="s">
        <v>720</v>
      </c>
      <c r="G1941" s="4" t="s">
        <v>335</v>
      </c>
      <c r="H1941" s="4">
        <v>3194201</v>
      </c>
      <c r="I1941" s="4" t="s">
        <v>477</v>
      </c>
      <c r="J1941" s="4" t="s">
        <v>308</v>
      </c>
      <c r="K1941" s="4">
        <v>3199300</v>
      </c>
    </row>
    <row r="1942" spans="1:43" s="3" customFormat="1" x14ac:dyDescent="0.3">
      <c r="B1942" s="44">
        <v>45976</v>
      </c>
      <c r="C1942" s="3" t="s">
        <v>416</v>
      </c>
      <c r="D1942" s="3" t="s">
        <v>488</v>
      </c>
      <c r="E1942" s="42"/>
      <c r="F1942" s="3" t="s">
        <v>720</v>
      </c>
      <c r="G1942" s="3" t="s">
        <v>153</v>
      </c>
      <c r="H1942" s="4">
        <v>3033405</v>
      </c>
      <c r="I1942" s="3" t="s">
        <v>702</v>
      </c>
      <c r="J1942" s="3" t="s">
        <v>119</v>
      </c>
      <c r="K1942" s="4">
        <v>3067909</v>
      </c>
    </row>
    <row r="1943" spans="1:43" s="3" customFormat="1" x14ac:dyDescent="0.3">
      <c r="B1943" s="44">
        <v>45976</v>
      </c>
      <c r="C1943" s="3" t="s">
        <v>416</v>
      </c>
      <c r="D1943" s="3" t="s">
        <v>494</v>
      </c>
      <c r="E1943" s="42"/>
      <c r="F1943" s="4" t="s">
        <v>647</v>
      </c>
      <c r="G1943" s="4" t="s">
        <v>191</v>
      </c>
      <c r="H1943" s="4">
        <v>3345708</v>
      </c>
      <c r="I1943" s="4" t="s">
        <v>472</v>
      </c>
      <c r="J1943" s="4" t="s">
        <v>186</v>
      </c>
      <c r="K1943" s="4">
        <v>3357702</v>
      </c>
    </row>
    <row r="1944" spans="1:43" s="3" customFormat="1" x14ac:dyDescent="0.3">
      <c r="B1944" s="44">
        <v>45976</v>
      </c>
      <c r="C1944" s="3" t="s">
        <v>416</v>
      </c>
      <c r="D1944" s="3" t="s">
        <v>496</v>
      </c>
      <c r="E1944" s="42"/>
      <c r="F1944" s="4" t="s">
        <v>687</v>
      </c>
      <c r="G1944" s="4" t="s">
        <v>207</v>
      </c>
      <c r="H1944" s="4">
        <v>3346801</v>
      </c>
      <c r="I1944" s="4" t="s">
        <v>474</v>
      </c>
      <c r="J1944" s="4" t="s">
        <v>426</v>
      </c>
      <c r="K1944" s="4">
        <v>3352603</v>
      </c>
    </row>
    <row r="1945" spans="1:43" s="3" customFormat="1" x14ac:dyDescent="0.3">
      <c r="B1945" s="44">
        <v>45976</v>
      </c>
      <c r="C1945" s="3" t="s">
        <v>416</v>
      </c>
      <c r="D1945" s="3" t="s">
        <v>68</v>
      </c>
      <c r="E1945" s="42"/>
      <c r="F1945" s="3" t="s">
        <v>687</v>
      </c>
      <c r="G1945" s="3" t="s">
        <v>391</v>
      </c>
      <c r="H1945" s="4">
        <v>3193806</v>
      </c>
      <c r="I1945" s="15" t="s">
        <v>664</v>
      </c>
      <c r="J1945" s="15" t="s">
        <v>388</v>
      </c>
      <c r="K1945" s="74">
        <v>3165306</v>
      </c>
    </row>
    <row r="1946" spans="1:43" s="3" customFormat="1" x14ac:dyDescent="0.3">
      <c r="A1946" s="4"/>
      <c r="B1946" s="100">
        <v>45977</v>
      </c>
      <c r="C1946" s="98" t="s">
        <v>553</v>
      </c>
      <c r="D1946" s="4" t="s">
        <v>521</v>
      </c>
      <c r="E1946" s="4"/>
      <c r="F1946" s="73" t="s">
        <v>479</v>
      </c>
      <c r="G1946" s="73" t="s">
        <v>479</v>
      </c>
      <c r="H1946" s="73"/>
      <c r="I1946" s="73" t="s">
        <v>472</v>
      </c>
      <c r="J1946" s="73" t="s">
        <v>472</v>
      </c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</row>
    <row r="1947" spans="1:43" s="3" customFormat="1" x14ac:dyDescent="0.3">
      <c r="A1947" s="4"/>
      <c r="B1947" s="100">
        <v>45977</v>
      </c>
      <c r="C1947" s="98" t="s">
        <v>553</v>
      </c>
      <c r="D1947" s="4" t="s">
        <v>516</v>
      </c>
      <c r="E1947" s="4"/>
      <c r="F1947" s="73" t="s">
        <v>474</v>
      </c>
      <c r="G1947" s="73" t="s">
        <v>474</v>
      </c>
      <c r="H1947" s="73"/>
      <c r="I1947" s="73" t="s">
        <v>476</v>
      </c>
      <c r="J1947" s="73" t="s">
        <v>476</v>
      </c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</row>
    <row r="1948" spans="1:43" s="3" customFormat="1" x14ac:dyDescent="0.3">
      <c r="A1948" s="4"/>
      <c r="B1948" s="100">
        <v>45977</v>
      </c>
      <c r="C1948" s="98" t="s">
        <v>553</v>
      </c>
      <c r="D1948" s="4" t="s">
        <v>516</v>
      </c>
      <c r="E1948" s="4"/>
      <c r="F1948" s="73" t="s">
        <v>540</v>
      </c>
      <c r="G1948" s="73" t="s">
        <v>540</v>
      </c>
      <c r="H1948" s="73"/>
      <c r="I1948" s="73" t="s">
        <v>518</v>
      </c>
      <c r="J1948" s="73" t="s">
        <v>518</v>
      </c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</row>
    <row r="1949" spans="1:43" s="3" customFormat="1" x14ac:dyDescent="0.3">
      <c r="A1949" s="4"/>
      <c r="B1949" s="100">
        <v>45977</v>
      </c>
      <c r="C1949" s="98" t="s">
        <v>553</v>
      </c>
      <c r="D1949" s="4" t="s">
        <v>521</v>
      </c>
      <c r="E1949" s="4"/>
      <c r="F1949" s="73" t="s">
        <v>471</v>
      </c>
      <c r="G1949" s="73" t="s">
        <v>471</v>
      </c>
      <c r="H1949" s="73"/>
      <c r="I1949" s="73" t="s">
        <v>522</v>
      </c>
      <c r="J1949" s="73" t="s">
        <v>522</v>
      </c>
      <c r="K1949" s="15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</row>
    <row r="1950" spans="1:43" s="3" customFormat="1" x14ac:dyDescent="0.3">
      <c r="B1950" s="44">
        <v>45983</v>
      </c>
      <c r="C1950" s="3" t="s">
        <v>416</v>
      </c>
      <c r="D1950" s="3" t="s">
        <v>504</v>
      </c>
      <c r="E1950" s="42"/>
      <c r="F1950" s="3" t="s">
        <v>475</v>
      </c>
      <c r="G1950" s="3" t="s">
        <v>15</v>
      </c>
      <c r="H1950" s="4">
        <v>3029601</v>
      </c>
      <c r="I1950" s="3" t="s">
        <v>472</v>
      </c>
      <c r="J1950" s="3" t="s">
        <v>11</v>
      </c>
      <c r="K1950" s="4">
        <v>3034800</v>
      </c>
    </row>
    <row r="1951" spans="1:43" s="3" customFormat="1" x14ac:dyDescent="0.3">
      <c r="B1951" s="44">
        <v>45983</v>
      </c>
      <c r="C1951" s="3" t="s">
        <v>416</v>
      </c>
      <c r="D1951" s="3" t="s">
        <v>56</v>
      </c>
      <c r="E1951" s="42"/>
      <c r="F1951" s="3" t="s">
        <v>475</v>
      </c>
      <c r="G1951" s="3" t="s">
        <v>256</v>
      </c>
      <c r="H1951" s="4">
        <v>3068700</v>
      </c>
      <c r="I1951" s="106" t="s">
        <v>672</v>
      </c>
      <c r="J1951" s="106" t="s">
        <v>252</v>
      </c>
      <c r="K1951" s="106">
        <v>3070204</v>
      </c>
    </row>
    <row r="1952" spans="1:43" s="3" customFormat="1" x14ac:dyDescent="0.3">
      <c r="B1952" s="44">
        <v>45983</v>
      </c>
      <c r="C1952" s="3" t="s">
        <v>416</v>
      </c>
      <c r="D1952" s="3" t="s">
        <v>490</v>
      </c>
      <c r="E1952" s="4"/>
      <c r="F1952" s="3" t="s">
        <v>475</v>
      </c>
      <c r="G1952" s="3" t="s">
        <v>125</v>
      </c>
      <c r="H1952" s="4">
        <v>3362807</v>
      </c>
      <c r="I1952" s="4" t="s">
        <v>479</v>
      </c>
      <c r="J1952" s="4" t="s">
        <v>136</v>
      </c>
      <c r="K1952" s="4">
        <v>3360903</v>
      </c>
    </row>
    <row r="1953" spans="1:43" s="3" customFormat="1" x14ac:dyDescent="0.3">
      <c r="B1953" s="44">
        <v>45983</v>
      </c>
      <c r="C1953" s="3" t="s">
        <v>416</v>
      </c>
      <c r="D1953" s="3" t="s">
        <v>64</v>
      </c>
      <c r="E1953" s="42">
        <v>4370907</v>
      </c>
      <c r="F1953" s="3" t="s">
        <v>475</v>
      </c>
      <c r="G1953" s="3" t="s">
        <v>310</v>
      </c>
      <c r="H1953" s="4">
        <v>3212402</v>
      </c>
      <c r="I1953" s="4" t="s">
        <v>662</v>
      </c>
      <c r="J1953" s="4" t="s">
        <v>372</v>
      </c>
      <c r="K1953" s="4">
        <v>3207703</v>
      </c>
    </row>
    <row r="1954" spans="1:43" s="3" customFormat="1" x14ac:dyDescent="0.3">
      <c r="B1954" s="44">
        <v>45983</v>
      </c>
      <c r="C1954" s="3" t="s">
        <v>416</v>
      </c>
      <c r="D1954" s="3" t="s">
        <v>67</v>
      </c>
      <c r="E1954" s="42"/>
      <c r="F1954" s="4" t="s">
        <v>475</v>
      </c>
      <c r="G1954" s="4" t="s">
        <v>336</v>
      </c>
      <c r="H1954" s="4">
        <v>3211809</v>
      </c>
      <c r="I1954" s="3" t="s">
        <v>688</v>
      </c>
      <c r="J1954" s="3" t="s">
        <v>344</v>
      </c>
      <c r="K1954" s="4">
        <v>3194909</v>
      </c>
    </row>
    <row r="1955" spans="1:43" s="3" customFormat="1" x14ac:dyDescent="0.3">
      <c r="B1955" s="44">
        <v>45983</v>
      </c>
      <c r="C1955" s="3" t="s">
        <v>416</v>
      </c>
      <c r="D1955" s="3" t="s">
        <v>501</v>
      </c>
      <c r="E1955" s="42"/>
      <c r="F1955" s="3" t="s">
        <v>475</v>
      </c>
      <c r="G1955" s="3" t="s">
        <v>241</v>
      </c>
      <c r="H1955" s="4">
        <v>3362401</v>
      </c>
      <c r="I1955" s="3" t="s">
        <v>692</v>
      </c>
      <c r="J1955" s="3" t="s">
        <v>582</v>
      </c>
      <c r="K1955" s="53">
        <v>3900901</v>
      </c>
      <c r="L1955" s="4"/>
      <c r="M1955" s="4"/>
    </row>
    <row r="1956" spans="1:43" s="3" customFormat="1" x14ac:dyDescent="0.3">
      <c r="B1956" s="44">
        <v>45983</v>
      </c>
      <c r="C1956" s="3" t="s">
        <v>416</v>
      </c>
      <c r="D1956" s="3" t="s">
        <v>592</v>
      </c>
      <c r="E1956" s="42"/>
      <c r="F1956" s="3" t="s">
        <v>475</v>
      </c>
      <c r="G1956" s="3" t="s">
        <v>398</v>
      </c>
      <c r="H1956" s="74">
        <v>3211601</v>
      </c>
      <c r="I1956" s="3" t="s">
        <v>670</v>
      </c>
      <c r="J1956" s="3" t="s">
        <v>636</v>
      </c>
      <c r="K1956" s="74">
        <v>3195502</v>
      </c>
    </row>
    <row r="1957" spans="1:43" s="3" customFormat="1" x14ac:dyDescent="0.3">
      <c r="B1957" s="44">
        <v>45983</v>
      </c>
      <c r="C1957" s="3" t="s">
        <v>416</v>
      </c>
      <c r="D1957" s="3" t="s">
        <v>492</v>
      </c>
      <c r="E1957" s="42"/>
      <c r="F1957" s="4" t="s">
        <v>648</v>
      </c>
      <c r="G1957" s="4" t="s">
        <v>201</v>
      </c>
      <c r="H1957" s="4">
        <v>3362203</v>
      </c>
      <c r="I1957" s="3" t="s">
        <v>719</v>
      </c>
      <c r="J1957" s="3" t="s">
        <v>155</v>
      </c>
      <c r="K1957" s="4">
        <v>3361600</v>
      </c>
    </row>
    <row r="1958" spans="1:43" s="3" customFormat="1" x14ac:dyDescent="0.3">
      <c r="B1958" s="44">
        <v>45983</v>
      </c>
      <c r="C1958" s="3" t="s">
        <v>416</v>
      </c>
      <c r="D1958" s="3" t="s">
        <v>68</v>
      </c>
      <c r="E1958" s="42"/>
      <c r="F1958" s="3" t="s">
        <v>651</v>
      </c>
      <c r="G1958" s="3" t="s">
        <v>387</v>
      </c>
      <c r="H1958" s="4">
        <v>3211403</v>
      </c>
      <c r="I1958" s="4" t="s">
        <v>650</v>
      </c>
      <c r="J1958" s="4" t="s">
        <v>390</v>
      </c>
      <c r="K1958" s="4">
        <v>3544509</v>
      </c>
    </row>
    <row r="1959" spans="1:43" s="3" customFormat="1" x14ac:dyDescent="0.3">
      <c r="B1959" s="44">
        <v>45983</v>
      </c>
      <c r="C1959" s="3" t="s">
        <v>416</v>
      </c>
      <c r="D1959" s="3" t="s">
        <v>499</v>
      </c>
      <c r="E1959" s="42"/>
      <c r="F1959" s="3" t="s">
        <v>651</v>
      </c>
      <c r="G1959" s="3" t="s">
        <v>226</v>
      </c>
      <c r="H1959" s="4">
        <v>3361902</v>
      </c>
      <c r="I1959" s="3" t="s">
        <v>675</v>
      </c>
      <c r="J1959" s="3" t="s">
        <v>572</v>
      </c>
      <c r="K1959" s="53">
        <v>3350303</v>
      </c>
      <c r="M1959" s="4"/>
      <c r="N1959" s="4"/>
    </row>
    <row r="1960" spans="1:43" s="3" customFormat="1" x14ac:dyDescent="0.3">
      <c r="B1960" s="44">
        <v>45983</v>
      </c>
      <c r="C1960" s="3" t="s">
        <v>416</v>
      </c>
      <c r="D1960" s="3" t="s">
        <v>59</v>
      </c>
      <c r="E1960" s="42"/>
      <c r="F1960" s="4" t="s">
        <v>653</v>
      </c>
      <c r="G1960" s="4" t="s">
        <v>272</v>
      </c>
      <c r="H1960" s="4">
        <v>3211205</v>
      </c>
      <c r="I1960" s="4" t="s">
        <v>681</v>
      </c>
      <c r="J1960" s="4" t="s">
        <v>281</v>
      </c>
      <c r="K1960" s="4">
        <v>3195700</v>
      </c>
    </row>
    <row r="1961" spans="1:43" s="3" customFormat="1" x14ac:dyDescent="0.3">
      <c r="B1961" s="44">
        <v>45983</v>
      </c>
      <c r="C1961" s="3" t="s">
        <v>416</v>
      </c>
      <c r="D1961" s="3" t="s">
        <v>65</v>
      </c>
      <c r="E1961" s="42"/>
      <c r="F1961" s="3" t="s">
        <v>653</v>
      </c>
      <c r="G1961" s="3" t="s">
        <v>451</v>
      </c>
      <c r="H1961" s="4">
        <v>3211309</v>
      </c>
      <c r="I1961" s="4" t="s">
        <v>663</v>
      </c>
      <c r="J1961" s="4" t="s">
        <v>290</v>
      </c>
      <c r="K1961" s="4">
        <v>3197500</v>
      </c>
    </row>
    <row r="1962" spans="1:43" s="3" customFormat="1" x14ac:dyDescent="0.3">
      <c r="A1962" s="4"/>
      <c r="B1962" s="99">
        <v>45983</v>
      </c>
      <c r="C1962" s="98" t="s">
        <v>553</v>
      </c>
      <c r="D1962" s="4" t="s">
        <v>514</v>
      </c>
      <c r="E1962" s="4"/>
      <c r="F1962" s="73" t="s">
        <v>479</v>
      </c>
      <c r="G1962" s="73" t="s">
        <v>479</v>
      </c>
      <c r="H1962" s="73"/>
      <c r="I1962" s="73" t="s">
        <v>536</v>
      </c>
      <c r="J1962" s="73" t="s">
        <v>536</v>
      </c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</row>
    <row r="1963" spans="1:43" s="3" customFormat="1" x14ac:dyDescent="0.3">
      <c r="B1963" s="44">
        <v>45983</v>
      </c>
      <c r="C1963" s="3" t="s">
        <v>416</v>
      </c>
      <c r="D1963" s="3" t="s">
        <v>487</v>
      </c>
      <c r="E1963" s="4"/>
      <c r="F1963" s="3" t="s">
        <v>479</v>
      </c>
      <c r="G1963" s="3" t="s">
        <v>127</v>
      </c>
      <c r="H1963" s="4">
        <v>3360809</v>
      </c>
      <c r="I1963" s="4" t="s">
        <v>645</v>
      </c>
      <c r="J1963" s="4" t="s">
        <v>114</v>
      </c>
      <c r="K1963" s="4">
        <v>3351000</v>
      </c>
    </row>
    <row r="1964" spans="1:43" s="3" customFormat="1" x14ac:dyDescent="0.3">
      <c r="B1964" s="44">
        <v>45983</v>
      </c>
      <c r="C1964" s="3" t="s">
        <v>416</v>
      </c>
      <c r="D1964" s="3" t="s">
        <v>59</v>
      </c>
      <c r="E1964" s="42"/>
      <c r="F1964" s="4" t="s">
        <v>479</v>
      </c>
      <c r="G1964" s="4" t="s">
        <v>273</v>
      </c>
      <c r="H1964" s="4">
        <v>3211007</v>
      </c>
      <c r="I1964" s="3" t="s">
        <v>710</v>
      </c>
      <c r="J1964" s="3" t="s">
        <v>279</v>
      </c>
      <c r="K1964" s="4">
        <v>3199706</v>
      </c>
    </row>
    <row r="1965" spans="1:43" s="3" customFormat="1" x14ac:dyDescent="0.3">
      <c r="B1965" s="44">
        <v>45983</v>
      </c>
      <c r="C1965" s="3" t="s">
        <v>416</v>
      </c>
      <c r="D1965" s="3" t="s">
        <v>493</v>
      </c>
      <c r="E1965" s="42"/>
      <c r="F1965" s="3" t="s">
        <v>479</v>
      </c>
      <c r="G1965" s="3" t="s">
        <v>210</v>
      </c>
      <c r="H1965" s="4">
        <v>3361100</v>
      </c>
      <c r="I1965" s="4" t="s">
        <v>701</v>
      </c>
      <c r="J1965" s="4" t="s">
        <v>171</v>
      </c>
      <c r="K1965" s="4">
        <v>3355600</v>
      </c>
    </row>
    <row r="1966" spans="1:43" s="3" customFormat="1" x14ac:dyDescent="0.3">
      <c r="B1966" s="44">
        <v>45983</v>
      </c>
      <c r="C1966" s="3" t="s">
        <v>416</v>
      </c>
      <c r="D1966" s="3" t="s">
        <v>493</v>
      </c>
      <c r="E1966" s="42"/>
      <c r="F1966" s="3" t="s">
        <v>479</v>
      </c>
      <c r="G1966" s="3" t="s">
        <v>211</v>
      </c>
      <c r="H1966" s="4">
        <v>3361204</v>
      </c>
      <c r="I1966" s="4" t="s">
        <v>471</v>
      </c>
      <c r="J1966" s="4" t="s">
        <v>174</v>
      </c>
      <c r="K1966" s="4">
        <v>3348101</v>
      </c>
    </row>
    <row r="1967" spans="1:43" s="3" customFormat="1" x14ac:dyDescent="0.3">
      <c r="B1967" s="44">
        <v>45983</v>
      </c>
      <c r="C1967" s="3" t="s">
        <v>416</v>
      </c>
      <c r="D1967" s="3" t="s">
        <v>500</v>
      </c>
      <c r="E1967" s="42"/>
      <c r="F1967" s="3" t="s">
        <v>479</v>
      </c>
      <c r="G1967" s="3" t="s">
        <v>232</v>
      </c>
      <c r="H1967" s="4">
        <v>3360507</v>
      </c>
      <c r="I1967" s="4" t="s">
        <v>691</v>
      </c>
      <c r="J1967" s="4" t="s">
        <v>238</v>
      </c>
      <c r="K1967" s="4">
        <v>3350105</v>
      </c>
    </row>
    <row r="1968" spans="1:43" s="3" customFormat="1" x14ac:dyDescent="0.3">
      <c r="B1968" s="44">
        <v>45983</v>
      </c>
      <c r="C1968" s="3" t="s">
        <v>416</v>
      </c>
      <c r="D1968" s="3" t="s">
        <v>500</v>
      </c>
      <c r="E1968" s="42"/>
      <c r="F1968" s="3" t="s">
        <v>479</v>
      </c>
      <c r="G1968" s="3" t="s">
        <v>465</v>
      </c>
      <c r="H1968" s="4">
        <v>3962207</v>
      </c>
      <c r="I1968" s="4" t="s">
        <v>476</v>
      </c>
      <c r="J1968" s="4" t="s">
        <v>575</v>
      </c>
      <c r="K1968" s="4">
        <v>3900005</v>
      </c>
    </row>
    <row r="1969" spans="1:43" s="3" customFormat="1" x14ac:dyDescent="0.3">
      <c r="B1969" s="44">
        <v>45983</v>
      </c>
      <c r="C1969" s="3" t="s">
        <v>416</v>
      </c>
      <c r="D1969" s="3" t="s">
        <v>593</v>
      </c>
      <c r="E1969" s="42"/>
      <c r="F1969" s="3" t="s">
        <v>479</v>
      </c>
      <c r="G1969" s="3" t="s">
        <v>628</v>
      </c>
      <c r="H1969" s="4" t="s">
        <v>642</v>
      </c>
      <c r="I1969" s="4" t="s">
        <v>663</v>
      </c>
      <c r="J1969" s="4" t="s">
        <v>396</v>
      </c>
      <c r="K1969" s="4">
        <v>3197104</v>
      </c>
    </row>
    <row r="1970" spans="1:43" s="3" customFormat="1" x14ac:dyDescent="0.3">
      <c r="A1970" s="4"/>
      <c r="B1970" s="100">
        <v>45983</v>
      </c>
      <c r="C1970" s="98" t="s">
        <v>553</v>
      </c>
      <c r="D1970" s="4" t="s">
        <v>508</v>
      </c>
      <c r="E1970" s="4"/>
      <c r="F1970" s="73" t="s">
        <v>554</v>
      </c>
      <c r="G1970" s="73" t="s">
        <v>9</v>
      </c>
      <c r="H1970" s="73"/>
      <c r="I1970" s="73" t="s">
        <v>532</v>
      </c>
      <c r="J1970" s="73" t="s">
        <v>532</v>
      </c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</row>
    <row r="1971" spans="1:43" s="3" customFormat="1" x14ac:dyDescent="0.3">
      <c r="B1971" s="44">
        <v>45983</v>
      </c>
      <c r="C1971" s="3" t="s">
        <v>416</v>
      </c>
      <c r="D1971" s="3" t="s">
        <v>61</v>
      </c>
      <c r="E1971" s="42"/>
      <c r="F1971" s="4" t="s">
        <v>658</v>
      </c>
      <c r="G1971" s="4" t="s">
        <v>301</v>
      </c>
      <c r="H1971" s="4">
        <v>3210300</v>
      </c>
      <c r="I1971" s="73" t="s">
        <v>680</v>
      </c>
      <c r="J1971" s="73" t="s">
        <v>302</v>
      </c>
      <c r="K1971" s="4">
        <v>3208400</v>
      </c>
    </row>
    <row r="1972" spans="1:43" s="3" customFormat="1" x14ac:dyDescent="0.3">
      <c r="A1972" s="4"/>
      <c r="B1972" s="99">
        <v>45983</v>
      </c>
      <c r="C1972" s="98" t="s">
        <v>553</v>
      </c>
      <c r="D1972" s="4" t="s">
        <v>506</v>
      </c>
      <c r="E1972" s="4"/>
      <c r="F1972" s="73" t="s">
        <v>480</v>
      </c>
      <c r="G1972" s="73" t="s">
        <v>480</v>
      </c>
      <c r="H1972" s="73"/>
      <c r="I1972" s="73" t="s">
        <v>551</v>
      </c>
      <c r="J1972" s="73" t="s">
        <v>551</v>
      </c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</row>
    <row r="1973" spans="1:43" s="3" customFormat="1" x14ac:dyDescent="0.3">
      <c r="B1973" s="44">
        <v>45983</v>
      </c>
      <c r="C1973" s="3" t="s">
        <v>416</v>
      </c>
      <c r="D1973" s="3" t="s">
        <v>504</v>
      </c>
      <c r="E1973" s="42"/>
      <c r="F1973" s="4" t="s">
        <v>480</v>
      </c>
      <c r="G1973" s="4" t="s">
        <v>505</v>
      </c>
      <c r="H1973" s="4">
        <v>3033207</v>
      </c>
      <c r="I1973" s="3" t="s">
        <v>471</v>
      </c>
      <c r="J1973" s="3" t="s">
        <v>14</v>
      </c>
      <c r="K1973" s="4">
        <v>3348601</v>
      </c>
    </row>
    <row r="1974" spans="1:43" s="3" customFormat="1" x14ac:dyDescent="0.3">
      <c r="B1974" s="44">
        <v>45983</v>
      </c>
      <c r="C1974" s="3" t="s">
        <v>416</v>
      </c>
      <c r="D1974" s="3" t="s">
        <v>490</v>
      </c>
      <c r="E1974" s="4"/>
      <c r="F1974" s="3" t="s">
        <v>480</v>
      </c>
      <c r="G1974" s="3" t="s">
        <v>420</v>
      </c>
      <c r="H1974" s="4">
        <v>3360101</v>
      </c>
      <c r="I1974" s="4" t="s">
        <v>472</v>
      </c>
      <c r="J1974" s="4" t="s">
        <v>140</v>
      </c>
      <c r="K1974" s="4">
        <v>3357900</v>
      </c>
    </row>
    <row r="1975" spans="1:43" s="3" customFormat="1" x14ac:dyDescent="0.3">
      <c r="B1975" s="44">
        <v>45983</v>
      </c>
      <c r="C1975" s="3" t="s">
        <v>416</v>
      </c>
      <c r="D1975" s="3" t="s">
        <v>497</v>
      </c>
      <c r="E1975" s="42"/>
      <c r="F1975" s="17" t="s">
        <v>480</v>
      </c>
      <c r="G1975" s="17" t="s">
        <v>428</v>
      </c>
      <c r="H1975" s="74">
        <v>3360309</v>
      </c>
      <c r="I1975" s="17" t="s">
        <v>691</v>
      </c>
      <c r="J1975" s="17" t="s">
        <v>215</v>
      </c>
      <c r="K1975" s="74">
        <v>3350407</v>
      </c>
    </row>
    <row r="1976" spans="1:43" s="3" customFormat="1" x14ac:dyDescent="0.3">
      <c r="B1976" s="44">
        <v>45983</v>
      </c>
      <c r="C1976" s="3" t="s">
        <v>416</v>
      </c>
      <c r="D1976" s="3" t="s">
        <v>56</v>
      </c>
      <c r="E1976" s="42"/>
      <c r="F1976" s="4" t="s">
        <v>661</v>
      </c>
      <c r="G1976" s="4" t="s">
        <v>439</v>
      </c>
      <c r="H1976" s="4">
        <v>3023701</v>
      </c>
      <c r="I1976" s="3" t="s">
        <v>471</v>
      </c>
      <c r="J1976" s="3" t="s">
        <v>254</v>
      </c>
      <c r="K1976" s="4">
        <v>3068908</v>
      </c>
    </row>
    <row r="1977" spans="1:43" s="3" customFormat="1" x14ac:dyDescent="0.3">
      <c r="B1977" s="44">
        <v>45983</v>
      </c>
      <c r="C1977" s="3" t="s">
        <v>416</v>
      </c>
      <c r="D1977" s="3" t="s">
        <v>59</v>
      </c>
      <c r="E1977" s="42"/>
      <c r="F1977" s="4" t="s">
        <v>661</v>
      </c>
      <c r="G1977" s="4" t="s">
        <v>641</v>
      </c>
      <c r="H1977" s="4">
        <v>3055707</v>
      </c>
      <c r="I1977" s="3" t="s">
        <v>652</v>
      </c>
      <c r="J1977" s="3" t="s">
        <v>313</v>
      </c>
      <c r="K1977" s="4">
        <v>3207901</v>
      </c>
    </row>
    <row r="1978" spans="1:43" s="3" customFormat="1" x14ac:dyDescent="0.3">
      <c r="B1978" s="44">
        <v>45983</v>
      </c>
      <c r="C1978" s="3" t="s">
        <v>416</v>
      </c>
      <c r="D1978" s="3" t="s">
        <v>593</v>
      </c>
      <c r="E1978" s="42"/>
      <c r="F1978" s="3" t="s">
        <v>661</v>
      </c>
      <c r="G1978" s="3" t="s">
        <v>640</v>
      </c>
      <c r="H1978" s="4">
        <v>3210102</v>
      </c>
      <c r="I1978" s="4" t="s">
        <v>679</v>
      </c>
      <c r="J1978" s="4" t="s">
        <v>633</v>
      </c>
      <c r="K1978" s="4">
        <v>3194607</v>
      </c>
    </row>
    <row r="1979" spans="1:43" s="3" customFormat="1" x14ac:dyDescent="0.3">
      <c r="B1979" s="44">
        <v>45983</v>
      </c>
      <c r="C1979" s="3" t="s">
        <v>416</v>
      </c>
      <c r="D1979" s="3" t="s">
        <v>68</v>
      </c>
      <c r="E1979" s="42"/>
      <c r="F1979" s="15" t="s">
        <v>664</v>
      </c>
      <c r="G1979" s="15" t="s">
        <v>388</v>
      </c>
      <c r="H1979" s="74">
        <v>3165306</v>
      </c>
      <c r="I1979" s="4" t="s">
        <v>474</v>
      </c>
      <c r="J1979" s="4" t="s">
        <v>383</v>
      </c>
      <c r="K1979" s="4">
        <v>3200502</v>
      </c>
    </row>
    <row r="1980" spans="1:43" s="3" customFormat="1" x14ac:dyDescent="0.3">
      <c r="B1980" s="44">
        <v>45983</v>
      </c>
      <c r="C1980" s="3" t="s">
        <v>416</v>
      </c>
      <c r="D1980" s="3" t="s">
        <v>490</v>
      </c>
      <c r="E1980" s="4"/>
      <c r="F1980" s="3" t="s">
        <v>660</v>
      </c>
      <c r="G1980" s="3" t="s">
        <v>137</v>
      </c>
      <c r="H1980" s="4">
        <v>3359908</v>
      </c>
      <c r="I1980" s="4" t="s">
        <v>653</v>
      </c>
      <c r="J1980" s="4" t="s">
        <v>126</v>
      </c>
      <c r="K1980" s="4">
        <v>3361402</v>
      </c>
    </row>
    <row r="1981" spans="1:43" s="3" customFormat="1" x14ac:dyDescent="0.3">
      <c r="B1981" s="44">
        <v>45983</v>
      </c>
      <c r="C1981" s="3" t="s">
        <v>416</v>
      </c>
      <c r="D1981" s="3" t="s">
        <v>62</v>
      </c>
      <c r="E1981" s="42"/>
      <c r="F1981" s="4" t="s">
        <v>660</v>
      </c>
      <c r="G1981" s="4" t="s">
        <v>443</v>
      </c>
      <c r="H1981" s="4">
        <v>3210008</v>
      </c>
      <c r="I1981" s="3" t="s">
        <v>694</v>
      </c>
      <c r="J1981" s="3" t="s">
        <v>340</v>
      </c>
      <c r="K1981" s="4">
        <v>3201803</v>
      </c>
    </row>
    <row r="1982" spans="1:43" s="3" customFormat="1" x14ac:dyDescent="0.3">
      <c r="B1982" s="44">
        <v>45983</v>
      </c>
      <c r="C1982" s="3" t="s">
        <v>416</v>
      </c>
      <c r="D1982" s="3" t="s">
        <v>497</v>
      </c>
      <c r="E1982" s="42"/>
      <c r="F1982" s="17" t="s">
        <v>660</v>
      </c>
      <c r="G1982" s="17" t="s">
        <v>212</v>
      </c>
      <c r="H1982" s="74">
        <v>3360007</v>
      </c>
      <c r="I1982" s="3" t="s">
        <v>678</v>
      </c>
      <c r="J1982" s="3" t="s">
        <v>172</v>
      </c>
      <c r="K1982" s="74">
        <v>3350709</v>
      </c>
    </row>
    <row r="1983" spans="1:43" s="3" customFormat="1" x14ac:dyDescent="0.3">
      <c r="B1983" s="44">
        <v>45983</v>
      </c>
      <c r="C1983" s="3" t="s">
        <v>416</v>
      </c>
      <c r="D1983" s="3" t="s">
        <v>590</v>
      </c>
      <c r="E1983" s="42"/>
      <c r="F1983" s="4" t="s">
        <v>657</v>
      </c>
      <c r="G1983" s="4" t="s">
        <v>321</v>
      </c>
      <c r="H1983" s="4">
        <v>3209607</v>
      </c>
      <c r="I1983" s="4" t="s">
        <v>479</v>
      </c>
      <c r="J1983" s="4" t="s">
        <v>284</v>
      </c>
      <c r="K1983" s="4">
        <v>3210904</v>
      </c>
    </row>
    <row r="1984" spans="1:43" s="3" customFormat="1" x14ac:dyDescent="0.3">
      <c r="B1984" s="44">
        <v>45983</v>
      </c>
      <c r="C1984" s="3" t="s">
        <v>416</v>
      </c>
      <c r="D1984" s="3" t="s">
        <v>69</v>
      </c>
      <c r="E1984" s="42"/>
      <c r="F1984" s="3" t="s">
        <v>657</v>
      </c>
      <c r="G1984" s="3" t="s">
        <v>393</v>
      </c>
      <c r="H1984" s="4">
        <v>3209701</v>
      </c>
      <c r="I1984" s="3" t="s">
        <v>655</v>
      </c>
      <c r="J1984" s="3" t="s">
        <v>394</v>
      </c>
      <c r="K1984" s="4">
        <v>3201105</v>
      </c>
    </row>
    <row r="1985" spans="2:14" s="3" customFormat="1" x14ac:dyDescent="0.3">
      <c r="B1985" s="44">
        <v>45983</v>
      </c>
      <c r="C1985" s="3" t="s">
        <v>416</v>
      </c>
      <c r="D1985" s="3" t="s">
        <v>497</v>
      </c>
      <c r="E1985" s="42"/>
      <c r="F1985" s="17" t="s">
        <v>657</v>
      </c>
      <c r="G1985" s="17" t="s">
        <v>213</v>
      </c>
      <c r="H1985" s="74">
        <v>3359502</v>
      </c>
      <c r="I1985" s="3" t="s">
        <v>654</v>
      </c>
      <c r="J1985" s="3" t="s">
        <v>216</v>
      </c>
      <c r="K1985" s="4">
        <v>3349808</v>
      </c>
    </row>
    <row r="1986" spans="2:14" s="3" customFormat="1" x14ac:dyDescent="0.3">
      <c r="B1986" s="44">
        <v>45983</v>
      </c>
      <c r="C1986" s="3" t="s">
        <v>416</v>
      </c>
      <c r="D1986" s="3" t="s">
        <v>500</v>
      </c>
      <c r="E1986" s="42"/>
      <c r="F1986" s="3" t="s">
        <v>657</v>
      </c>
      <c r="G1986" s="3" t="s">
        <v>574</v>
      </c>
      <c r="H1986" s="4">
        <v>3359606</v>
      </c>
      <c r="I1986" s="4" t="s">
        <v>471</v>
      </c>
      <c r="J1986" s="4" t="s">
        <v>467</v>
      </c>
      <c r="K1986" s="4">
        <v>3819409</v>
      </c>
    </row>
    <row r="1987" spans="2:14" s="3" customFormat="1" x14ac:dyDescent="0.3">
      <c r="B1987" s="44">
        <v>45983</v>
      </c>
      <c r="C1987" s="3" t="s">
        <v>416</v>
      </c>
      <c r="D1987" s="3" t="s">
        <v>495</v>
      </c>
      <c r="E1987" s="42"/>
      <c r="F1987" s="3" t="s">
        <v>570</v>
      </c>
      <c r="G1987" s="3" t="s">
        <v>570</v>
      </c>
      <c r="H1987" s="4" t="s">
        <v>556</v>
      </c>
      <c r="I1987" s="3" t="s">
        <v>713</v>
      </c>
      <c r="J1987" s="3" t="s">
        <v>199</v>
      </c>
      <c r="K1987" s="4">
        <v>3349100</v>
      </c>
    </row>
    <row r="1988" spans="2:14" s="3" customFormat="1" x14ac:dyDescent="0.3">
      <c r="B1988" s="44">
        <v>45983</v>
      </c>
      <c r="C1988" s="3" t="s">
        <v>416</v>
      </c>
      <c r="D1988" s="3" t="s">
        <v>67</v>
      </c>
      <c r="E1988" s="42"/>
      <c r="F1988" s="4" t="s">
        <v>570</v>
      </c>
      <c r="G1988" s="4" t="s">
        <v>570</v>
      </c>
      <c r="H1988" s="4" t="s">
        <v>556</v>
      </c>
      <c r="I1988" s="3" t="s">
        <v>708</v>
      </c>
      <c r="J1988" s="3" t="s">
        <v>339</v>
      </c>
      <c r="K1988" s="4">
        <v>3204300</v>
      </c>
    </row>
    <row r="1989" spans="2:14" s="3" customFormat="1" x14ac:dyDescent="0.3">
      <c r="B1989" s="44">
        <v>45983</v>
      </c>
      <c r="C1989" s="3" t="s">
        <v>416</v>
      </c>
      <c r="D1989" s="3" t="s">
        <v>68</v>
      </c>
      <c r="E1989" s="42"/>
      <c r="F1989" s="3" t="s">
        <v>570</v>
      </c>
      <c r="G1989" s="3" t="s">
        <v>570</v>
      </c>
      <c r="H1989" s="4" t="s">
        <v>556</v>
      </c>
      <c r="I1989" s="4" t="s">
        <v>652</v>
      </c>
      <c r="J1989" s="4" t="s">
        <v>625</v>
      </c>
      <c r="K1989" s="4">
        <v>3899803</v>
      </c>
    </row>
    <row r="1990" spans="2:14" s="3" customFormat="1" x14ac:dyDescent="0.3">
      <c r="B1990" s="44">
        <v>45983</v>
      </c>
      <c r="C1990" s="3" t="s">
        <v>416</v>
      </c>
      <c r="D1990" s="3" t="s">
        <v>593</v>
      </c>
      <c r="E1990" s="42"/>
      <c r="F1990" s="15" t="s">
        <v>570</v>
      </c>
      <c r="G1990" s="15" t="s">
        <v>570</v>
      </c>
      <c r="H1990" s="74" t="s">
        <v>556</v>
      </c>
      <c r="I1990" s="4" t="s">
        <v>681</v>
      </c>
      <c r="J1990" s="4" t="s">
        <v>397</v>
      </c>
      <c r="K1990" s="4">
        <v>3195908</v>
      </c>
    </row>
    <row r="1991" spans="2:14" s="3" customFormat="1" x14ac:dyDescent="0.3">
      <c r="B1991" s="44">
        <v>45983</v>
      </c>
      <c r="C1991" s="3" t="s">
        <v>416</v>
      </c>
      <c r="D1991" s="3" t="s">
        <v>592</v>
      </c>
      <c r="E1991" s="42"/>
      <c r="F1991" s="3" t="s">
        <v>570</v>
      </c>
      <c r="G1991" s="3" t="s">
        <v>570</v>
      </c>
      <c r="H1991" s="4" t="s">
        <v>556</v>
      </c>
      <c r="I1991" s="3" t="s">
        <v>682</v>
      </c>
      <c r="J1991" s="3" t="s">
        <v>635</v>
      </c>
      <c r="K1991" s="74">
        <v>3969700</v>
      </c>
    </row>
    <row r="1992" spans="2:14" s="3" customFormat="1" x14ac:dyDescent="0.3">
      <c r="B1992" s="44">
        <v>45983</v>
      </c>
      <c r="C1992" s="3" t="s">
        <v>416</v>
      </c>
      <c r="D1992" s="3" t="s">
        <v>499</v>
      </c>
      <c r="E1992" s="42"/>
      <c r="F1992" s="3" t="s">
        <v>723</v>
      </c>
      <c r="G1992" s="3" t="s">
        <v>599</v>
      </c>
      <c r="H1992" s="4" t="s">
        <v>556</v>
      </c>
      <c r="I1992" s="3" t="s">
        <v>710</v>
      </c>
      <c r="J1992" s="3" t="s">
        <v>230</v>
      </c>
      <c r="K1992" s="4">
        <v>3900609</v>
      </c>
      <c r="M1992" s="3" t="s">
        <v>578</v>
      </c>
      <c r="N1992" s="3" t="s">
        <v>230</v>
      </c>
    </row>
    <row r="1993" spans="2:14" s="3" customFormat="1" x14ac:dyDescent="0.3">
      <c r="B1993" s="44">
        <v>45983</v>
      </c>
      <c r="C1993" s="3" t="s">
        <v>416</v>
      </c>
      <c r="D1993" s="3" t="s">
        <v>57</v>
      </c>
      <c r="E1993" s="42"/>
      <c r="F1993" s="3" t="s">
        <v>667</v>
      </c>
      <c r="G1993" s="3" t="s">
        <v>257</v>
      </c>
      <c r="H1993" s="4">
        <v>3209805</v>
      </c>
      <c r="I1993" s="15" t="s">
        <v>703</v>
      </c>
      <c r="J1993" s="15" t="s">
        <v>585</v>
      </c>
      <c r="K1993" s="74" t="s">
        <v>556</v>
      </c>
    </row>
    <row r="1994" spans="2:14" s="3" customFormat="1" x14ac:dyDescent="0.3">
      <c r="B1994" s="44">
        <v>45983</v>
      </c>
      <c r="C1994" s="3" t="s">
        <v>416</v>
      </c>
      <c r="D1994" s="3" t="s">
        <v>64</v>
      </c>
      <c r="E1994" s="42">
        <v>4370907</v>
      </c>
      <c r="F1994" s="3" t="s">
        <v>669</v>
      </c>
      <c r="G1994" s="3" t="s">
        <v>337</v>
      </c>
      <c r="H1994" s="4">
        <v>3209305</v>
      </c>
      <c r="I1994" s="4" t="s">
        <v>646</v>
      </c>
      <c r="J1994" s="4" t="s">
        <v>349</v>
      </c>
      <c r="K1994" s="4">
        <v>3202500</v>
      </c>
    </row>
    <row r="1995" spans="2:14" s="3" customFormat="1" x14ac:dyDescent="0.3">
      <c r="B1995" s="44">
        <v>45983</v>
      </c>
      <c r="C1995" s="3" t="s">
        <v>416</v>
      </c>
      <c r="D1995" s="3" t="s">
        <v>504</v>
      </c>
      <c r="E1995" s="42"/>
      <c r="F1995" s="4" t="s">
        <v>671</v>
      </c>
      <c r="G1995" s="4" t="s">
        <v>8</v>
      </c>
      <c r="H1995" s="4">
        <v>3034008</v>
      </c>
      <c r="I1995" s="3" t="s">
        <v>662</v>
      </c>
      <c r="J1995" s="3" t="s">
        <v>99</v>
      </c>
      <c r="K1995" s="4">
        <v>3125604</v>
      </c>
    </row>
    <row r="1996" spans="2:14" s="3" customFormat="1" x14ac:dyDescent="0.3">
      <c r="B1996" s="44">
        <v>45983</v>
      </c>
      <c r="C1996" s="3" t="s">
        <v>416</v>
      </c>
      <c r="D1996" s="3" t="s">
        <v>489</v>
      </c>
      <c r="E1996" s="4"/>
      <c r="F1996" s="3" t="s">
        <v>671</v>
      </c>
      <c r="G1996" s="3" t="s">
        <v>156</v>
      </c>
      <c r="H1996" s="4">
        <v>3359200</v>
      </c>
      <c r="I1996" s="4" t="s">
        <v>712</v>
      </c>
      <c r="J1996" s="4" t="s">
        <v>132</v>
      </c>
      <c r="K1996" s="4">
        <v>3068304</v>
      </c>
    </row>
    <row r="1997" spans="2:14" s="3" customFormat="1" x14ac:dyDescent="0.3">
      <c r="B1997" s="44">
        <v>45983</v>
      </c>
      <c r="C1997" s="3" t="s">
        <v>416</v>
      </c>
      <c r="D1997" s="3" t="s">
        <v>64</v>
      </c>
      <c r="E1997" s="42">
        <v>4370907</v>
      </c>
      <c r="F1997" s="3" t="s">
        <v>671</v>
      </c>
      <c r="G1997" s="3" t="s">
        <v>312</v>
      </c>
      <c r="H1997" s="4">
        <v>3209107</v>
      </c>
      <c r="I1997" s="4" t="s">
        <v>692</v>
      </c>
      <c r="J1997" s="4" t="s">
        <v>342</v>
      </c>
      <c r="K1997" s="4">
        <v>3196501</v>
      </c>
    </row>
    <row r="1998" spans="2:14" s="3" customFormat="1" x14ac:dyDescent="0.3">
      <c r="B1998" s="44">
        <v>45983</v>
      </c>
      <c r="C1998" s="3" t="s">
        <v>416</v>
      </c>
      <c r="D1998" s="3" t="s">
        <v>68</v>
      </c>
      <c r="E1998" s="42"/>
      <c r="F1998" s="3" t="s">
        <v>671</v>
      </c>
      <c r="G1998" s="3" t="s">
        <v>389</v>
      </c>
      <c r="H1998" s="4">
        <v>3209201</v>
      </c>
      <c r="I1998" s="4" t="s">
        <v>687</v>
      </c>
      <c r="J1998" s="4" t="s">
        <v>391</v>
      </c>
      <c r="K1998" s="4">
        <v>3193806</v>
      </c>
    </row>
    <row r="1999" spans="2:14" s="3" customFormat="1" x14ac:dyDescent="0.3">
      <c r="B1999" s="44">
        <v>45983</v>
      </c>
      <c r="C1999" s="3" t="s">
        <v>416</v>
      </c>
      <c r="D1999" s="3" t="s">
        <v>66</v>
      </c>
      <c r="E1999" s="42"/>
      <c r="F1999" s="104" t="s">
        <v>659</v>
      </c>
      <c r="G1999" s="104" t="s">
        <v>602</v>
      </c>
      <c r="H1999" s="74">
        <v>4023001</v>
      </c>
      <c r="I1999" s="3" t="s">
        <v>703</v>
      </c>
      <c r="J1999" s="3" t="s">
        <v>606</v>
      </c>
      <c r="K1999" s="74" t="s">
        <v>588</v>
      </c>
    </row>
    <row r="2000" spans="2:14" s="3" customFormat="1" x14ac:dyDescent="0.3">
      <c r="B2000" s="44">
        <v>45983</v>
      </c>
      <c r="C2000" s="3" t="s">
        <v>416</v>
      </c>
      <c r="D2000" s="3" t="s">
        <v>486</v>
      </c>
      <c r="E2000" s="42"/>
      <c r="F2000" s="3" t="s">
        <v>676</v>
      </c>
      <c r="G2000" s="3" t="s">
        <v>109</v>
      </c>
      <c r="H2000" s="4">
        <v>3067701</v>
      </c>
      <c r="I2000" s="3" t="s">
        <v>474</v>
      </c>
      <c r="J2000" s="3" t="s">
        <v>103</v>
      </c>
      <c r="K2000" s="4">
        <v>3353206</v>
      </c>
    </row>
    <row r="2001" spans="2:11" s="3" customFormat="1" x14ac:dyDescent="0.3">
      <c r="B2001" s="44">
        <v>45983</v>
      </c>
      <c r="C2001" s="3" t="s">
        <v>416</v>
      </c>
      <c r="D2001" s="3" t="s">
        <v>490</v>
      </c>
      <c r="E2001" s="4"/>
      <c r="F2001" s="3" t="s">
        <v>676</v>
      </c>
      <c r="G2001" s="3" t="s">
        <v>138</v>
      </c>
      <c r="H2001" s="4">
        <v>3067805</v>
      </c>
      <c r="I2001" s="4" t="s">
        <v>717</v>
      </c>
      <c r="J2001" s="4" t="s">
        <v>425</v>
      </c>
      <c r="K2001" s="4">
        <v>3347206</v>
      </c>
    </row>
    <row r="2002" spans="2:11" s="3" customFormat="1" x14ac:dyDescent="0.3">
      <c r="B2002" s="44">
        <v>45983</v>
      </c>
      <c r="C2002" s="3" t="s">
        <v>416</v>
      </c>
      <c r="D2002" s="3" t="s">
        <v>493</v>
      </c>
      <c r="E2002" s="42"/>
      <c r="F2002" s="3" t="s">
        <v>676</v>
      </c>
      <c r="G2002" s="3" t="s">
        <v>214</v>
      </c>
      <c r="H2002" s="4">
        <v>3358805</v>
      </c>
      <c r="I2002" s="4" t="s">
        <v>657</v>
      </c>
      <c r="J2002" s="4" t="s">
        <v>167</v>
      </c>
      <c r="K2002" s="4">
        <v>3359804</v>
      </c>
    </row>
    <row r="2003" spans="2:11" s="3" customFormat="1" x14ac:dyDescent="0.3">
      <c r="B2003" s="44">
        <v>45983</v>
      </c>
      <c r="C2003" s="3" t="s">
        <v>416</v>
      </c>
      <c r="D2003" s="3" t="s">
        <v>65</v>
      </c>
      <c r="E2003" s="42"/>
      <c r="F2003" s="3" t="s">
        <v>676</v>
      </c>
      <c r="G2003" s="3" t="s">
        <v>356</v>
      </c>
      <c r="H2003" s="4">
        <v>3208608</v>
      </c>
      <c r="I2003" s="4" t="s">
        <v>656</v>
      </c>
      <c r="J2003" s="4" t="s">
        <v>326</v>
      </c>
      <c r="K2003" s="4">
        <v>3199904</v>
      </c>
    </row>
    <row r="2004" spans="2:11" s="3" customFormat="1" x14ac:dyDescent="0.3">
      <c r="B2004" s="44">
        <v>45983</v>
      </c>
      <c r="C2004" s="3" t="s">
        <v>416</v>
      </c>
      <c r="D2004" s="3" t="s">
        <v>593</v>
      </c>
      <c r="E2004" s="42"/>
      <c r="F2004" s="3" t="s">
        <v>676</v>
      </c>
      <c r="G2004" s="3" t="s">
        <v>639</v>
      </c>
      <c r="H2004" s="4">
        <v>3776805</v>
      </c>
      <c r="I2004" s="4" t="s">
        <v>701</v>
      </c>
      <c r="J2004" s="4" t="s">
        <v>631</v>
      </c>
      <c r="K2004" s="4">
        <v>4023209</v>
      </c>
    </row>
    <row r="2005" spans="2:11" s="3" customFormat="1" x14ac:dyDescent="0.3">
      <c r="B2005" s="44">
        <v>45983</v>
      </c>
      <c r="C2005" s="3" t="s">
        <v>416</v>
      </c>
      <c r="D2005" s="3" t="s">
        <v>486</v>
      </c>
      <c r="E2005" s="42"/>
      <c r="F2005" s="4" t="s">
        <v>680</v>
      </c>
      <c r="G2005" s="4" t="s">
        <v>98</v>
      </c>
      <c r="H2005" s="4">
        <v>3358909</v>
      </c>
      <c r="I2005" s="3" t="s">
        <v>673</v>
      </c>
      <c r="J2005" s="3" t="s">
        <v>106</v>
      </c>
      <c r="K2005" s="4">
        <v>3067607</v>
      </c>
    </row>
    <row r="2006" spans="2:11" s="3" customFormat="1" x14ac:dyDescent="0.3">
      <c r="B2006" s="44">
        <v>45983</v>
      </c>
      <c r="C2006" s="3" t="s">
        <v>416</v>
      </c>
      <c r="D2006" s="3" t="s">
        <v>57</v>
      </c>
      <c r="E2006" s="42"/>
      <c r="F2006" s="4" t="s">
        <v>680</v>
      </c>
      <c r="G2006" s="4" t="s">
        <v>266</v>
      </c>
      <c r="H2006" s="4">
        <v>3208306</v>
      </c>
      <c r="I2006" s="73" t="s">
        <v>478</v>
      </c>
      <c r="J2006" s="73" t="s">
        <v>260</v>
      </c>
      <c r="K2006" s="15">
        <v>3205705</v>
      </c>
    </row>
    <row r="2007" spans="2:11" s="3" customFormat="1" x14ac:dyDescent="0.3">
      <c r="B2007" s="44">
        <v>45983</v>
      </c>
      <c r="C2007" s="3" t="s">
        <v>416</v>
      </c>
      <c r="D2007" s="3" t="s">
        <v>488</v>
      </c>
      <c r="E2007" s="42"/>
      <c r="F2007" s="3" t="s">
        <v>680</v>
      </c>
      <c r="G2007" s="3" t="s">
        <v>117</v>
      </c>
      <c r="H2007" s="4">
        <v>3359002</v>
      </c>
      <c r="I2007" s="3" t="s">
        <v>702</v>
      </c>
      <c r="J2007" s="3" t="s">
        <v>119</v>
      </c>
      <c r="K2007" s="4">
        <v>3067909</v>
      </c>
    </row>
    <row r="2008" spans="2:11" s="3" customFormat="1" x14ac:dyDescent="0.3">
      <c r="B2008" s="44">
        <v>45983</v>
      </c>
      <c r="C2008" s="3" t="s">
        <v>416</v>
      </c>
      <c r="D2008" s="3" t="s">
        <v>491</v>
      </c>
      <c r="E2008" s="42"/>
      <c r="F2008" s="4" t="s">
        <v>680</v>
      </c>
      <c r="G2008" s="4" t="s">
        <v>177</v>
      </c>
      <c r="H2008" s="4">
        <v>3899709</v>
      </c>
      <c r="I2008" s="3" t="s">
        <v>684</v>
      </c>
      <c r="J2008" s="3" t="s">
        <v>149</v>
      </c>
      <c r="K2008" s="4">
        <v>3354507</v>
      </c>
    </row>
    <row r="2009" spans="2:11" s="3" customFormat="1" x14ac:dyDescent="0.3">
      <c r="B2009" s="44">
        <v>45983</v>
      </c>
      <c r="C2009" s="3" t="s">
        <v>416</v>
      </c>
      <c r="D2009" s="3" t="s">
        <v>66</v>
      </c>
      <c r="E2009" s="42"/>
      <c r="F2009" s="104" t="s">
        <v>680</v>
      </c>
      <c r="G2009" s="104" t="s">
        <v>603</v>
      </c>
      <c r="H2009" s="74">
        <v>3945400</v>
      </c>
      <c r="I2009" s="3" t="s">
        <v>690</v>
      </c>
      <c r="J2009" s="3" t="s">
        <v>605</v>
      </c>
      <c r="K2009" s="74">
        <v>3900109</v>
      </c>
    </row>
    <row r="2010" spans="2:11" s="3" customFormat="1" x14ac:dyDescent="0.3">
      <c r="B2010" s="44">
        <v>45983</v>
      </c>
      <c r="C2010" s="3" t="s">
        <v>416</v>
      </c>
      <c r="D2010" s="3" t="s">
        <v>486</v>
      </c>
      <c r="E2010" s="42"/>
      <c r="F2010" s="4" t="s">
        <v>652</v>
      </c>
      <c r="G2010" s="4" t="s">
        <v>110</v>
      </c>
      <c r="H2010" s="4">
        <v>3359106</v>
      </c>
      <c r="I2010" s="3" t="s">
        <v>480</v>
      </c>
      <c r="J2010" s="3" t="s">
        <v>406</v>
      </c>
      <c r="K2010" s="4">
        <v>3124501</v>
      </c>
    </row>
    <row r="2011" spans="2:11" s="3" customFormat="1" x14ac:dyDescent="0.3">
      <c r="B2011" s="44">
        <v>45983</v>
      </c>
      <c r="C2011" s="3" t="s">
        <v>416</v>
      </c>
      <c r="D2011" s="3" t="s">
        <v>492</v>
      </c>
      <c r="E2011" s="42"/>
      <c r="F2011" s="4" t="s">
        <v>652</v>
      </c>
      <c r="G2011" s="4" t="s">
        <v>157</v>
      </c>
      <c r="H2011" s="4">
        <v>3358503</v>
      </c>
      <c r="I2011" s="3" t="s">
        <v>646</v>
      </c>
      <c r="J2011" s="3" t="s">
        <v>159</v>
      </c>
      <c r="K2011" s="4">
        <v>3354403</v>
      </c>
    </row>
    <row r="2012" spans="2:11" s="3" customFormat="1" x14ac:dyDescent="0.3">
      <c r="B2012" s="44">
        <v>45983</v>
      </c>
      <c r="C2012" s="3" t="s">
        <v>416</v>
      </c>
      <c r="D2012" s="3" t="s">
        <v>610</v>
      </c>
      <c r="E2012" s="42"/>
      <c r="F2012" s="3" t="s">
        <v>652</v>
      </c>
      <c r="G2012" s="3" t="s">
        <v>347</v>
      </c>
      <c r="H2012" s="4">
        <v>3818504</v>
      </c>
      <c r="I2012" s="4" t="s">
        <v>685</v>
      </c>
      <c r="J2012" s="4" t="s">
        <v>351</v>
      </c>
      <c r="K2012" s="4">
        <v>3201001</v>
      </c>
    </row>
    <row r="2013" spans="2:11" s="3" customFormat="1" x14ac:dyDescent="0.3">
      <c r="B2013" s="44">
        <v>45983</v>
      </c>
      <c r="C2013" s="3" t="s">
        <v>416</v>
      </c>
      <c r="D2013" s="3" t="s">
        <v>496</v>
      </c>
      <c r="E2013" s="42"/>
      <c r="F2013" s="3" t="s">
        <v>652</v>
      </c>
      <c r="G2013" s="3" t="s">
        <v>229</v>
      </c>
      <c r="H2013" s="4">
        <v>3358409</v>
      </c>
      <c r="I2013" s="3" t="s">
        <v>651</v>
      </c>
      <c r="J2013" s="3" t="s">
        <v>202</v>
      </c>
      <c r="K2013" s="74">
        <v>3361808</v>
      </c>
    </row>
    <row r="2014" spans="2:11" s="3" customFormat="1" x14ac:dyDescent="0.3">
      <c r="B2014" s="44">
        <v>45983</v>
      </c>
      <c r="C2014" s="3" t="s">
        <v>416</v>
      </c>
      <c r="D2014" s="3" t="s">
        <v>68</v>
      </c>
      <c r="E2014" s="42"/>
      <c r="F2014" s="3" t="s">
        <v>686</v>
      </c>
      <c r="G2014" s="3" t="s">
        <v>626</v>
      </c>
      <c r="H2014" s="4" t="s">
        <v>637</v>
      </c>
      <c r="I2014" s="4" t="s">
        <v>649</v>
      </c>
      <c r="J2014" s="4" t="s">
        <v>456</v>
      </c>
      <c r="K2014" s="4">
        <v>3545602</v>
      </c>
    </row>
    <row r="2015" spans="2:11" s="3" customFormat="1" x14ac:dyDescent="0.3">
      <c r="B2015" s="44">
        <v>45983</v>
      </c>
      <c r="C2015" s="3" t="s">
        <v>416</v>
      </c>
      <c r="D2015" s="3" t="s">
        <v>489</v>
      </c>
      <c r="E2015" s="4"/>
      <c r="F2015" s="3" t="s">
        <v>662</v>
      </c>
      <c r="G2015" s="3" t="s">
        <v>139</v>
      </c>
      <c r="H2015" s="4">
        <v>3358305</v>
      </c>
      <c r="I2015" s="4" t="s">
        <v>679</v>
      </c>
      <c r="J2015" s="4" t="s">
        <v>135</v>
      </c>
      <c r="K2015" s="4">
        <v>3346603</v>
      </c>
    </row>
    <row r="2016" spans="2:11" s="3" customFormat="1" x14ac:dyDescent="0.3">
      <c r="B2016" s="44">
        <v>45983</v>
      </c>
      <c r="C2016" s="3" t="s">
        <v>416</v>
      </c>
      <c r="D2016" s="3" t="s">
        <v>494</v>
      </c>
      <c r="E2016" s="42"/>
      <c r="F2016" s="4" t="s">
        <v>662</v>
      </c>
      <c r="G2016" s="4" t="s">
        <v>242</v>
      </c>
      <c r="H2016" s="4">
        <v>3358107</v>
      </c>
      <c r="I2016" s="4" t="s">
        <v>647</v>
      </c>
      <c r="J2016" s="4" t="s">
        <v>191</v>
      </c>
      <c r="K2016" s="4">
        <v>3345708</v>
      </c>
    </row>
    <row r="2017" spans="2:14" s="3" customFormat="1" x14ac:dyDescent="0.3">
      <c r="B2017" s="44">
        <v>45983</v>
      </c>
      <c r="C2017" s="3" t="s">
        <v>416</v>
      </c>
      <c r="D2017" s="3" t="s">
        <v>70</v>
      </c>
      <c r="E2017" s="42"/>
      <c r="F2017" s="3" t="s">
        <v>662</v>
      </c>
      <c r="G2017" s="3" t="s">
        <v>399</v>
      </c>
      <c r="H2017" s="4">
        <v>3207401</v>
      </c>
      <c r="I2017" s="3" t="s">
        <v>475</v>
      </c>
      <c r="J2017" s="3" t="s">
        <v>371</v>
      </c>
      <c r="K2017" s="53">
        <v>3212006</v>
      </c>
    </row>
    <row r="2018" spans="2:14" s="3" customFormat="1" x14ac:dyDescent="0.3">
      <c r="B2018" s="44">
        <v>45983</v>
      </c>
      <c r="C2018" s="3" t="s">
        <v>416</v>
      </c>
      <c r="D2018" s="3" t="s">
        <v>501</v>
      </c>
      <c r="E2018" s="42"/>
      <c r="F2018" s="3" t="s">
        <v>662</v>
      </c>
      <c r="G2018" s="3" t="s">
        <v>243</v>
      </c>
      <c r="H2018" s="4">
        <v>3899907</v>
      </c>
      <c r="I2018" s="3" t="s">
        <v>682</v>
      </c>
      <c r="J2018" s="3" t="s">
        <v>579</v>
      </c>
      <c r="K2018" s="53">
        <v>3970007</v>
      </c>
      <c r="M2018" s="4"/>
      <c r="N2018" s="4"/>
    </row>
    <row r="2019" spans="2:14" s="3" customFormat="1" x14ac:dyDescent="0.3">
      <c r="B2019" s="44">
        <v>45983</v>
      </c>
      <c r="C2019" s="3" t="s">
        <v>416</v>
      </c>
      <c r="D2019" s="3" t="s">
        <v>56</v>
      </c>
      <c r="E2019" s="42"/>
      <c r="F2019" s="4" t="s">
        <v>472</v>
      </c>
      <c r="G2019" s="4" t="s">
        <v>248</v>
      </c>
      <c r="H2019" s="4">
        <v>3207609</v>
      </c>
      <c r="I2019" s="3" t="s">
        <v>646</v>
      </c>
      <c r="J2019" s="3" t="s">
        <v>251</v>
      </c>
      <c r="K2019" s="4">
        <v>3036704</v>
      </c>
    </row>
    <row r="2020" spans="2:14" s="3" customFormat="1" x14ac:dyDescent="0.3">
      <c r="B2020" s="44">
        <v>45983</v>
      </c>
      <c r="C2020" s="3" t="s">
        <v>416</v>
      </c>
      <c r="D2020" s="3" t="s">
        <v>590</v>
      </c>
      <c r="E2020" s="42"/>
      <c r="F2020" s="3" t="s">
        <v>472</v>
      </c>
      <c r="G2020" s="3" t="s">
        <v>315</v>
      </c>
      <c r="H2020" s="4">
        <v>3455307</v>
      </c>
      <c r="I2020" s="3" t="s">
        <v>671</v>
      </c>
      <c r="J2020" s="3" t="s">
        <v>311</v>
      </c>
      <c r="K2020" s="4">
        <v>3209003</v>
      </c>
    </row>
    <row r="2021" spans="2:14" s="3" customFormat="1" x14ac:dyDescent="0.3">
      <c r="B2021" s="44">
        <v>45983</v>
      </c>
      <c r="C2021" s="3" t="s">
        <v>416</v>
      </c>
      <c r="D2021" s="3" t="s">
        <v>494</v>
      </c>
      <c r="E2021" s="42"/>
      <c r="F2021" s="4" t="s">
        <v>472</v>
      </c>
      <c r="G2021" s="4" t="s">
        <v>185</v>
      </c>
      <c r="H2021" s="4">
        <v>3357806</v>
      </c>
      <c r="I2021" s="3" t="s">
        <v>475</v>
      </c>
      <c r="J2021" s="3" t="s">
        <v>183</v>
      </c>
      <c r="K2021" s="4">
        <v>3362901</v>
      </c>
    </row>
    <row r="2022" spans="2:14" s="3" customFormat="1" x14ac:dyDescent="0.3">
      <c r="B2022" s="44">
        <v>45983</v>
      </c>
      <c r="C2022" s="3" t="s">
        <v>416</v>
      </c>
      <c r="D2022" s="3" t="s">
        <v>494</v>
      </c>
      <c r="E2022" s="42"/>
      <c r="F2022" s="4" t="s">
        <v>472</v>
      </c>
      <c r="G2022" s="4" t="s">
        <v>186</v>
      </c>
      <c r="H2022" s="4">
        <v>3357702</v>
      </c>
      <c r="I2022" s="3" t="s">
        <v>692</v>
      </c>
      <c r="J2022" s="3" t="s">
        <v>144</v>
      </c>
      <c r="K2022" s="4">
        <v>3347904</v>
      </c>
    </row>
    <row r="2023" spans="2:14" s="3" customFormat="1" x14ac:dyDescent="0.3">
      <c r="B2023" s="44">
        <v>45983</v>
      </c>
      <c r="C2023" s="3" t="s">
        <v>416</v>
      </c>
      <c r="D2023" s="3" t="s">
        <v>498</v>
      </c>
      <c r="E2023" s="42"/>
      <c r="F2023" s="3" t="s">
        <v>472</v>
      </c>
      <c r="G2023" s="3" t="s">
        <v>219</v>
      </c>
      <c r="H2023" s="4">
        <v>3357608</v>
      </c>
      <c r="I2023" s="3" t="s">
        <v>694</v>
      </c>
      <c r="J2023" s="3" t="s">
        <v>245</v>
      </c>
      <c r="K2023" s="4">
        <v>3352905</v>
      </c>
    </row>
    <row r="2024" spans="2:14" s="3" customFormat="1" x14ac:dyDescent="0.3">
      <c r="B2024" s="44">
        <v>45983</v>
      </c>
      <c r="C2024" s="3" t="s">
        <v>416</v>
      </c>
      <c r="D2024" s="3" t="s">
        <v>501</v>
      </c>
      <c r="E2024" s="42"/>
      <c r="F2024" s="3" t="s">
        <v>472</v>
      </c>
      <c r="G2024" s="3" t="s">
        <v>578</v>
      </c>
      <c r="H2024" s="4">
        <v>4022700</v>
      </c>
      <c r="I2024" s="3" t="s">
        <v>722</v>
      </c>
      <c r="J2024" s="3" t="s">
        <v>600</v>
      </c>
      <c r="K2024" s="4" t="s">
        <v>556</v>
      </c>
      <c r="M2024" s="3" t="s">
        <v>578</v>
      </c>
      <c r="N2024" s="3" t="s">
        <v>230</v>
      </c>
    </row>
    <row r="2025" spans="2:14" s="3" customFormat="1" x14ac:dyDescent="0.3">
      <c r="B2025" s="44">
        <v>45983</v>
      </c>
      <c r="C2025" s="3" t="s">
        <v>416</v>
      </c>
      <c r="D2025" s="3" t="s">
        <v>496</v>
      </c>
      <c r="E2025" s="42"/>
      <c r="F2025" s="4" t="s">
        <v>665</v>
      </c>
      <c r="G2025" s="4" t="s">
        <v>204</v>
      </c>
      <c r="H2025" s="4">
        <v>3357400</v>
      </c>
      <c r="I2025" s="3" t="s">
        <v>675</v>
      </c>
      <c r="J2025" s="3" t="s">
        <v>198</v>
      </c>
      <c r="K2025" s="4">
        <v>3350803</v>
      </c>
    </row>
    <row r="2026" spans="2:14" s="3" customFormat="1" x14ac:dyDescent="0.3">
      <c r="B2026" s="44">
        <v>45983</v>
      </c>
      <c r="C2026" s="3" t="s">
        <v>416</v>
      </c>
      <c r="D2026" s="3" t="s">
        <v>68</v>
      </c>
      <c r="E2026" s="42"/>
      <c r="F2026" s="3" t="s">
        <v>665</v>
      </c>
      <c r="G2026" s="3" t="s">
        <v>457</v>
      </c>
      <c r="H2026" s="4">
        <v>3818806</v>
      </c>
      <c r="I2026" s="4" t="s">
        <v>665</v>
      </c>
      <c r="J2026" s="4" t="s">
        <v>627</v>
      </c>
      <c r="K2026" s="4" t="s">
        <v>638</v>
      </c>
    </row>
    <row r="2027" spans="2:14" s="3" customFormat="1" x14ac:dyDescent="0.3">
      <c r="B2027" s="44">
        <v>45983</v>
      </c>
      <c r="C2027" s="3" t="s">
        <v>416</v>
      </c>
      <c r="D2027" s="3" t="s">
        <v>590</v>
      </c>
      <c r="E2027" s="42"/>
      <c r="F2027" s="4" t="s">
        <v>693</v>
      </c>
      <c r="G2027" s="4" t="s">
        <v>322</v>
      </c>
      <c r="H2027" s="4">
        <v>3207005</v>
      </c>
      <c r="I2027" s="3" t="s">
        <v>699</v>
      </c>
      <c r="J2027" s="3" t="s">
        <v>594</v>
      </c>
      <c r="K2027" s="4">
        <v>3196407</v>
      </c>
    </row>
    <row r="2028" spans="2:14" s="3" customFormat="1" x14ac:dyDescent="0.3">
      <c r="B2028" s="44">
        <v>45983</v>
      </c>
      <c r="C2028" s="3" t="s">
        <v>416</v>
      </c>
      <c r="D2028" s="3" t="s">
        <v>65</v>
      </c>
      <c r="E2028" s="42"/>
      <c r="F2028" s="3" t="s">
        <v>693</v>
      </c>
      <c r="G2028" s="3" t="s">
        <v>357</v>
      </c>
      <c r="H2028" s="4">
        <v>3206704</v>
      </c>
      <c r="I2028" s="4" t="s">
        <v>678</v>
      </c>
      <c r="J2028" s="4" t="s">
        <v>452</v>
      </c>
      <c r="K2028" s="4">
        <v>3198207</v>
      </c>
    </row>
    <row r="2029" spans="2:14" s="3" customFormat="1" x14ac:dyDescent="0.3">
      <c r="B2029" s="44">
        <v>45983</v>
      </c>
      <c r="C2029" s="3" t="s">
        <v>416</v>
      </c>
      <c r="D2029" s="3" t="s">
        <v>593</v>
      </c>
      <c r="E2029" s="42"/>
      <c r="F2029" s="3" t="s">
        <v>693</v>
      </c>
      <c r="G2029" s="3" t="s">
        <v>629</v>
      </c>
      <c r="H2029" s="4">
        <v>3961708</v>
      </c>
      <c r="I2029" s="4" t="s">
        <v>653</v>
      </c>
      <c r="J2029" s="4" t="s">
        <v>459</v>
      </c>
      <c r="K2029" s="4">
        <v>3211101</v>
      </c>
    </row>
    <row r="2030" spans="2:14" s="3" customFormat="1" x14ac:dyDescent="0.3">
      <c r="B2030" s="44">
        <v>45983</v>
      </c>
      <c r="C2030" s="3" t="s">
        <v>416</v>
      </c>
      <c r="D2030" s="3" t="s">
        <v>504</v>
      </c>
      <c r="E2030" s="42"/>
      <c r="F2030" s="4" t="s">
        <v>476</v>
      </c>
      <c r="G2030" s="4" t="s">
        <v>100</v>
      </c>
      <c r="H2030" s="4">
        <v>3125302</v>
      </c>
      <c r="I2030" s="4" t="s">
        <v>720</v>
      </c>
      <c r="J2030" s="4" t="s">
        <v>13</v>
      </c>
      <c r="K2030" s="4">
        <v>3125906</v>
      </c>
    </row>
    <row r="2031" spans="2:14" s="3" customFormat="1" x14ac:dyDescent="0.3">
      <c r="B2031" s="44">
        <v>45983</v>
      </c>
      <c r="C2031" s="3" t="s">
        <v>416</v>
      </c>
      <c r="D2031" s="3" t="s">
        <v>57</v>
      </c>
      <c r="E2031" s="42"/>
      <c r="F2031" s="32" t="s">
        <v>476</v>
      </c>
      <c r="G2031" s="32" t="s">
        <v>249</v>
      </c>
      <c r="H2031" s="15">
        <v>3038202</v>
      </c>
      <c r="I2031" s="3" t="s">
        <v>645</v>
      </c>
      <c r="J2031" s="3" t="s">
        <v>263</v>
      </c>
      <c r="K2031" s="4">
        <v>3198707</v>
      </c>
    </row>
    <row r="2032" spans="2:14" s="3" customFormat="1" x14ac:dyDescent="0.3">
      <c r="B2032" s="44">
        <v>45983</v>
      </c>
      <c r="C2032" s="3" t="s">
        <v>416</v>
      </c>
      <c r="D2032" s="3" t="s">
        <v>62</v>
      </c>
      <c r="E2032" s="42"/>
      <c r="F2032" s="4" t="s">
        <v>476</v>
      </c>
      <c r="G2032" s="4" t="s">
        <v>287</v>
      </c>
      <c r="H2032" s="4">
        <v>3206600</v>
      </c>
      <c r="I2032" s="3" t="s">
        <v>471</v>
      </c>
      <c r="J2032" s="3" t="s">
        <v>328</v>
      </c>
      <c r="K2032" s="4">
        <v>3196803</v>
      </c>
    </row>
    <row r="2033" spans="2:11" s="3" customFormat="1" x14ac:dyDescent="0.3">
      <c r="B2033" s="44">
        <v>45983</v>
      </c>
      <c r="C2033" s="3" t="s">
        <v>416</v>
      </c>
      <c r="D2033" s="3" t="s">
        <v>493</v>
      </c>
      <c r="E2033" s="42"/>
      <c r="F2033" s="3" t="s">
        <v>476</v>
      </c>
      <c r="G2033" s="3" t="s">
        <v>169</v>
      </c>
      <c r="H2033" s="4">
        <v>3356609</v>
      </c>
      <c r="I2033" s="4" t="s">
        <v>471</v>
      </c>
      <c r="J2033" s="4" t="s">
        <v>190</v>
      </c>
      <c r="K2033" s="4">
        <v>3348205</v>
      </c>
    </row>
    <row r="2034" spans="2:11" s="3" customFormat="1" x14ac:dyDescent="0.3">
      <c r="B2034" s="44">
        <v>45983</v>
      </c>
      <c r="C2034" s="3" t="s">
        <v>416</v>
      </c>
      <c r="D2034" s="3" t="s">
        <v>62</v>
      </c>
      <c r="E2034" s="42"/>
      <c r="F2034" s="4" t="s">
        <v>476</v>
      </c>
      <c r="G2034" s="4" t="s">
        <v>323</v>
      </c>
      <c r="H2034" s="4">
        <v>3206506</v>
      </c>
      <c r="I2034" s="3" t="s">
        <v>676</v>
      </c>
      <c r="J2034" s="3" t="s">
        <v>286</v>
      </c>
      <c r="K2034" s="4">
        <v>3019605</v>
      </c>
    </row>
    <row r="2035" spans="2:11" s="3" customFormat="1" x14ac:dyDescent="0.3">
      <c r="B2035" s="44">
        <v>45983</v>
      </c>
      <c r="C2035" s="3" t="s">
        <v>416</v>
      </c>
      <c r="D2035" s="3" t="s">
        <v>493</v>
      </c>
      <c r="E2035" s="42"/>
      <c r="F2035" s="3" t="s">
        <v>476</v>
      </c>
      <c r="G2035" s="3" t="s">
        <v>170</v>
      </c>
      <c r="H2035" s="4">
        <v>3356703</v>
      </c>
      <c r="I2035" s="4" t="s">
        <v>663</v>
      </c>
      <c r="J2035" s="4" t="s">
        <v>173</v>
      </c>
      <c r="K2035" s="4">
        <v>3349308</v>
      </c>
    </row>
    <row r="2036" spans="2:11" s="3" customFormat="1" x14ac:dyDescent="0.3">
      <c r="B2036" s="44">
        <v>45983</v>
      </c>
      <c r="C2036" s="3" t="s">
        <v>416</v>
      </c>
      <c r="D2036" s="3" t="s">
        <v>593</v>
      </c>
      <c r="E2036" s="42"/>
      <c r="F2036" s="3" t="s">
        <v>476</v>
      </c>
      <c r="G2036" s="3" t="s">
        <v>630</v>
      </c>
      <c r="H2036" s="4">
        <v>3206308</v>
      </c>
      <c r="I2036" s="4" t="s">
        <v>694</v>
      </c>
      <c r="J2036" s="4" t="s">
        <v>632</v>
      </c>
      <c r="K2036" s="4">
        <v>4023303</v>
      </c>
    </row>
    <row r="2037" spans="2:11" s="3" customFormat="1" x14ac:dyDescent="0.3">
      <c r="B2037" s="44">
        <v>45983</v>
      </c>
      <c r="C2037" s="3" t="s">
        <v>416</v>
      </c>
      <c r="D2037" s="3" t="s">
        <v>504</v>
      </c>
      <c r="E2037" s="42"/>
      <c r="F2037" s="4" t="s">
        <v>666</v>
      </c>
      <c r="G2037" s="4" t="s">
        <v>12</v>
      </c>
      <c r="H2037" s="4">
        <v>3034206</v>
      </c>
      <c r="I2037" s="3" t="s">
        <v>645</v>
      </c>
      <c r="J2037" s="3" t="s">
        <v>37</v>
      </c>
      <c r="K2037" s="4">
        <v>3029903</v>
      </c>
    </row>
    <row r="2038" spans="2:11" s="3" customFormat="1" x14ac:dyDescent="0.3">
      <c r="B2038" s="44">
        <v>45983</v>
      </c>
      <c r="C2038" s="3" t="s">
        <v>416</v>
      </c>
      <c r="D2038" s="3" t="s">
        <v>492</v>
      </c>
      <c r="E2038" s="42"/>
      <c r="F2038" s="3" t="s">
        <v>666</v>
      </c>
      <c r="G2038" s="3" t="s">
        <v>158</v>
      </c>
      <c r="H2038" s="4">
        <v>3356901</v>
      </c>
      <c r="I2038" s="3" t="s">
        <v>649</v>
      </c>
      <c r="J2038" s="3" t="s">
        <v>154</v>
      </c>
      <c r="K2038" s="4">
        <v>3362109</v>
      </c>
    </row>
    <row r="2039" spans="2:11" s="3" customFormat="1" x14ac:dyDescent="0.3">
      <c r="B2039" s="44">
        <v>45983</v>
      </c>
      <c r="C2039" s="3" t="s">
        <v>416</v>
      </c>
      <c r="D2039" s="4" t="s">
        <v>614</v>
      </c>
      <c r="E2039" s="42"/>
      <c r="F2039" s="3" t="s">
        <v>666</v>
      </c>
      <c r="G2039" s="3" t="s">
        <v>453</v>
      </c>
      <c r="H2039" s="4">
        <v>3206006</v>
      </c>
      <c r="I2039" s="4" t="s">
        <v>699</v>
      </c>
      <c r="J2039" s="4" t="s">
        <v>624</v>
      </c>
      <c r="K2039" s="4">
        <v>3196105</v>
      </c>
    </row>
    <row r="2040" spans="2:11" s="3" customFormat="1" x14ac:dyDescent="0.3">
      <c r="B2040" s="44">
        <v>45983</v>
      </c>
      <c r="C2040" s="3" t="s">
        <v>416</v>
      </c>
      <c r="D2040" s="3" t="s">
        <v>491</v>
      </c>
      <c r="E2040" s="42"/>
      <c r="F2040" s="3" t="s">
        <v>478</v>
      </c>
      <c r="G2040" s="3" t="s">
        <v>463</v>
      </c>
      <c r="H2040" s="74">
        <v>3125500</v>
      </c>
      <c r="I2040" s="3" t="s">
        <v>697</v>
      </c>
      <c r="J2040" s="3" t="s">
        <v>150</v>
      </c>
      <c r="K2040" s="4">
        <v>3353706</v>
      </c>
    </row>
    <row r="2041" spans="2:11" s="3" customFormat="1" x14ac:dyDescent="0.3">
      <c r="B2041" s="44">
        <v>45983</v>
      </c>
      <c r="C2041" s="3" t="s">
        <v>416</v>
      </c>
      <c r="D2041" s="3" t="s">
        <v>63</v>
      </c>
      <c r="E2041" s="42"/>
      <c r="F2041" s="3" t="s">
        <v>478</v>
      </c>
      <c r="G2041" s="3" t="s">
        <v>331</v>
      </c>
      <c r="H2041" s="74">
        <v>3205403</v>
      </c>
      <c r="I2041" s="3" t="s">
        <v>683</v>
      </c>
      <c r="J2041" s="3" t="s">
        <v>368</v>
      </c>
      <c r="K2041" s="74">
        <v>3203009</v>
      </c>
    </row>
    <row r="2042" spans="2:11" s="3" customFormat="1" x14ac:dyDescent="0.3">
      <c r="B2042" s="44">
        <v>45983</v>
      </c>
      <c r="C2042" s="3" t="s">
        <v>416</v>
      </c>
      <c r="D2042" s="3" t="s">
        <v>488</v>
      </c>
      <c r="E2042" s="42"/>
      <c r="F2042" s="4" t="s">
        <v>690</v>
      </c>
      <c r="G2042" s="4" t="s">
        <v>118</v>
      </c>
      <c r="H2042" s="4">
        <v>3356005</v>
      </c>
      <c r="I2042" s="3" t="s">
        <v>645</v>
      </c>
      <c r="J2042" s="3" t="s">
        <v>123</v>
      </c>
      <c r="K2042" s="4">
        <v>3351104</v>
      </c>
    </row>
    <row r="2043" spans="2:11" s="3" customFormat="1" x14ac:dyDescent="0.3">
      <c r="B2043" s="44">
        <v>45983</v>
      </c>
      <c r="C2043" s="3" t="s">
        <v>416</v>
      </c>
      <c r="D2043" s="3" t="s">
        <v>491</v>
      </c>
      <c r="E2043" s="42"/>
      <c r="F2043" s="4" t="s">
        <v>690</v>
      </c>
      <c r="G2043" s="4" t="s">
        <v>179</v>
      </c>
      <c r="H2043" s="4">
        <v>3818900</v>
      </c>
      <c r="I2043" s="3" t="s">
        <v>645</v>
      </c>
      <c r="J2043" s="3" t="s">
        <v>152</v>
      </c>
      <c r="K2043" s="4">
        <v>3351302</v>
      </c>
    </row>
    <row r="2044" spans="2:11" s="3" customFormat="1" x14ac:dyDescent="0.3">
      <c r="B2044" s="44">
        <v>45983</v>
      </c>
      <c r="C2044" s="3" t="s">
        <v>416</v>
      </c>
      <c r="D2044" s="3" t="s">
        <v>65</v>
      </c>
      <c r="E2044" s="42"/>
      <c r="F2044" s="3" t="s">
        <v>718</v>
      </c>
      <c r="G2044" s="3" t="s">
        <v>359</v>
      </c>
      <c r="H2044" s="4">
        <v>3204602</v>
      </c>
      <c r="I2044" s="4" t="s">
        <v>471</v>
      </c>
      <c r="J2044" s="4" t="s">
        <v>363</v>
      </c>
      <c r="K2044" s="4">
        <v>3196907</v>
      </c>
    </row>
    <row r="2045" spans="2:11" s="3" customFormat="1" x14ac:dyDescent="0.3">
      <c r="B2045" s="44">
        <v>45983</v>
      </c>
      <c r="C2045" s="3" t="s">
        <v>416</v>
      </c>
      <c r="D2045" s="3" t="s">
        <v>486</v>
      </c>
      <c r="E2045" s="42"/>
      <c r="F2045" s="4" t="s">
        <v>682</v>
      </c>
      <c r="G2045" s="4" t="s">
        <v>559</v>
      </c>
      <c r="H2045" s="4">
        <v>3969200</v>
      </c>
      <c r="I2045" s="3" t="s">
        <v>681</v>
      </c>
      <c r="J2045" s="3" t="s">
        <v>105</v>
      </c>
      <c r="K2045" s="4">
        <v>3035809</v>
      </c>
    </row>
    <row r="2046" spans="2:11" s="3" customFormat="1" x14ac:dyDescent="0.3">
      <c r="B2046" s="44">
        <v>45983</v>
      </c>
      <c r="C2046" s="3" t="s">
        <v>416</v>
      </c>
      <c r="D2046" s="3" t="s">
        <v>610</v>
      </c>
      <c r="E2046" s="42"/>
      <c r="F2046" s="3" t="s">
        <v>682</v>
      </c>
      <c r="G2046" s="3" t="s">
        <v>611</v>
      </c>
      <c r="H2046" s="4">
        <v>3204800</v>
      </c>
      <c r="I2046" s="4" t="s">
        <v>650</v>
      </c>
      <c r="J2046" s="4" t="s">
        <v>353</v>
      </c>
      <c r="K2046" s="4">
        <v>3200200</v>
      </c>
    </row>
    <row r="2047" spans="2:11" s="3" customFormat="1" x14ac:dyDescent="0.3">
      <c r="B2047" s="44">
        <v>45983</v>
      </c>
      <c r="C2047" s="3" t="s">
        <v>416</v>
      </c>
      <c r="D2047" s="3" t="s">
        <v>495</v>
      </c>
      <c r="E2047" s="42"/>
      <c r="F2047" s="3" t="s">
        <v>682</v>
      </c>
      <c r="G2047" s="3" t="s">
        <v>568</v>
      </c>
      <c r="H2047" s="4">
        <v>3969908</v>
      </c>
      <c r="I2047" s="3" t="s">
        <v>646</v>
      </c>
      <c r="J2047" s="3" t="s">
        <v>195</v>
      </c>
      <c r="K2047" s="74">
        <v>3361600</v>
      </c>
    </row>
    <row r="2048" spans="2:11" s="3" customFormat="1" x14ac:dyDescent="0.3">
      <c r="B2048" s="44">
        <v>45983</v>
      </c>
      <c r="C2048" s="3" t="s">
        <v>416</v>
      </c>
      <c r="D2048" s="4" t="s">
        <v>614</v>
      </c>
      <c r="E2048" s="42"/>
      <c r="F2048" s="3" t="s">
        <v>682</v>
      </c>
      <c r="G2048" s="3" t="s">
        <v>622</v>
      </c>
      <c r="H2048" s="4">
        <v>3969502</v>
      </c>
      <c r="I2048" s="4" t="s">
        <v>713</v>
      </c>
      <c r="J2048" s="4" t="s">
        <v>623</v>
      </c>
      <c r="K2048" s="4">
        <v>3819305</v>
      </c>
    </row>
    <row r="2049" spans="1:43" s="3" customFormat="1" x14ac:dyDescent="0.3">
      <c r="B2049" s="44">
        <v>45983</v>
      </c>
      <c r="C2049" s="3" t="s">
        <v>416</v>
      </c>
      <c r="D2049" s="3" t="s">
        <v>500</v>
      </c>
      <c r="E2049" s="42"/>
      <c r="F2049" s="3" t="s">
        <v>701</v>
      </c>
      <c r="G2049" s="3" t="s">
        <v>236</v>
      </c>
      <c r="H2049" s="4">
        <v>3355704</v>
      </c>
      <c r="I2049" s="4" t="s">
        <v>676</v>
      </c>
      <c r="J2049" s="4" t="s">
        <v>577</v>
      </c>
      <c r="K2049" s="4" t="s">
        <v>556</v>
      </c>
    </row>
    <row r="2050" spans="1:43" s="3" customFormat="1" x14ac:dyDescent="0.3">
      <c r="B2050" s="44">
        <v>45983</v>
      </c>
      <c r="C2050" s="3" t="s">
        <v>416</v>
      </c>
      <c r="D2050" s="3" t="s">
        <v>491</v>
      </c>
      <c r="E2050" s="42"/>
      <c r="F2050" s="4" t="s">
        <v>702</v>
      </c>
      <c r="G2050" s="4" t="s">
        <v>180</v>
      </c>
      <c r="H2050" s="4">
        <v>3355308</v>
      </c>
      <c r="I2050" s="104" t="s">
        <v>684</v>
      </c>
      <c r="J2050" s="104" t="s">
        <v>182</v>
      </c>
      <c r="K2050" s="53">
        <v>3900203</v>
      </c>
    </row>
    <row r="2051" spans="1:43" s="3" customFormat="1" x14ac:dyDescent="0.3">
      <c r="B2051" s="44">
        <v>45983</v>
      </c>
      <c r="C2051" s="3" t="s">
        <v>416</v>
      </c>
      <c r="D2051" s="3" t="s">
        <v>487</v>
      </c>
      <c r="E2051" s="4"/>
      <c r="F2051" s="3" t="s">
        <v>695</v>
      </c>
      <c r="G2051" s="3" t="s">
        <v>101</v>
      </c>
      <c r="H2051" s="4">
        <v>3067305</v>
      </c>
      <c r="I2051" s="4" t="s">
        <v>657</v>
      </c>
      <c r="J2051" s="4" t="s">
        <v>107</v>
      </c>
      <c r="K2051" s="4">
        <v>3068408</v>
      </c>
    </row>
    <row r="2052" spans="1:43" s="3" customFormat="1" x14ac:dyDescent="0.3">
      <c r="B2052" s="44">
        <v>45983</v>
      </c>
      <c r="C2052" s="3" t="s">
        <v>416</v>
      </c>
      <c r="D2052" s="3" t="s">
        <v>488</v>
      </c>
      <c r="E2052" s="42"/>
      <c r="F2052" s="4" t="s">
        <v>695</v>
      </c>
      <c r="G2052" s="4" t="s">
        <v>147</v>
      </c>
      <c r="H2052" s="4">
        <v>3067409</v>
      </c>
      <c r="I2052" s="3" t="s">
        <v>720</v>
      </c>
      <c r="J2052" s="3" t="s">
        <v>153</v>
      </c>
      <c r="K2052" s="4">
        <v>3033405</v>
      </c>
    </row>
    <row r="2053" spans="1:43" s="3" customFormat="1" x14ac:dyDescent="0.3">
      <c r="B2053" s="44">
        <v>45983</v>
      </c>
      <c r="C2053" s="3" t="s">
        <v>416</v>
      </c>
      <c r="D2053" s="3" t="s">
        <v>58</v>
      </c>
      <c r="E2053" s="42"/>
      <c r="F2053" s="3" t="s">
        <v>704</v>
      </c>
      <c r="G2053" s="3" t="s">
        <v>297</v>
      </c>
      <c r="H2053" s="4">
        <v>3204008</v>
      </c>
      <c r="I2053" s="3" t="s">
        <v>702</v>
      </c>
      <c r="J2053" s="3" t="s">
        <v>447</v>
      </c>
      <c r="K2053" s="32">
        <v>3055207</v>
      </c>
    </row>
    <row r="2054" spans="1:43" s="3" customFormat="1" x14ac:dyDescent="0.3">
      <c r="A2054" s="4"/>
      <c r="B2054" s="100">
        <v>45983</v>
      </c>
      <c r="C2054" s="98" t="s">
        <v>553</v>
      </c>
      <c r="D2054" s="4" t="s">
        <v>508</v>
      </c>
      <c r="E2054" s="4"/>
      <c r="F2054" s="73" t="s">
        <v>473</v>
      </c>
      <c r="G2054" s="73" t="s">
        <v>473</v>
      </c>
      <c r="H2054" s="73"/>
      <c r="I2054" s="73" t="s">
        <v>476</v>
      </c>
      <c r="J2054" s="73" t="s">
        <v>476</v>
      </c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</row>
    <row r="2055" spans="1:43" s="3" customFormat="1" x14ac:dyDescent="0.3">
      <c r="B2055" s="44">
        <v>45983</v>
      </c>
      <c r="C2055" s="3" t="s">
        <v>416</v>
      </c>
      <c r="D2055" s="3" t="s">
        <v>60</v>
      </c>
      <c r="E2055" s="42"/>
      <c r="F2055" s="3" t="s">
        <v>473</v>
      </c>
      <c r="G2055" s="3" t="s">
        <v>445</v>
      </c>
      <c r="H2055" s="4">
        <v>3204102</v>
      </c>
      <c r="I2055" s="3" t="s">
        <v>667</v>
      </c>
      <c r="J2055" s="3" t="s">
        <v>444</v>
      </c>
      <c r="K2055" s="32">
        <v>3209909</v>
      </c>
    </row>
    <row r="2056" spans="1:43" s="3" customFormat="1" x14ac:dyDescent="0.3">
      <c r="B2056" s="44">
        <v>45983</v>
      </c>
      <c r="C2056" s="3" t="s">
        <v>416</v>
      </c>
      <c r="D2056" s="3" t="s">
        <v>60</v>
      </c>
      <c r="E2056" s="42"/>
      <c r="F2056" s="3" t="s">
        <v>473</v>
      </c>
      <c r="G2056" s="3" t="s">
        <v>298</v>
      </c>
      <c r="H2056" s="4">
        <v>3817807</v>
      </c>
      <c r="I2056" s="3" t="s">
        <v>707</v>
      </c>
      <c r="J2056" s="3" t="s">
        <v>295</v>
      </c>
      <c r="K2056" s="32">
        <v>3207505</v>
      </c>
    </row>
    <row r="2057" spans="1:43" s="3" customFormat="1" x14ac:dyDescent="0.3">
      <c r="B2057" s="44">
        <v>45983</v>
      </c>
      <c r="C2057" s="3" t="s">
        <v>416</v>
      </c>
      <c r="D2057" s="3" t="s">
        <v>60</v>
      </c>
      <c r="E2057" s="42"/>
      <c r="F2057" s="3" t="s">
        <v>473</v>
      </c>
      <c r="G2057" s="3" t="s">
        <v>446</v>
      </c>
      <c r="H2057" s="4">
        <v>3204206</v>
      </c>
      <c r="I2057" s="3" t="s">
        <v>667</v>
      </c>
      <c r="J2057" s="3" t="s">
        <v>294</v>
      </c>
      <c r="K2057" s="32">
        <v>3209409</v>
      </c>
    </row>
    <row r="2058" spans="1:43" s="3" customFormat="1" x14ac:dyDescent="0.3">
      <c r="B2058" s="44">
        <v>45983</v>
      </c>
      <c r="C2058" s="3" t="s">
        <v>416</v>
      </c>
      <c r="D2058" s="3" t="s">
        <v>494</v>
      </c>
      <c r="E2058" s="42"/>
      <c r="F2058" s="4" t="s">
        <v>708</v>
      </c>
      <c r="G2058" s="4" t="s">
        <v>141</v>
      </c>
      <c r="H2058" s="4">
        <v>3125802</v>
      </c>
      <c r="I2058" s="3" t="s">
        <v>689</v>
      </c>
      <c r="J2058" s="3" t="s">
        <v>189</v>
      </c>
      <c r="K2058" s="4">
        <v>3350209</v>
      </c>
    </row>
    <row r="2059" spans="1:43" s="3" customFormat="1" x14ac:dyDescent="0.3">
      <c r="B2059" s="44">
        <v>45983</v>
      </c>
      <c r="C2059" s="3" t="s">
        <v>416</v>
      </c>
      <c r="D2059" s="3" t="s">
        <v>58</v>
      </c>
      <c r="E2059" s="42"/>
      <c r="F2059" s="3" t="s">
        <v>703</v>
      </c>
      <c r="G2059" s="3" t="s">
        <v>586</v>
      </c>
      <c r="H2059" s="4" t="s">
        <v>588</v>
      </c>
      <c r="I2059" s="3" t="s">
        <v>659</v>
      </c>
      <c r="J2059" s="3" t="s">
        <v>265</v>
      </c>
      <c r="K2059" s="32">
        <v>3208702</v>
      </c>
    </row>
    <row r="2060" spans="1:43" s="3" customFormat="1" x14ac:dyDescent="0.3">
      <c r="B2060" s="44">
        <v>45983</v>
      </c>
      <c r="C2060" s="3" t="s">
        <v>416</v>
      </c>
      <c r="D2060" s="3" t="s">
        <v>61</v>
      </c>
      <c r="E2060" s="42"/>
      <c r="F2060" s="3" t="s">
        <v>703</v>
      </c>
      <c r="G2060" s="3" t="s">
        <v>596</v>
      </c>
      <c r="H2060" s="4" t="s">
        <v>556</v>
      </c>
      <c r="I2060" s="106" t="s">
        <v>659</v>
      </c>
      <c r="J2060" s="106" t="s">
        <v>367</v>
      </c>
      <c r="K2060" s="106">
        <v>3208806</v>
      </c>
    </row>
    <row r="2061" spans="1:43" s="3" customFormat="1" x14ac:dyDescent="0.3">
      <c r="B2061" s="44">
        <v>45983</v>
      </c>
      <c r="C2061" s="3" t="s">
        <v>416</v>
      </c>
      <c r="D2061" s="3" t="s">
        <v>58</v>
      </c>
      <c r="E2061" s="42"/>
      <c r="F2061" s="3" t="s">
        <v>683</v>
      </c>
      <c r="G2061" s="3" t="s">
        <v>305</v>
      </c>
      <c r="H2061" s="4">
        <v>3202906</v>
      </c>
      <c r="I2061" s="3" t="s">
        <v>697</v>
      </c>
      <c r="J2061" s="3" t="s">
        <v>262</v>
      </c>
      <c r="K2061" s="32">
        <v>3055405</v>
      </c>
    </row>
    <row r="2062" spans="1:43" s="3" customFormat="1" x14ac:dyDescent="0.3">
      <c r="B2062" s="44">
        <v>45983</v>
      </c>
      <c r="C2062" s="3" t="s">
        <v>416</v>
      </c>
      <c r="D2062" s="3" t="s">
        <v>57</v>
      </c>
      <c r="E2062" s="42"/>
      <c r="F2062" s="32" t="s">
        <v>709</v>
      </c>
      <c r="G2062" s="32" t="s">
        <v>268</v>
      </c>
      <c r="H2062" s="15">
        <v>3203103</v>
      </c>
      <c r="I2062" s="3" t="s">
        <v>693</v>
      </c>
      <c r="J2062" s="3" t="s">
        <v>258</v>
      </c>
      <c r="K2062" s="4">
        <v>3207109</v>
      </c>
    </row>
    <row r="2063" spans="1:43" s="3" customFormat="1" x14ac:dyDescent="0.3">
      <c r="B2063" s="44">
        <v>45983</v>
      </c>
      <c r="C2063" s="3" t="s">
        <v>416</v>
      </c>
      <c r="D2063" s="3" t="s">
        <v>488</v>
      </c>
      <c r="E2063" s="42"/>
      <c r="F2063" s="4" t="s">
        <v>684</v>
      </c>
      <c r="G2063" s="4" t="s">
        <v>121</v>
      </c>
      <c r="H2063" s="4">
        <v>3354309</v>
      </c>
      <c r="I2063" s="3" t="s">
        <v>704</v>
      </c>
      <c r="J2063" s="3" t="s">
        <v>120</v>
      </c>
      <c r="K2063" s="4">
        <v>3355506</v>
      </c>
    </row>
    <row r="2064" spans="1:43" s="3" customFormat="1" x14ac:dyDescent="0.3">
      <c r="B2064" s="44">
        <v>45983</v>
      </c>
      <c r="C2064" s="3" t="s">
        <v>416</v>
      </c>
      <c r="D2064" s="3" t="s">
        <v>63</v>
      </c>
      <c r="E2064" s="42"/>
      <c r="F2064" s="3" t="s">
        <v>684</v>
      </c>
      <c r="G2064" s="3" t="s">
        <v>369</v>
      </c>
      <c r="H2064" s="74">
        <v>3202708</v>
      </c>
      <c r="I2064" s="3" t="s">
        <v>697</v>
      </c>
      <c r="J2064" s="3" t="s">
        <v>448</v>
      </c>
      <c r="K2064" s="4">
        <v>3036808</v>
      </c>
    </row>
    <row r="2065" spans="2:11" s="3" customFormat="1" x14ac:dyDescent="0.3">
      <c r="B2065" s="44">
        <v>45983</v>
      </c>
      <c r="C2065" s="3" t="s">
        <v>416</v>
      </c>
      <c r="D2065" s="3" t="s">
        <v>66</v>
      </c>
      <c r="E2065" s="42"/>
      <c r="F2065" s="3" t="s">
        <v>684</v>
      </c>
      <c r="G2065" s="3" t="s">
        <v>608</v>
      </c>
      <c r="H2065" s="74">
        <v>3819107</v>
      </c>
      <c r="I2065" s="3" t="s">
        <v>478</v>
      </c>
      <c r="J2065" s="3" t="s">
        <v>604</v>
      </c>
      <c r="K2065" s="74">
        <v>3205507</v>
      </c>
    </row>
    <row r="2066" spans="2:11" s="3" customFormat="1" x14ac:dyDescent="0.3">
      <c r="B2066" s="44">
        <v>45983</v>
      </c>
      <c r="C2066" s="3" t="s">
        <v>416</v>
      </c>
      <c r="D2066" s="3" t="s">
        <v>486</v>
      </c>
      <c r="E2066" s="42"/>
      <c r="F2066" s="4" t="s">
        <v>646</v>
      </c>
      <c r="G2066" s="4" t="s">
        <v>102</v>
      </c>
      <c r="H2066" s="4">
        <v>3125406</v>
      </c>
      <c r="I2066" s="3" t="s">
        <v>671</v>
      </c>
      <c r="J2066" s="3" t="s">
        <v>108</v>
      </c>
      <c r="K2066" s="4">
        <v>3359700</v>
      </c>
    </row>
    <row r="2067" spans="2:11" s="3" customFormat="1" x14ac:dyDescent="0.3">
      <c r="B2067" s="44">
        <v>45983</v>
      </c>
      <c r="C2067" s="3" t="s">
        <v>416</v>
      </c>
      <c r="D2067" s="3" t="s">
        <v>59</v>
      </c>
      <c r="E2067" s="42"/>
      <c r="F2067" s="4" t="s">
        <v>646</v>
      </c>
      <c r="G2067" s="4" t="s">
        <v>275</v>
      </c>
      <c r="H2067" s="4">
        <v>3202406</v>
      </c>
      <c r="I2067" s="3" t="s">
        <v>476</v>
      </c>
      <c r="J2067" s="3" t="s">
        <v>274</v>
      </c>
      <c r="K2067" s="4">
        <v>3206902</v>
      </c>
    </row>
    <row r="2068" spans="2:11" s="3" customFormat="1" x14ac:dyDescent="0.3">
      <c r="B2068" s="44">
        <v>45983</v>
      </c>
      <c r="C2068" s="3" t="s">
        <v>416</v>
      </c>
      <c r="D2068" s="3" t="s">
        <v>492</v>
      </c>
      <c r="E2068" s="42"/>
      <c r="F2068" s="4" t="s">
        <v>646</v>
      </c>
      <c r="G2068" s="4" t="s">
        <v>194</v>
      </c>
      <c r="H2068" s="4">
        <v>3354205</v>
      </c>
      <c r="I2068" s="3" t="s">
        <v>714</v>
      </c>
      <c r="J2068" s="3" t="s">
        <v>162</v>
      </c>
      <c r="K2068" s="4">
        <v>3348903</v>
      </c>
    </row>
    <row r="2069" spans="2:11" s="3" customFormat="1" x14ac:dyDescent="0.3">
      <c r="B2069" s="44">
        <v>45983</v>
      </c>
      <c r="C2069" s="3" t="s">
        <v>416</v>
      </c>
      <c r="D2069" s="3" t="s">
        <v>610</v>
      </c>
      <c r="E2069" s="42"/>
      <c r="F2069" s="3" t="s">
        <v>646</v>
      </c>
      <c r="G2069" s="3" t="s">
        <v>350</v>
      </c>
      <c r="H2069" s="4">
        <v>3202802</v>
      </c>
      <c r="I2069" s="4" t="s">
        <v>474</v>
      </c>
      <c r="J2069" s="4" t="s">
        <v>458</v>
      </c>
      <c r="K2069" s="4">
        <v>3200304</v>
      </c>
    </row>
    <row r="2070" spans="2:11" s="3" customFormat="1" x14ac:dyDescent="0.3">
      <c r="B2070" s="44">
        <v>45983</v>
      </c>
      <c r="C2070" s="3" t="s">
        <v>416</v>
      </c>
      <c r="D2070" s="4" t="s">
        <v>614</v>
      </c>
      <c r="E2070" s="42"/>
      <c r="F2070" s="3" t="s">
        <v>646</v>
      </c>
      <c r="G2070" s="3" t="s">
        <v>380</v>
      </c>
      <c r="H2070" s="4">
        <v>3202208</v>
      </c>
      <c r="I2070" s="4" t="s">
        <v>673</v>
      </c>
      <c r="J2070" s="4" t="s">
        <v>455</v>
      </c>
      <c r="K2070" s="4">
        <v>3961604</v>
      </c>
    </row>
    <row r="2071" spans="2:11" s="3" customFormat="1" x14ac:dyDescent="0.3">
      <c r="B2071" s="44">
        <v>45983</v>
      </c>
      <c r="C2071" s="3" t="s">
        <v>416</v>
      </c>
      <c r="D2071" s="3" t="s">
        <v>56</v>
      </c>
      <c r="E2071" s="42"/>
      <c r="F2071" s="4" t="s">
        <v>696</v>
      </c>
      <c r="G2071" s="4" t="s">
        <v>261</v>
      </c>
      <c r="H2071" s="4">
        <v>3202302</v>
      </c>
      <c r="I2071" s="4" t="s">
        <v>471</v>
      </c>
      <c r="J2071" s="4" t="s">
        <v>441</v>
      </c>
      <c r="K2071" s="4">
        <v>3023409</v>
      </c>
    </row>
    <row r="2072" spans="2:11" s="3" customFormat="1" x14ac:dyDescent="0.3">
      <c r="B2072" s="44">
        <v>45983</v>
      </c>
      <c r="C2072" s="3" t="s">
        <v>416</v>
      </c>
      <c r="D2072" s="3" t="s">
        <v>66</v>
      </c>
      <c r="E2072" s="42"/>
      <c r="F2072" s="3" t="s">
        <v>696</v>
      </c>
      <c r="G2072" s="3" t="s">
        <v>609</v>
      </c>
      <c r="H2072" s="74">
        <v>3900401</v>
      </c>
      <c r="I2072" s="3" t="s">
        <v>709</v>
      </c>
      <c r="J2072" s="3" t="s">
        <v>607</v>
      </c>
      <c r="K2072" s="4">
        <v>3596309</v>
      </c>
    </row>
    <row r="2073" spans="2:11" s="3" customFormat="1" x14ac:dyDescent="0.3">
      <c r="B2073" s="44">
        <v>45983</v>
      </c>
      <c r="C2073" s="3" t="s">
        <v>416</v>
      </c>
      <c r="D2073" s="3" t="s">
        <v>489</v>
      </c>
      <c r="E2073" s="4"/>
      <c r="F2073" s="3" t="s">
        <v>672</v>
      </c>
      <c r="G2073" s="3" t="s">
        <v>129</v>
      </c>
      <c r="H2073" s="4">
        <v>3067503</v>
      </c>
      <c r="I2073" s="4" t="s">
        <v>474</v>
      </c>
      <c r="J2073" s="4" t="s">
        <v>130</v>
      </c>
      <c r="K2073" s="4">
        <v>3352405</v>
      </c>
    </row>
    <row r="2074" spans="2:11" s="3" customFormat="1" x14ac:dyDescent="0.3">
      <c r="B2074" s="44">
        <v>45983</v>
      </c>
      <c r="C2074" s="3" t="s">
        <v>416</v>
      </c>
      <c r="D2074" s="3" t="s">
        <v>64</v>
      </c>
      <c r="E2074" s="42">
        <v>4370907</v>
      </c>
      <c r="F2074" s="3" t="s">
        <v>672</v>
      </c>
      <c r="G2074" s="3" t="s">
        <v>316</v>
      </c>
      <c r="H2074" s="4">
        <v>3069105</v>
      </c>
      <c r="I2074" s="4" t="s">
        <v>710</v>
      </c>
      <c r="J2074" s="4" t="s">
        <v>354</v>
      </c>
      <c r="K2074" s="4">
        <v>3199404</v>
      </c>
    </row>
    <row r="2075" spans="2:11" s="3" customFormat="1" x14ac:dyDescent="0.3">
      <c r="B2075" s="44">
        <v>45983</v>
      </c>
      <c r="C2075" s="3" t="s">
        <v>416</v>
      </c>
      <c r="D2075" s="3" t="s">
        <v>67</v>
      </c>
      <c r="E2075" s="42"/>
      <c r="F2075" s="4" t="s">
        <v>672</v>
      </c>
      <c r="G2075" s="4" t="s">
        <v>375</v>
      </c>
      <c r="H2075" s="4">
        <v>3069209</v>
      </c>
      <c r="I2075" s="4" t="s">
        <v>689</v>
      </c>
      <c r="J2075" s="4" t="s">
        <v>341</v>
      </c>
      <c r="K2075" s="4">
        <v>3197708</v>
      </c>
    </row>
    <row r="2076" spans="2:11" s="3" customFormat="1" x14ac:dyDescent="0.3">
      <c r="B2076" s="44">
        <v>45983</v>
      </c>
      <c r="C2076" s="3" t="s">
        <v>416</v>
      </c>
      <c r="D2076" s="3" t="s">
        <v>70</v>
      </c>
      <c r="E2076" s="42"/>
      <c r="F2076" s="3" t="s">
        <v>672</v>
      </c>
      <c r="G2076" s="3" t="s">
        <v>401</v>
      </c>
      <c r="H2076" s="4">
        <v>3202000</v>
      </c>
      <c r="I2076" s="3" t="s">
        <v>717</v>
      </c>
      <c r="J2076" s="3" t="s">
        <v>434</v>
      </c>
      <c r="K2076" s="4">
        <v>3195408</v>
      </c>
    </row>
    <row r="2077" spans="2:11" s="3" customFormat="1" x14ac:dyDescent="0.3">
      <c r="B2077" s="44">
        <v>45983</v>
      </c>
      <c r="C2077" s="3" t="s">
        <v>416</v>
      </c>
      <c r="D2077" s="3" t="s">
        <v>488</v>
      </c>
      <c r="E2077" s="42"/>
      <c r="F2077" s="4" t="s">
        <v>697</v>
      </c>
      <c r="G2077" s="4" t="s">
        <v>122</v>
      </c>
      <c r="H2077" s="4">
        <v>3353800</v>
      </c>
      <c r="I2077" s="3" t="s">
        <v>703</v>
      </c>
      <c r="J2077" s="3" t="s">
        <v>560</v>
      </c>
      <c r="K2077" s="4" t="s">
        <v>562</v>
      </c>
    </row>
    <row r="2078" spans="2:11" s="3" customFormat="1" x14ac:dyDescent="0.3">
      <c r="B2078" s="44">
        <v>45983</v>
      </c>
      <c r="C2078" s="3" t="s">
        <v>416</v>
      </c>
      <c r="D2078" s="3" t="s">
        <v>504</v>
      </c>
      <c r="E2078" s="42"/>
      <c r="F2078" s="4" t="s">
        <v>694</v>
      </c>
      <c r="G2078" s="4" t="s">
        <v>112</v>
      </c>
      <c r="H2078" s="4">
        <v>3353602</v>
      </c>
      <c r="I2078" s="3" t="s">
        <v>479</v>
      </c>
      <c r="J2078" s="3" t="s">
        <v>9</v>
      </c>
      <c r="K2078" s="4">
        <v>3033405</v>
      </c>
    </row>
    <row r="2079" spans="2:11" s="3" customFormat="1" x14ac:dyDescent="0.3">
      <c r="B2079" s="44">
        <v>45983</v>
      </c>
      <c r="C2079" s="3" t="s">
        <v>416</v>
      </c>
      <c r="D2079" s="3" t="s">
        <v>57</v>
      </c>
      <c r="E2079" s="42"/>
      <c r="F2079" s="53" t="s">
        <v>694</v>
      </c>
      <c r="G2079" s="53" t="s">
        <v>276</v>
      </c>
      <c r="H2079" s="74">
        <v>3201709</v>
      </c>
      <c r="I2079" s="3" t="s">
        <v>682</v>
      </c>
      <c r="J2079" s="3" t="s">
        <v>584</v>
      </c>
      <c r="K2079" s="4">
        <v>3069303</v>
      </c>
    </row>
    <row r="2080" spans="2:11" s="3" customFormat="1" x14ac:dyDescent="0.3">
      <c r="B2080" s="44">
        <v>45983</v>
      </c>
      <c r="C2080" s="3" t="s">
        <v>416</v>
      </c>
      <c r="D2080" s="3" t="s">
        <v>494</v>
      </c>
      <c r="E2080" s="42"/>
      <c r="F2080" s="4" t="s">
        <v>694</v>
      </c>
      <c r="G2080" s="4" t="s">
        <v>188</v>
      </c>
      <c r="H2080" s="4">
        <v>3353508</v>
      </c>
      <c r="I2080" s="3" t="s">
        <v>662</v>
      </c>
      <c r="J2080" s="3" t="s">
        <v>218</v>
      </c>
      <c r="K2080" s="4">
        <v>3358201</v>
      </c>
    </row>
    <row r="2081" spans="2:13" s="3" customFormat="1" x14ac:dyDescent="0.3">
      <c r="B2081" s="44">
        <v>45983</v>
      </c>
      <c r="C2081" s="3" t="s">
        <v>416</v>
      </c>
      <c r="D2081" s="3" t="s">
        <v>494</v>
      </c>
      <c r="E2081" s="42"/>
      <c r="F2081" s="3" t="s">
        <v>694</v>
      </c>
      <c r="G2081" s="3" t="s">
        <v>221</v>
      </c>
      <c r="H2081" s="4">
        <v>3353404</v>
      </c>
      <c r="I2081" s="3" t="s">
        <v>708</v>
      </c>
      <c r="J2081" s="3" t="s">
        <v>220</v>
      </c>
      <c r="K2081" s="4">
        <v>3354809</v>
      </c>
    </row>
    <row r="2082" spans="2:13" s="3" customFormat="1" x14ac:dyDescent="0.3">
      <c r="B2082" s="44">
        <v>45983</v>
      </c>
      <c r="C2082" s="3" t="s">
        <v>416</v>
      </c>
      <c r="D2082" s="3" t="s">
        <v>62</v>
      </c>
      <c r="E2082" s="42"/>
      <c r="F2082" s="4" t="s">
        <v>677</v>
      </c>
      <c r="G2082" s="4" t="s">
        <v>324</v>
      </c>
      <c r="H2082" s="4">
        <v>3201605</v>
      </c>
      <c r="I2082" s="4" t="s">
        <v>479</v>
      </c>
      <c r="J2082" s="4" t="s">
        <v>319</v>
      </c>
      <c r="K2082" s="4">
        <v>3210508</v>
      </c>
    </row>
    <row r="2083" spans="2:13" s="3" customFormat="1" x14ac:dyDescent="0.3">
      <c r="B2083" s="44">
        <v>45983</v>
      </c>
      <c r="C2083" s="3" t="s">
        <v>416</v>
      </c>
      <c r="D2083" s="3" t="s">
        <v>59</v>
      </c>
      <c r="E2083" s="42"/>
      <c r="F2083" s="4" t="s">
        <v>655</v>
      </c>
      <c r="G2083" s="4" t="s">
        <v>288</v>
      </c>
      <c r="H2083" s="4">
        <v>3200908</v>
      </c>
      <c r="I2083" s="3" t="s">
        <v>662</v>
      </c>
      <c r="J2083" s="3" t="s">
        <v>314</v>
      </c>
      <c r="K2083" s="4">
        <v>3208004</v>
      </c>
    </row>
    <row r="2084" spans="2:13" s="3" customFormat="1" x14ac:dyDescent="0.3">
      <c r="B2084" s="44">
        <v>45983</v>
      </c>
      <c r="C2084" s="3" t="s">
        <v>416</v>
      </c>
      <c r="D2084" s="3" t="s">
        <v>65</v>
      </c>
      <c r="E2084" s="42"/>
      <c r="F2084" s="3" t="s">
        <v>655</v>
      </c>
      <c r="G2084" s="3" t="s">
        <v>325</v>
      </c>
      <c r="H2084" s="4">
        <v>3201501</v>
      </c>
      <c r="I2084" s="4" t="s">
        <v>479</v>
      </c>
      <c r="J2084" s="4" t="s">
        <v>320</v>
      </c>
      <c r="K2084" s="4">
        <v>3210602</v>
      </c>
    </row>
    <row r="2085" spans="2:13" s="3" customFormat="1" x14ac:dyDescent="0.3">
      <c r="B2085" s="44">
        <v>45983</v>
      </c>
      <c r="C2085" s="3" t="s">
        <v>416</v>
      </c>
      <c r="D2085" s="3" t="s">
        <v>56</v>
      </c>
      <c r="E2085" s="42"/>
      <c r="F2085" s="73" t="s">
        <v>474</v>
      </c>
      <c r="G2085" s="73" t="s">
        <v>253</v>
      </c>
      <c r="H2085" s="4">
        <v>3037109</v>
      </c>
      <c r="I2085" s="3" t="s">
        <v>690</v>
      </c>
      <c r="J2085" s="3" t="s">
        <v>250</v>
      </c>
      <c r="K2085" s="4">
        <v>3070100</v>
      </c>
    </row>
    <row r="2086" spans="2:13" s="3" customFormat="1" x14ac:dyDescent="0.3">
      <c r="B2086" s="44">
        <v>45983</v>
      </c>
      <c r="C2086" s="3" t="s">
        <v>416</v>
      </c>
      <c r="D2086" s="3" t="s">
        <v>590</v>
      </c>
      <c r="E2086" s="42"/>
      <c r="F2086" s="4" t="s">
        <v>474</v>
      </c>
      <c r="G2086" s="4" t="s">
        <v>317</v>
      </c>
      <c r="H2086" s="4">
        <v>3200700</v>
      </c>
      <c r="I2086" s="3" t="s">
        <v>691</v>
      </c>
      <c r="J2086" s="3" t="s">
        <v>289</v>
      </c>
      <c r="K2086" s="4">
        <v>3068804</v>
      </c>
    </row>
    <row r="2087" spans="2:13" s="3" customFormat="1" x14ac:dyDescent="0.3">
      <c r="B2087" s="44">
        <v>45983</v>
      </c>
      <c r="C2087" s="3" t="s">
        <v>416</v>
      </c>
      <c r="D2087" s="3" t="s">
        <v>496</v>
      </c>
      <c r="E2087" s="42"/>
      <c r="F2087" s="4" t="s">
        <v>474</v>
      </c>
      <c r="G2087" s="4" t="s">
        <v>426</v>
      </c>
      <c r="H2087" s="4">
        <v>3352603</v>
      </c>
      <c r="I2087" s="3" t="s">
        <v>650</v>
      </c>
      <c r="J2087" s="3" t="s">
        <v>205</v>
      </c>
      <c r="K2087" s="74">
        <v>3351906</v>
      </c>
    </row>
    <row r="2088" spans="2:13" s="3" customFormat="1" x14ac:dyDescent="0.3">
      <c r="B2088" s="44">
        <v>45983</v>
      </c>
      <c r="C2088" s="3" t="s">
        <v>416</v>
      </c>
      <c r="D2088" s="3" t="s">
        <v>499</v>
      </c>
      <c r="E2088" s="42"/>
      <c r="F2088" s="3" t="s">
        <v>474</v>
      </c>
      <c r="G2088" s="3" t="s">
        <v>597</v>
      </c>
      <c r="H2088" s="4">
        <v>3352707</v>
      </c>
      <c r="I2088" s="3" t="s">
        <v>652</v>
      </c>
      <c r="J2088" s="3" t="s">
        <v>573</v>
      </c>
      <c r="K2088" s="4">
        <v>3818400</v>
      </c>
      <c r="M2088" s="4"/>
    </row>
    <row r="2089" spans="2:13" s="3" customFormat="1" x14ac:dyDescent="0.3">
      <c r="B2089" s="44">
        <v>45983</v>
      </c>
      <c r="C2089" s="3" t="s">
        <v>416</v>
      </c>
      <c r="D2089" s="3" t="s">
        <v>610</v>
      </c>
      <c r="E2089" s="42"/>
      <c r="F2089" s="3" t="s">
        <v>714</v>
      </c>
      <c r="G2089" s="3" t="s">
        <v>352</v>
      </c>
      <c r="H2089" s="4">
        <v>3197208</v>
      </c>
      <c r="I2089" s="4" t="s">
        <v>685</v>
      </c>
      <c r="J2089" s="4" t="s">
        <v>382</v>
      </c>
      <c r="K2089" s="4">
        <v>3200804</v>
      </c>
    </row>
    <row r="2090" spans="2:13" s="3" customFormat="1" x14ac:dyDescent="0.3">
      <c r="B2090" s="44">
        <v>45983</v>
      </c>
      <c r="C2090" s="3" t="s">
        <v>416</v>
      </c>
      <c r="D2090" s="3" t="s">
        <v>498</v>
      </c>
      <c r="E2090" s="42"/>
      <c r="F2090" s="3" t="s">
        <v>714</v>
      </c>
      <c r="G2090" s="3" t="s">
        <v>222</v>
      </c>
      <c r="H2090" s="4">
        <v>3348507</v>
      </c>
      <c r="I2090" s="3" t="s">
        <v>647</v>
      </c>
      <c r="J2090" s="3" t="s">
        <v>225</v>
      </c>
      <c r="K2090" s="4">
        <v>3345802</v>
      </c>
    </row>
    <row r="2091" spans="2:13" s="3" customFormat="1" x14ac:dyDescent="0.3">
      <c r="B2091" s="44">
        <v>45983</v>
      </c>
      <c r="C2091" s="3" t="s">
        <v>416</v>
      </c>
      <c r="D2091" s="4" t="s">
        <v>614</v>
      </c>
      <c r="E2091" s="42"/>
      <c r="F2091" s="3" t="s">
        <v>714</v>
      </c>
      <c r="G2091" s="3" t="s">
        <v>454</v>
      </c>
      <c r="H2091" s="4">
        <v>3820300</v>
      </c>
      <c r="I2091" s="4" t="s">
        <v>713</v>
      </c>
      <c r="J2091" s="4" t="s">
        <v>386</v>
      </c>
      <c r="K2091" s="4">
        <v>3900807</v>
      </c>
    </row>
    <row r="2092" spans="2:13" s="3" customFormat="1" x14ac:dyDescent="0.3">
      <c r="B2092" s="44">
        <v>45983</v>
      </c>
      <c r="C2092" s="3" t="s">
        <v>416</v>
      </c>
      <c r="D2092" s="3" t="s">
        <v>489</v>
      </c>
      <c r="E2092" s="4"/>
      <c r="F2092" s="3" t="s">
        <v>650</v>
      </c>
      <c r="G2092" s="3" t="s">
        <v>163</v>
      </c>
      <c r="H2092" s="4">
        <v>3351802</v>
      </c>
      <c r="I2092" s="4" t="s">
        <v>476</v>
      </c>
      <c r="J2092" s="4" t="s">
        <v>128</v>
      </c>
      <c r="K2092" s="4">
        <v>3357202</v>
      </c>
    </row>
    <row r="2093" spans="2:13" s="3" customFormat="1" x14ac:dyDescent="0.3">
      <c r="B2093" s="44">
        <v>45983</v>
      </c>
      <c r="C2093" s="3" t="s">
        <v>416</v>
      </c>
      <c r="D2093" s="3" t="s">
        <v>590</v>
      </c>
      <c r="E2093" s="42"/>
      <c r="F2093" s="4" t="s">
        <v>650</v>
      </c>
      <c r="G2093" s="4" t="s">
        <v>277</v>
      </c>
      <c r="H2093" s="4">
        <v>3088400</v>
      </c>
      <c r="I2093" s="3" t="s">
        <v>676</v>
      </c>
      <c r="J2093" s="3" t="s">
        <v>285</v>
      </c>
      <c r="K2093" s="4">
        <v>3208504</v>
      </c>
    </row>
    <row r="2094" spans="2:13" s="3" customFormat="1" x14ac:dyDescent="0.3">
      <c r="B2094" s="44">
        <v>45983</v>
      </c>
      <c r="C2094" s="3" t="s">
        <v>416</v>
      </c>
      <c r="D2094" s="3" t="s">
        <v>499</v>
      </c>
      <c r="E2094" s="42"/>
      <c r="F2094" s="3" t="s">
        <v>650</v>
      </c>
      <c r="G2094" s="3" t="s">
        <v>571</v>
      </c>
      <c r="H2094" s="4">
        <v>3900505</v>
      </c>
      <c r="I2094" s="3" t="s">
        <v>671</v>
      </c>
      <c r="J2094" s="3" t="s">
        <v>228</v>
      </c>
      <c r="K2094" s="53">
        <v>3358607</v>
      </c>
      <c r="M2094" s="4"/>
    </row>
    <row r="2095" spans="2:13" s="3" customFormat="1" x14ac:dyDescent="0.3">
      <c r="B2095" s="44">
        <v>45983</v>
      </c>
      <c r="C2095" s="3" t="s">
        <v>416</v>
      </c>
      <c r="D2095" s="3" t="s">
        <v>69</v>
      </c>
      <c r="E2095" s="42"/>
      <c r="F2095" s="3" t="s">
        <v>656</v>
      </c>
      <c r="G2095" s="3" t="s">
        <v>361</v>
      </c>
      <c r="H2095" s="4">
        <v>3200002</v>
      </c>
      <c r="I2095" s="3" t="s">
        <v>681</v>
      </c>
      <c r="J2095" s="3" t="s">
        <v>365</v>
      </c>
      <c r="K2095" s="4">
        <v>3195804</v>
      </c>
    </row>
    <row r="2096" spans="2:13" s="3" customFormat="1" x14ac:dyDescent="0.3">
      <c r="B2096" s="44">
        <v>45983</v>
      </c>
      <c r="C2096" s="3" t="s">
        <v>416</v>
      </c>
      <c r="D2096" s="3" t="s">
        <v>67</v>
      </c>
      <c r="E2096" s="42"/>
      <c r="F2096" s="4" t="s">
        <v>715</v>
      </c>
      <c r="G2096" s="4" t="s">
        <v>377</v>
      </c>
      <c r="H2096" s="4">
        <v>3200106</v>
      </c>
      <c r="I2096" s="3" t="s">
        <v>472</v>
      </c>
      <c r="J2096" s="3" t="s">
        <v>338</v>
      </c>
      <c r="K2096" s="4">
        <v>3207307</v>
      </c>
    </row>
    <row r="2097" spans="1:43" s="3" customFormat="1" x14ac:dyDescent="0.3">
      <c r="B2097" s="44">
        <v>45983</v>
      </c>
      <c r="C2097" s="3" t="s">
        <v>416</v>
      </c>
      <c r="D2097" s="3" t="s">
        <v>487</v>
      </c>
      <c r="E2097" s="4"/>
      <c r="F2097" s="4" t="s">
        <v>710</v>
      </c>
      <c r="G2097" s="4" t="s">
        <v>113</v>
      </c>
      <c r="H2097" s="4">
        <v>3352009</v>
      </c>
      <c r="I2097" s="3" t="s">
        <v>709</v>
      </c>
      <c r="J2097" s="3" t="s">
        <v>111</v>
      </c>
      <c r="K2097" s="4">
        <v>3354601</v>
      </c>
    </row>
    <row r="2098" spans="1:43" s="3" customFormat="1" x14ac:dyDescent="0.3">
      <c r="B2098" s="44">
        <v>45983</v>
      </c>
      <c r="C2098" s="3" t="s">
        <v>416</v>
      </c>
      <c r="D2098" s="3" t="s">
        <v>496</v>
      </c>
      <c r="E2098" s="42"/>
      <c r="F2098" s="4" t="s">
        <v>710</v>
      </c>
      <c r="G2098" s="4" t="s">
        <v>206</v>
      </c>
      <c r="H2098" s="4">
        <v>3352103</v>
      </c>
      <c r="I2098" s="3" t="s">
        <v>671</v>
      </c>
      <c r="J2098" s="3" t="s">
        <v>203</v>
      </c>
      <c r="K2098" s="4">
        <v>3359304</v>
      </c>
    </row>
    <row r="2099" spans="1:43" s="3" customFormat="1" x14ac:dyDescent="0.3">
      <c r="B2099" s="44">
        <v>45983</v>
      </c>
      <c r="C2099" s="3" t="s">
        <v>416</v>
      </c>
      <c r="D2099" s="4" t="s">
        <v>614</v>
      </c>
      <c r="E2099" s="42"/>
      <c r="F2099" s="3" t="s">
        <v>710</v>
      </c>
      <c r="G2099" s="3" t="s">
        <v>384</v>
      </c>
      <c r="H2099" s="4">
        <v>3199508</v>
      </c>
      <c r="I2099" s="4" t="s">
        <v>674</v>
      </c>
      <c r="J2099" s="4" t="s">
        <v>346</v>
      </c>
      <c r="K2099" s="4">
        <v>3208900</v>
      </c>
    </row>
    <row r="2100" spans="1:43" s="3" customFormat="1" x14ac:dyDescent="0.3">
      <c r="B2100" s="44">
        <v>45983</v>
      </c>
      <c r="C2100" s="3" t="s">
        <v>416</v>
      </c>
      <c r="D2100" s="4" t="s">
        <v>614</v>
      </c>
      <c r="E2100" s="42"/>
      <c r="F2100" s="3" t="s">
        <v>710</v>
      </c>
      <c r="G2100" s="3" t="s">
        <v>385</v>
      </c>
      <c r="H2100" s="4">
        <v>3199602</v>
      </c>
      <c r="I2100" s="4" t="s">
        <v>675</v>
      </c>
      <c r="J2100" s="4" t="s">
        <v>403</v>
      </c>
      <c r="K2100" s="4">
        <v>3198509</v>
      </c>
    </row>
    <row r="2101" spans="1:43" s="3" customFormat="1" x14ac:dyDescent="0.3">
      <c r="A2101" s="4"/>
      <c r="B2101" s="100">
        <v>45983</v>
      </c>
      <c r="C2101" s="98" t="s">
        <v>553</v>
      </c>
      <c r="D2101" s="4" t="s">
        <v>512</v>
      </c>
      <c r="E2101" s="4"/>
      <c r="F2101" s="73" t="s">
        <v>477</v>
      </c>
      <c r="G2101" s="73" t="s">
        <v>477</v>
      </c>
      <c r="H2101" s="73"/>
      <c r="I2101" s="73" t="s">
        <v>555</v>
      </c>
      <c r="J2101" s="73" t="s">
        <v>552</v>
      </c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</row>
    <row r="2102" spans="1:43" s="3" customFormat="1" x14ac:dyDescent="0.3">
      <c r="B2102" s="44">
        <v>45983</v>
      </c>
      <c r="C2102" s="3" t="s">
        <v>416</v>
      </c>
      <c r="D2102" s="3" t="s">
        <v>61</v>
      </c>
      <c r="E2102" s="42"/>
      <c r="F2102" s="4" t="s">
        <v>477</v>
      </c>
      <c r="G2102" s="4" t="s">
        <v>308</v>
      </c>
      <c r="H2102" s="4">
        <v>3199300</v>
      </c>
      <c r="I2102" s="4" t="s">
        <v>478</v>
      </c>
      <c r="J2102" s="4" t="s">
        <v>330</v>
      </c>
      <c r="K2102" s="4">
        <v>3205309</v>
      </c>
    </row>
    <row r="2103" spans="1:43" s="3" customFormat="1" x14ac:dyDescent="0.3">
      <c r="B2103" s="44">
        <v>45983</v>
      </c>
      <c r="C2103" s="3" t="s">
        <v>416</v>
      </c>
      <c r="D2103" s="3" t="s">
        <v>61</v>
      </c>
      <c r="E2103" s="42"/>
      <c r="F2103" s="4" t="s">
        <v>477</v>
      </c>
      <c r="G2103" s="4" t="s">
        <v>332</v>
      </c>
      <c r="H2103" s="4">
        <v>3199206</v>
      </c>
      <c r="I2103" s="3" t="s">
        <v>684</v>
      </c>
      <c r="J2103" s="3" t="s">
        <v>306</v>
      </c>
      <c r="K2103" s="4">
        <v>3202604</v>
      </c>
    </row>
    <row r="2104" spans="1:43" s="3" customFormat="1" x14ac:dyDescent="0.3">
      <c r="B2104" s="44">
        <v>45983</v>
      </c>
      <c r="C2104" s="3" t="s">
        <v>416</v>
      </c>
      <c r="D2104" s="3" t="s">
        <v>58</v>
      </c>
      <c r="E2104" s="42"/>
      <c r="F2104" s="3" t="s">
        <v>706</v>
      </c>
      <c r="G2104" s="3" t="s">
        <v>269</v>
      </c>
      <c r="H2104" s="4">
        <v>3069407</v>
      </c>
      <c r="I2104" s="3" t="s">
        <v>690</v>
      </c>
      <c r="J2104" s="3" t="s">
        <v>303</v>
      </c>
      <c r="K2104" s="4">
        <v>3205101</v>
      </c>
    </row>
    <row r="2105" spans="1:43" s="3" customFormat="1" x14ac:dyDescent="0.3">
      <c r="B2105" s="44">
        <v>45983</v>
      </c>
      <c r="C2105" s="3" t="s">
        <v>416</v>
      </c>
      <c r="D2105" s="3" t="s">
        <v>60</v>
      </c>
      <c r="E2105" s="42"/>
      <c r="F2105" s="3" t="s">
        <v>706</v>
      </c>
      <c r="G2105" s="3" t="s">
        <v>299</v>
      </c>
      <c r="H2105" s="4">
        <v>3199102</v>
      </c>
      <c r="I2105" s="3" t="s">
        <v>698</v>
      </c>
      <c r="J2105" s="3" t="s">
        <v>595</v>
      </c>
      <c r="K2105" s="32" t="s">
        <v>563</v>
      </c>
    </row>
    <row r="2106" spans="1:43" s="3" customFormat="1" x14ac:dyDescent="0.3">
      <c r="B2106" s="44">
        <v>45983</v>
      </c>
      <c r="C2106" s="3" t="s">
        <v>416</v>
      </c>
      <c r="D2106" s="3" t="s">
        <v>486</v>
      </c>
      <c r="E2106" s="42"/>
      <c r="F2106" s="4" t="s">
        <v>645</v>
      </c>
      <c r="G2106" s="4" t="s">
        <v>104</v>
      </c>
      <c r="H2106" s="4">
        <v>3036308</v>
      </c>
      <c r="I2106" s="4" t="s">
        <v>651</v>
      </c>
      <c r="J2106" s="4" t="s">
        <v>97</v>
      </c>
      <c r="K2106" s="4">
        <v>3362005</v>
      </c>
    </row>
    <row r="2107" spans="1:43" s="3" customFormat="1" x14ac:dyDescent="0.3">
      <c r="B2107" s="44">
        <v>45983</v>
      </c>
      <c r="C2107" s="3" t="s">
        <v>416</v>
      </c>
      <c r="D2107" s="3" t="s">
        <v>61</v>
      </c>
      <c r="E2107" s="42"/>
      <c r="F2107" s="4" t="s">
        <v>645</v>
      </c>
      <c r="G2107" s="4" t="s">
        <v>309</v>
      </c>
      <c r="H2107" s="4">
        <v>3082104</v>
      </c>
      <c r="I2107" s="3" t="s">
        <v>690</v>
      </c>
      <c r="J2107" s="3" t="s">
        <v>304</v>
      </c>
      <c r="K2107" s="4">
        <v>3204404</v>
      </c>
    </row>
    <row r="2108" spans="1:43" s="3" customFormat="1" x14ac:dyDescent="0.3">
      <c r="B2108" s="44">
        <v>45983</v>
      </c>
      <c r="C2108" s="3" t="s">
        <v>416</v>
      </c>
      <c r="D2108" s="3" t="s">
        <v>63</v>
      </c>
      <c r="E2108" s="42"/>
      <c r="F2108" s="104" t="s">
        <v>645</v>
      </c>
      <c r="G2108" s="104" t="s">
        <v>333</v>
      </c>
      <c r="H2108" s="74">
        <v>3198801</v>
      </c>
      <c r="I2108" s="3" t="s">
        <v>680</v>
      </c>
      <c r="J2108" s="3" t="s">
        <v>329</v>
      </c>
      <c r="K2108" s="74">
        <v>3208108</v>
      </c>
    </row>
    <row r="2109" spans="1:43" s="3" customFormat="1" x14ac:dyDescent="0.3">
      <c r="B2109" s="44">
        <v>45983</v>
      </c>
      <c r="C2109" s="3" t="s">
        <v>416</v>
      </c>
      <c r="D2109" s="3" t="s">
        <v>488</v>
      </c>
      <c r="E2109" s="42"/>
      <c r="F2109" s="4" t="s">
        <v>645</v>
      </c>
      <c r="G2109" s="4" t="s">
        <v>151</v>
      </c>
      <c r="H2109" s="4">
        <v>3351208</v>
      </c>
      <c r="I2109" s="4" t="s">
        <v>698</v>
      </c>
      <c r="J2109" s="4" t="s">
        <v>561</v>
      </c>
      <c r="K2109" s="4" t="s">
        <v>563</v>
      </c>
    </row>
    <row r="2110" spans="1:43" s="3" customFormat="1" x14ac:dyDescent="0.3">
      <c r="B2110" s="44">
        <v>45983</v>
      </c>
      <c r="C2110" s="3" t="s">
        <v>416</v>
      </c>
      <c r="D2110" s="3" t="s">
        <v>491</v>
      </c>
      <c r="E2110" s="42"/>
      <c r="F2110" s="4" t="s">
        <v>645</v>
      </c>
      <c r="G2110" s="4" t="s">
        <v>464</v>
      </c>
      <c r="H2110" s="4">
        <v>3351406</v>
      </c>
      <c r="I2110" s="4" t="s">
        <v>709</v>
      </c>
      <c r="J2110" s="4" t="s">
        <v>566</v>
      </c>
      <c r="K2110" s="4">
        <v>3560703</v>
      </c>
    </row>
    <row r="2111" spans="1:43" s="3" customFormat="1" x14ac:dyDescent="0.3">
      <c r="B2111" s="44">
        <v>45983</v>
      </c>
      <c r="C2111" s="3" t="s">
        <v>416</v>
      </c>
      <c r="D2111" s="3" t="s">
        <v>496</v>
      </c>
      <c r="E2111" s="42"/>
      <c r="F2111" s="4" t="s">
        <v>716</v>
      </c>
      <c r="G2111" s="4" t="s">
        <v>427</v>
      </c>
      <c r="H2111" s="4">
        <v>3351500</v>
      </c>
      <c r="I2111" s="3" t="s">
        <v>710</v>
      </c>
      <c r="J2111" s="3" t="s">
        <v>462</v>
      </c>
      <c r="K2111" s="4">
        <v>3352207</v>
      </c>
    </row>
    <row r="2112" spans="1:43" s="3" customFormat="1" x14ac:dyDescent="0.3">
      <c r="B2112" s="44">
        <v>45983</v>
      </c>
      <c r="C2112" s="3" t="s">
        <v>416</v>
      </c>
      <c r="D2112" s="3" t="s">
        <v>610</v>
      </c>
      <c r="E2112" s="42"/>
      <c r="F2112" s="3" t="s">
        <v>716</v>
      </c>
      <c r="G2112" s="3" t="s">
        <v>433</v>
      </c>
      <c r="H2112" s="4">
        <v>3198905</v>
      </c>
      <c r="I2112" s="4" t="s">
        <v>711</v>
      </c>
      <c r="J2112" s="4" t="s">
        <v>381</v>
      </c>
      <c r="K2112" s="4">
        <v>3201209</v>
      </c>
    </row>
    <row r="2113" spans="1:43" s="3" customFormat="1" x14ac:dyDescent="0.3">
      <c r="B2113" s="44">
        <v>45983</v>
      </c>
      <c r="C2113" s="3" t="s">
        <v>416</v>
      </c>
      <c r="D2113" s="3" t="s">
        <v>489</v>
      </c>
      <c r="E2113" s="4"/>
      <c r="F2113" s="3" t="s">
        <v>678</v>
      </c>
      <c r="G2113" s="3" t="s">
        <v>131</v>
      </c>
      <c r="H2113" s="4">
        <v>3350605</v>
      </c>
      <c r="I2113" s="4" t="s">
        <v>682</v>
      </c>
      <c r="J2113" s="4" t="s">
        <v>564</v>
      </c>
      <c r="K2113" s="4">
        <v>3969804</v>
      </c>
    </row>
    <row r="2114" spans="1:43" s="3" customFormat="1" x14ac:dyDescent="0.3">
      <c r="B2114" s="44">
        <v>45983</v>
      </c>
      <c r="C2114" s="3" t="s">
        <v>416</v>
      </c>
      <c r="D2114" s="3" t="s">
        <v>610</v>
      </c>
      <c r="E2114" s="42"/>
      <c r="F2114" s="3" t="s">
        <v>675</v>
      </c>
      <c r="G2114" s="3" t="s">
        <v>450</v>
      </c>
      <c r="H2114" s="4">
        <v>3198405</v>
      </c>
      <c r="I2114" s="4" t="s">
        <v>666</v>
      </c>
      <c r="J2114" s="4" t="s">
        <v>348</v>
      </c>
      <c r="K2114" s="4">
        <v>3205903</v>
      </c>
    </row>
    <row r="2115" spans="1:43" s="3" customFormat="1" x14ac:dyDescent="0.3">
      <c r="B2115" s="44">
        <v>45983</v>
      </c>
      <c r="C2115" s="3" t="s">
        <v>416</v>
      </c>
      <c r="D2115" s="3" t="s">
        <v>490</v>
      </c>
      <c r="E2115" s="4"/>
      <c r="F2115" s="3" t="s">
        <v>691</v>
      </c>
      <c r="G2115" s="3" t="s">
        <v>142</v>
      </c>
      <c r="H2115" s="4">
        <v>3350501</v>
      </c>
      <c r="I2115" s="4" t="s">
        <v>479</v>
      </c>
      <c r="J2115" s="4" t="s">
        <v>166</v>
      </c>
      <c r="K2115" s="4">
        <v>3361006</v>
      </c>
    </row>
    <row r="2116" spans="1:43" s="3" customFormat="1" x14ac:dyDescent="0.3">
      <c r="B2116" s="44">
        <v>45983</v>
      </c>
      <c r="C2116" s="3" t="s">
        <v>416</v>
      </c>
      <c r="D2116" s="3" t="s">
        <v>65</v>
      </c>
      <c r="E2116" s="42"/>
      <c r="F2116" s="15" t="s">
        <v>691</v>
      </c>
      <c r="G2116" s="15" t="s">
        <v>327</v>
      </c>
      <c r="H2116" s="74">
        <v>3198603</v>
      </c>
      <c r="I2116" s="4" t="s">
        <v>476</v>
      </c>
      <c r="J2116" s="4" t="s">
        <v>358</v>
      </c>
      <c r="K2116" s="4">
        <v>3206402</v>
      </c>
    </row>
    <row r="2117" spans="1:43" s="3" customFormat="1" x14ac:dyDescent="0.3">
      <c r="B2117" s="44">
        <v>45983</v>
      </c>
      <c r="C2117" s="3" t="s">
        <v>416</v>
      </c>
      <c r="D2117" s="3" t="s">
        <v>69</v>
      </c>
      <c r="E2117" s="42"/>
      <c r="F2117" s="3" t="s">
        <v>691</v>
      </c>
      <c r="G2117" s="3" t="s">
        <v>395</v>
      </c>
      <c r="H2117" s="4">
        <v>3197604</v>
      </c>
      <c r="I2117" s="3" t="s">
        <v>479</v>
      </c>
      <c r="J2117" s="3" t="s">
        <v>392</v>
      </c>
      <c r="K2117" s="53">
        <v>3210706</v>
      </c>
    </row>
    <row r="2118" spans="1:43" s="3" customFormat="1" x14ac:dyDescent="0.3">
      <c r="B2118" s="44">
        <v>45983</v>
      </c>
      <c r="C2118" s="3" t="s">
        <v>416</v>
      </c>
      <c r="D2118" s="3" t="s">
        <v>498</v>
      </c>
      <c r="E2118" s="42"/>
      <c r="F2118" s="3" t="s">
        <v>689</v>
      </c>
      <c r="G2118" s="3" t="s">
        <v>468</v>
      </c>
      <c r="H2118" s="4">
        <v>3349902</v>
      </c>
      <c r="I2118" s="3" t="s">
        <v>472</v>
      </c>
      <c r="J2118" s="3" t="s">
        <v>244</v>
      </c>
      <c r="K2118" s="4">
        <v>3357504</v>
      </c>
    </row>
    <row r="2119" spans="1:43" s="3" customFormat="1" x14ac:dyDescent="0.3">
      <c r="B2119" s="44">
        <v>45983</v>
      </c>
      <c r="C2119" s="3" t="s">
        <v>416</v>
      </c>
      <c r="D2119" s="3" t="s">
        <v>501</v>
      </c>
      <c r="E2119" s="42"/>
      <c r="F2119" s="3" t="s">
        <v>689</v>
      </c>
      <c r="G2119" s="3" t="s">
        <v>580</v>
      </c>
      <c r="H2119" s="4">
        <v>3350001</v>
      </c>
      <c r="I2119" s="3" t="s">
        <v>717</v>
      </c>
      <c r="J2119" s="3" t="s">
        <v>583</v>
      </c>
      <c r="K2119" s="4">
        <v>4022908</v>
      </c>
      <c r="M2119" s="4"/>
    </row>
    <row r="2120" spans="1:43" s="3" customFormat="1" x14ac:dyDescent="0.3">
      <c r="B2120" s="44">
        <v>45983</v>
      </c>
      <c r="C2120" s="3" t="s">
        <v>416</v>
      </c>
      <c r="D2120" s="3" t="s">
        <v>501</v>
      </c>
      <c r="E2120" s="42"/>
      <c r="F2120" s="3" t="s">
        <v>689</v>
      </c>
      <c r="G2120" s="3" t="s">
        <v>581</v>
      </c>
      <c r="H2120" s="4">
        <v>4022804</v>
      </c>
      <c r="I2120" s="3" t="s">
        <v>708</v>
      </c>
      <c r="J2120" s="3" t="s">
        <v>598</v>
      </c>
      <c r="K2120" s="4">
        <v>3354903</v>
      </c>
      <c r="L2120" s="4"/>
      <c r="M2120" s="4"/>
      <c r="N2120" s="4"/>
    </row>
    <row r="2121" spans="1:43" s="3" customFormat="1" x14ac:dyDescent="0.3">
      <c r="B2121" s="44">
        <v>45983</v>
      </c>
      <c r="C2121" s="3" t="s">
        <v>416</v>
      </c>
      <c r="D2121" s="3" t="s">
        <v>60</v>
      </c>
      <c r="E2121" s="42"/>
      <c r="F2121" s="3" t="s">
        <v>668</v>
      </c>
      <c r="G2121" s="3" t="s">
        <v>431</v>
      </c>
      <c r="H2121" s="4">
        <v>3900703</v>
      </c>
      <c r="I2121" s="3" t="s">
        <v>695</v>
      </c>
      <c r="J2121" s="3" t="s">
        <v>296</v>
      </c>
      <c r="K2121" s="4">
        <v>3203905</v>
      </c>
    </row>
    <row r="2122" spans="1:43" s="3" customFormat="1" x14ac:dyDescent="0.3">
      <c r="A2122" s="4"/>
      <c r="B2122" s="100">
        <v>45983</v>
      </c>
      <c r="C2122" s="98" t="s">
        <v>553</v>
      </c>
      <c r="D2122" s="4" t="s">
        <v>508</v>
      </c>
      <c r="E2122" s="4"/>
      <c r="F2122" s="73" t="s">
        <v>510</v>
      </c>
      <c r="G2122" s="73" t="s">
        <v>510</v>
      </c>
      <c r="H2122" s="73"/>
      <c r="I2122" s="73" t="s">
        <v>475</v>
      </c>
      <c r="J2122" s="73" t="s">
        <v>475</v>
      </c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</row>
    <row r="2123" spans="1:43" s="3" customFormat="1" x14ac:dyDescent="0.3">
      <c r="B2123" s="44">
        <v>45983</v>
      </c>
      <c r="C2123" s="3" t="s">
        <v>416</v>
      </c>
      <c r="D2123" s="3" t="s">
        <v>490</v>
      </c>
      <c r="E2123" s="4"/>
      <c r="F2123" s="3" t="s">
        <v>654</v>
      </c>
      <c r="G2123" s="3" t="s">
        <v>143</v>
      </c>
      <c r="H2123" s="4">
        <v>3349704</v>
      </c>
      <c r="I2123" s="4" t="s">
        <v>476</v>
      </c>
      <c r="J2123" s="4" t="s">
        <v>168</v>
      </c>
      <c r="K2123" s="4">
        <v>3356505</v>
      </c>
    </row>
    <row r="2124" spans="1:43" s="3" customFormat="1" x14ac:dyDescent="0.3">
      <c r="B2124" s="44">
        <v>45983</v>
      </c>
      <c r="C2124" s="3" t="s">
        <v>416</v>
      </c>
      <c r="D2124" s="3" t="s">
        <v>497</v>
      </c>
      <c r="E2124" s="42"/>
      <c r="F2124" s="3" t="s">
        <v>654</v>
      </c>
      <c r="G2124" s="3" t="s">
        <v>438</v>
      </c>
      <c r="H2124" s="74">
        <v>3906207</v>
      </c>
      <c r="I2124" s="17" t="s">
        <v>653</v>
      </c>
      <c r="J2124" s="17" t="s">
        <v>209</v>
      </c>
      <c r="K2124" s="74">
        <v>3360705</v>
      </c>
    </row>
    <row r="2125" spans="1:43" s="3" customFormat="1" x14ac:dyDescent="0.3">
      <c r="B2125" s="44">
        <v>45983</v>
      </c>
      <c r="C2125" s="3" t="s">
        <v>416</v>
      </c>
      <c r="D2125" s="3" t="s">
        <v>58</v>
      </c>
      <c r="E2125" s="42"/>
      <c r="F2125" s="3" t="s">
        <v>712</v>
      </c>
      <c r="G2125" s="3" t="s">
        <v>270</v>
      </c>
      <c r="H2125" s="4">
        <v>3069605</v>
      </c>
      <c r="I2125" s="3" t="s">
        <v>698</v>
      </c>
      <c r="J2125" s="3" t="s">
        <v>587</v>
      </c>
      <c r="K2125" s="32" t="s">
        <v>563</v>
      </c>
    </row>
    <row r="2126" spans="1:43" s="3" customFormat="1" x14ac:dyDescent="0.3">
      <c r="B2126" s="44">
        <v>45983</v>
      </c>
      <c r="C2126" s="3" t="s">
        <v>416</v>
      </c>
      <c r="D2126" s="3" t="s">
        <v>495</v>
      </c>
      <c r="E2126" s="42"/>
      <c r="F2126" s="3" t="s">
        <v>712</v>
      </c>
      <c r="G2126" s="3" t="s">
        <v>164</v>
      </c>
      <c r="H2126" s="4">
        <v>3349402</v>
      </c>
      <c r="I2126" s="3" t="s">
        <v>685</v>
      </c>
      <c r="J2126" s="3" t="s">
        <v>196</v>
      </c>
      <c r="K2126" s="4">
        <v>3353102</v>
      </c>
    </row>
    <row r="2127" spans="1:43" s="3" customFormat="1" x14ac:dyDescent="0.3">
      <c r="B2127" s="44">
        <v>45983</v>
      </c>
      <c r="C2127" s="3" t="s">
        <v>416</v>
      </c>
      <c r="D2127" s="3" t="s">
        <v>63</v>
      </c>
      <c r="E2127" s="42"/>
      <c r="F2127" s="104" t="s">
        <v>712</v>
      </c>
      <c r="G2127" s="104" t="s">
        <v>334</v>
      </c>
      <c r="H2127" s="74">
        <v>3198009</v>
      </c>
      <c r="I2127" s="3" t="s">
        <v>658</v>
      </c>
      <c r="J2127" s="3" t="s">
        <v>366</v>
      </c>
      <c r="K2127" s="74">
        <v>3210404</v>
      </c>
    </row>
    <row r="2128" spans="1:43" s="3" customFormat="1" x14ac:dyDescent="0.3">
      <c r="B2128" s="44">
        <v>45983</v>
      </c>
      <c r="C2128" s="3" t="s">
        <v>416</v>
      </c>
      <c r="D2128" s="3" t="s">
        <v>492</v>
      </c>
      <c r="E2128" s="42"/>
      <c r="F2128" s="4" t="s">
        <v>713</v>
      </c>
      <c r="G2128" s="4" t="s">
        <v>165</v>
      </c>
      <c r="H2128" s="4">
        <v>3349006</v>
      </c>
      <c r="I2128" s="4" t="s">
        <v>673</v>
      </c>
      <c r="J2128" s="4" t="s">
        <v>134</v>
      </c>
      <c r="K2128" s="4">
        <v>3347102</v>
      </c>
    </row>
    <row r="2129" spans="1:43" s="3" customFormat="1" x14ac:dyDescent="0.3">
      <c r="B2129" s="44">
        <v>45983</v>
      </c>
      <c r="C2129" s="3" t="s">
        <v>416</v>
      </c>
      <c r="D2129" s="3" t="s">
        <v>62</v>
      </c>
      <c r="E2129" s="42"/>
      <c r="F2129" s="4" t="s">
        <v>663</v>
      </c>
      <c r="G2129" s="4" t="s">
        <v>280</v>
      </c>
      <c r="H2129" s="4">
        <v>3198103</v>
      </c>
      <c r="I2129" s="3" t="s">
        <v>701</v>
      </c>
      <c r="J2129" s="3" t="s">
        <v>360</v>
      </c>
      <c r="K2129" s="4">
        <v>3203801</v>
      </c>
    </row>
    <row r="2130" spans="1:43" s="3" customFormat="1" x14ac:dyDescent="0.3">
      <c r="B2130" s="44">
        <v>45983</v>
      </c>
      <c r="C2130" s="3" t="s">
        <v>416</v>
      </c>
      <c r="D2130" s="3" t="s">
        <v>500</v>
      </c>
      <c r="E2130" s="42"/>
      <c r="F2130" s="3" t="s">
        <v>663</v>
      </c>
      <c r="G2130" s="3" t="s">
        <v>239</v>
      </c>
      <c r="H2130" s="4">
        <v>3348809</v>
      </c>
      <c r="I2130" s="4" t="s">
        <v>654</v>
      </c>
      <c r="J2130" s="4" t="s">
        <v>576</v>
      </c>
      <c r="K2130" s="4">
        <v>4009003</v>
      </c>
    </row>
    <row r="2131" spans="1:43" s="3" customFormat="1" x14ac:dyDescent="0.3">
      <c r="B2131" s="44">
        <v>45983</v>
      </c>
      <c r="C2131" s="3" t="s">
        <v>416</v>
      </c>
      <c r="D2131" s="3" t="s">
        <v>69</v>
      </c>
      <c r="E2131" s="42"/>
      <c r="F2131" s="3" t="s">
        <v>663</v>
      </c>
      <c r="G2131" s="3" t="s">
        <v>362</v>
      </c>
      <c r="H2131" s="4">
        <v>3197406</v>
      </c>
      <c r="I2131" s="3" t="s">
        <v>694</v>
      </c>
      <c r="J2131" s="3" t="s">
        <v>402</v>
      </c>
      <c r="K2131" s="4">
        <v>3201407</v>
      </c>
    </row>
    <row r="2132" spans="1:43" s="3" customFormat="1" x14ac:dyDescent="0.3">
      <c r="B2132" s="44">
        <v>45983</v>
      </c>
      <c r="C2132" s="3" t="s">
        <v>416</v>
      </c>
      <c r="D2132" s="3" t="s">
        <v>487</v>
      </c>
      <c r="E2132" s="4"/>
      <c r="F2132" s="4" t="s">
        <v>471</v>
      </c>
      <c r="G2132" s="4" t="s">
        <v>133</v>
      </c>
      <c r="H2132" s="4">
        <v>3348705</v>
      </c>
      <c r="I2132" s="3" t="s">
        <v>663</v>
      </c>
      <c r="J2132" s="3" t="s">
        <v>419</v>
      </c>
      <c r="K2132" s="4">
        <v>3349204</v>
      </c>
    </row>
    <row r="2133" spans="1:43" s="3" customFormat="1" x14ac:dyDescent="0.3">
      <c r="B2133" s="44">
        <v>45983</v>
      </c>
      <c r="C2133" s="3" t="s">
        <v>416</v>
      </c>
      <c r="D2133" s="3" t="s">
        <v>590</v>
      </c>
      <c r="E2133" s="42"/>
      <c r="F2133" s="4" t="s">
        <v>471</v>
      </c>
      <c r="G2133" s="4" t="s">
        <v>291</v>
      </c>
      <c r="H2133" s="4">
        <v>3196709</v>
      </c>
      <c r="I2133" s="3" t="s">
        <v>648</v>
      </c>
      <c r="J2133" s="3" t="s">
        <v>449</v>
      </c>
      <c r="K2133" s="4">
        <v>3961500</v>
      </c>
    </row>
    <row r="2134" spans="1:43" s="3" customFormat="1" x14ac:dyDescent="0.3">
      <c r="B2134" s="44">
        <v>45983</v>
      </c>
      <c r="C2134" s="3" t="s">
        <v>416</v>
      </c>
      <c r="D2134" s="3" t="s">
        <v>493</v>
      </c>
      <c r="E2134" s="42"/>
      <c r="F2134" s="3" t="s">
        <v>471</v>
      </c>
      <c r="G2134" s="3" t="s">
        <v>217</v>
      </c>
      <c r="H2134" s="4">
        <v>3348309</v>
      </c>
      <c r="I2134" s="4" t="s">
        <v>480</v>
      </c>
      <c r="J2134" s="4" t="s">
        <v>423</v>
      </c>
      <c r="K2134" s="4">
        <v>3360403</v>
      </c>
    </row>
    <row r="2135" spans="1:43" s="3" customFormat="1" x14ac:dyDescent="0.3">
      <c r="B2135" s="44">
        <v>45983</v>
      </c>
      <c r="C2135" s="3" t="s">
        <v>416</v>
      </c>
      <c r="D2135" s="3" t="s">
        <v>69</v>
      </c>
      <c r="E2135" s="42"/>
      <c r="F2135" s="3" t="s">
        <v>471</v>
      </c>
      <c r="G2135" s="3" t="s">
        <v>364</v>
      </c>
      <c r="H2135" s="4">
        <v>3197000</v>
      </c>
      <c r="I2135" s="3" t="s">
        <v>694</v>
      </c>
      <c r="J2135" s="3" t="s">
        <v>376</v>
      </c>
      <c r="K2135" s="53">
        <v>3201303</v>
      </c>
    </row>
    <row r="2136" spans="1:43" s="3" customFormat="1" x14ac:dyDescent="0.3">
      <c r="B2136" s="44">
        <v>45983</v>
      </c>
      <c r="C2136" s="3" t="s">
        <v>416</v>
      </c>
      <c r="D2136" s="3" t="s">
        <v>497</v>
      </c>
      <c r="E2136" s="42"/>
      <c r="F2136" s="15" t="s">
        <v>471</v>
      </c>
      <c r="G2136" s="15" t="s">
        <v>240</v>
      </c>
      <c r="H2136" s="74">
        <v>3348403</v>
      </c>
      <c r="I2136" s="17" t="s">
        <v>653</v>
      </c>
      <c r="J2136" s="17" t="s">
        <v>208</v>
      </c>
      <c r="K2136" s="74">
        <v>3361308</v>
      </c>
    </row>
    <row r="2137" spans="1:43" s="3" customFormat="1" x14ac:dyDescent="0.3">
      <c r="B2137" s="44">
        <v>45983</v>
      </c>
      <c r="C2137" s="3" t="s">
        <v>416</v>
      </c>
      <c r="D2137" s="3" t="s">
        <v>70</v>
      </c>
      <c r="E2137" s="42"/>
      <c r="F2137" s="3" t="s">
        <v>692</v>
      </c>
      <c r="G2137" s="3" t="s">
        <v>378</v>
      </c>
      <c r="H2137" s="4">
        <v>3197802</v>
      </c>
      <c r="I2137" s="3" t="s">
        <v>472</v>
      </c>
      <c r="J2137" s="3" t="s">
        <v>400</v>
      </c>
      <c r="K2137" s="4">
        <v>3818608</v>
      </c>
    </row>
    <row r="2138" spans="1:43" s="3" customFormat="1" x14ac:dyDescent="0.3">
      <c r="B2138" s="44">
        <v>45983</v>
      </c>
      <c r="C2138" s="3" t="s">
        <v>416</v>
      </c>
      <c r="D2138" s="3" t="s">
        <v>498</v>
      </c>
      <c r="E2138" s="42"/>
      <c r="F2138" s="3" t="s">
        <v>692</v>
      </c>
      <c r="G2138" s="3" t="s">
        <v>223</v>
      </c>
      <c r="H2138" s="4">
        <v>3348007</v>
      </c>
      <c r="I2138" s="3" t="s">
        <v>475</v>
      </c>
      <c r="J2138" s="3" t="s">
        <v>184</v>
      </c>
      <c r="K2138" s="53">
        <v>3363004</v>
      </c>
    </row>
    <row r="2139" spans="1:43" s="3" customFormat="1" x14ac:dyDescent="0.3">
      <c r="B2139" s="44">
        <v>45983</v>
      </c>
      <c r="C2139" s="3" t="s">
        <v>416</v>
      </c>
      <c r="D2139" s="3" t="s">
        <v>491</v>
      </c>
      <c r="E2139" s="42"/>
      <c r="F2139" s="3" t="s">
        <v>698</v>
      </c>
      <c r="G2139" s="3" t="s">
        <v>567</v>
      </c>
      <c r="H2139" s="4" t="s">
        <v>556</v>
      </c>
      <c r="I2139" s="3" t="s">
        <v>695</v>
      </c>
      <c r="J2139" s="3" t="s">
        <v>148</v>
      </c>
      <c r="K2139" s="4">
        <v>3355402</v>
      </c>
    </row>
    <row r="2140" spans="1:43" s="3" customFormat="1" x14ac:dyDescent="0.3">
      <c r="B2140" s="44">
        <v>45983</v>
      </c>
      <c r="C2140" s="3" t="s">
        <v>416</v>
      </c>
      <c r="D2140" s="3" t="s">
        <v>495</v>
      </c>
      <c r="E2140" s="42"/>
      <c r="F2140" s="3" t="s">
        <v>699</v>
      </c>
      <c r="G2140" s="3" t="s">
        <v>569</v>
      </c>
      <c r="H2140" s="4">
        <v>3125708</v>
      </c>
      <c r="I2140" s="3" t="s">
        <v>685</v>
      </c>
      <c r="J2140" s="3" t="s">
        <v>197</v>
      </c>
      <c r="K2140" s="4">
        <v>3353300</v>
      </c>
    </row>
    <row r="2141" spans="1:43" s="3" customFormat="1" x14ac:dyDescent="0.3">
      <c r="B2141" s="44">
        <v>45983</v>
      </c>
      <c r="C2141" s="3" t="s">
        <v>416</v>
      </c>
      <c r="D2141" s="3" t="s">
        <v>497</v>
      </c>
      <c r="E2141" s="42"/>
      <c r="F2141" s="3" t="s">
        <v>681</v>
      </c>
      <c r="G2141" s="3" t="s">
        <v>175</v>
      </c>
      <c r="H2141" s="74">
        <v>3347800</v>
      </c>
      <c r="I2141" s="17" t="s">
        <v>476</v>
      </c>
      <c r="J2141" s="17" t="s">
        <v>234</v>
      </c>
      <c r="K2141" s="74">
        <v>3356807</v>
      </c>
    </row>
    <row r="2142" spans="1:43" s="3" customFormat="1" x14ac:dyDescent="0.3">
      <c r="A2142" s="4"/>
      <c r="B2142" s="100">
        <v>45983</v>
      </c>
      <c r="C2142" s="98" t="s">
        <v>553</v>
      </c>
      <c r="D2142" s="4" t="s">
        <v>508</v>
      </c>
      <c r="E2142" s="4"/>
      <c r="F2142" s="73" t="s">
        <v>509</v>
      </c>
      <c r="G2142" s="73" t="s">
        <v>509</v>
      </c>
      <c r="H2142" s="73"/>
      <c r="I2142" s="73" t="s">
        <v>478</v>
      </c>
      <c r="J2142" s="73" t="s">
        <v>478</v>
      </c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</row>
    <row r="2143" spans="1:43" s="3" customFormat="1" x14ac:dyDescent="0.3">
      <c r="B2143" s="44">
        <v>45983</v>
      </c>
      <c r="C2143" s="3" t="s">
        <v>416</v>
      </c>
      <c r="D2143" s="3" t="s">
        <v>492</v>
      </c>
      <c r="E2143" s="42"/>
      <c r="F2143" s="4" t="s">
        <v>670</v>
      </c>
      <c r="G2143" s="4" t="s">
        <v>145</v>
      </c>
      <c r="H2143" s="4">
        <v>3347404</v>
      </c>
      <c r="I2143" s="3" t="s">
        <v>474</v>
      </c>
      <c r="J2143" s="3" t="s">
        <v>161</v>
      </c>
      <c r="K2143" s="4">
        <v>3352509</v>
      </c>
    </row>
    <row r="2144" spans="1:43" s="3" customFormat="1" x14ac:dyDescent="0.3">
      <c r="B2144" s="44">
        <v>45983</v>
      </c>
      <c r="C2144" s="3" t="s">
        <v>416</v>
      </c>
      <c r="D2144" s="3" t="s">
        <v>495</v>
      </c>
      <c r="E2144" s="42"/>
      <c r="F2144" s="3" t="s">
        <v>670</v>
      </c>
      <c r="G2144" s="3" t="s">
        <v>224</v>
      </c>
      <c r="H2144" s="4">
        <v>3347008</v>
      </c>
      <c r="I2144" s="3" t="s">
        <v>666</v>
      </c>
      <c r="J2144" s="3" t="s">
        <v>193</v>
      </c>
      <c r="K2144" s="4">
        <v>3357108</v>
      </c>
    </row>
    <row r="2145" spans="2:11" s="3" customFormat="1" x14ac:dyDescent="0.3">
      <c r="B2145" s="44">
        <v>45983</v>
      </c>
      <c r="C2145" s="3" t="s">
        <v>416</v>
      </c>
      <c r="D2145" s="3" t="s">
        <v>64</v>
      </c>
      <c r="E2145" s="42">
        <v>4370907</v>
      </c>
      <c r="F2145" s="3" t="s">
        <v>673</v>
      </c>
      <c r="G2145" s="3" t="s">
        <v>355</v>
      </c>
      <c r="H2145" s="4">
        <v>3195002</v>
      </c>
      <c r="I2145" s="4" t="s">
        <v>670</v>
      </c>
      <c r="J2145" s="4" t="s">
        <v>343</v>
      </c>
      <c r="K2145" s="4">
        <v>3195606</v>
      </c>
    </row>
    <row r="2146" spans="2:11" s="3" customFormat="1" x14ac:dyDescent="0.3">
      <c r="B2146" s="44">
        <v>45983</v>
      </c>
      <c r="C2146" s="3" t="s">
        <v>416</v>
      </c>
      <c r="D2146" s="3" t="s">
        <v>495</v>
      </c>
      <c r="E2146" s="42"/>
      <c r="F2146" s="3" t="s">
        <v>673</v>
      </c>
      <c r="G2146" s="3" t="s">
        <v>200</v>
      </c>
      <c r="H2146" s="53">
        <v>3901004</v>
      </c>
      <c r="I2146" s="3" t="s">
        <v>666</v>
      </c>
      <c r="J2146" s="3" t="s">
        <v>192</v>
      </c>
      <c r="K2146" s="53">
        <v>3357004</v>
      </c>
    </row>
    <row r="2147" spans="2:11" s="3" customFormat="1" x14ac:dyDescent="0.3">
      <c r="B2147" s="44">
        <v>45983</v>
      </c>
      <c r="C2147" s="3" t="s">
        <v>416</v>
      </c>
      <c r="D2147" s="3" t="s">
        <v>64</v>
      </c>
      <c r="E2147" s="42">
        <v>4370907</v>
      </c>
      <c r="F2147" s="3" t="s">
        <v>717</v>
      </c>
      <c r="G2147" s="3" t="s">
        <v>432</v>
      </c>
      <c r="H2147" s="4">
        <v>3195106</v>
      </c>
      <c r="I2147" s="4" t="s">
        <v>688</v>
      </c>
      <c r="J2147" s="4" t="s">
        <v>318</v>
      </c>
      <c r="K2147" s="4">
        <v>3037401</v>
      </c>
    </row>
    <row r="2148" spans="2:11" s="3" customFormat="1" x14ac:dyDescent="0.3">
      <c r="B2148" s="44">
        <v>45983</v>
      </c>
      <c r="C2148" s="3" t="s">
        <v>416</v>
      </c>
      <c r="D2148" s="3" t="s">
        <v>498</v>
      </c>
      <c r="E2148" s="42"/>
      <c r="F2148" s="3" t="s">
        <v>717</v>
      </c>
      <c r="G2148" s="3" t="s">
        <v>429</v>
      </c>
      <c r="H2148" s="4">
        <v>3346905</v>
      </c>
      <c r="I2148" s="3" t="s">
        <v>688</v>
      </c>
      <c r="J2148" s="3" t="s">
        <v>146</v>
      </c>
      <c r="K2148" s="53">
        <v>3346405</v>
      </c>
    </row>
    <row r="2149" spans="2:11" s="3" customFormat="1" x14ac:dyDescent="0.3">
      <c r="B2149" s="44">
        <v>45983</v>
      </c>
      <c r="C2149" s="3" t="s">
        <v>416</v>
      </c>
      <c r="D2149" s="3" t="s">
        <v>67</v>
      </c>
      <c r="E2149" s="42"/>
      <c r="F2149" s="4" t="s">
        <v>717</v>
      </c>
      <c r="G2149" s="4" t="s">
        <v>435</v>
      </c>
      <c r="H2149" s="4">
        <v>3195200</v>
      </c>
      <c r="I2149" s="3" t="s">
        <v>472</v>
      </c>
      <c r="J2149" s="3" t="s">
        <v>374</v>
      </c>
      <c r="K2149" s="4">
        <v>3207203</v>
      </c>
    </row>
    <row r="2150" spans="2:11" s="3" customFormat="1" x14ac:dyDescent="0.3">
      <c r="B2150" s="44">
        <v>45983</v>
      </c>
      <c r="C2150" s="3" t="s">
        <v>416</v>
      </c>
      <c r="D2150" s="3" t="s">
        <v>62</v>
      </c>
      <c r="E2150" s="42"/>
      <c r="F2150" s="3" t="s">
        <v>679</v>
      </c>
      <c r="G2150" s="3" t="s">
        <v>292</v>
      </c>
      <c r="H2150" s="4">
        <v>3195304</v>
      </c>
      <c r="I2150" s="3" t="s">
        <v>700</v>
      </c>
      <c r="J2150" s="3" t="s">
        <v>442</v>
      </c>
      <c r="K2150" s="4">
        <v>3205007</v>
      </c>
    </row>
    <row r="2151" spans="2:11" s="3" customFormat="1" x14ac:dyDescent="0.3">
      <c r="B2151" s="44">
        <v>45983</v>
      </c>
      <c r="C2151" s="3" t="s">
        <v>416</v>
      </c>
      <c r="D2151" s="3" t="s">
        <v>500</v>
      </c>
      <c r="E2151" s="42"/>
      <c r="F2151" s="3" t="s">
        <v>679</v>
      </c>
      <c r="G2151" s="3" t="s">
        <v>466</v>
      </c>
      <c r="H2151" s="4">
        <v>3346707</v>
      </c>
      <c r="I2151" s="4" t="s">
        <v>672</v>
      </c>
      <c r="J2151" s="4" t="s">
        <v>187</v>
      </c>
      <c r="K2151" s="4">
        <v>3354101</v>
      </c>
    </row>
    <row r="2152" spans="2:11" s="3" customFormat="1" x14ac:dyDescent="0.3">
      <c r="B2152" s="44">
        <v>45983</v>
      </c>
      <c r="C2152" s="3" t="s">
        <v>416</v>
      </c>
      <c r="D2152" s="3" t="s">
        <v>487</v>
      </c>
      <c r="E2152" s="4"/>
      <c r="F2152" s="4" t="s">
        <v>721</v>
      </c>
      <c r="G2152" s="4" t="s">
        <v>124</v>
      </c>
      <c r="H2152" s="4">
        <v>3267501</v>
      </c>
      <c r="I2152" s="4" t="s">
        <v>692</v>
      </c>
      <c r="J2152" s="4" t="s">
        <v>115</v>
      </c>
      <c r="K2152" s="4">
        <v>3068106</v>
      </c>
    </row>
    <row r="2153" spans="2:11" s="3" customFormat="1" x14ac:dyDescent="0.3">
      <c r="B2153" s="44">
        <v>45983</v>
      </c>
      <c r="C2153" s="3" t="s">
        <v>416</v>
      </c>
      <c r="D2153" s="3" t="s">
        <v>58</v>
      </c>
      <c r="E2153" s="42"/>
      <c r="F2153" s="3" t="s">
        <v>721</v>
      </c>
      <c r="G2153" s="3" t="s">
        <v>271</v>
      </c>
      <c r="H2153" s="4">
        <v>3194701</v>
      </c>
      <c r="I2153" s="32" t="s">
        <v>478</v>
      </c>
      <c r="J2153" s="32" t="s">
        <v>267</v>
      </c>
      <c r="K2153" s="15">
        <v>3205205</v>
      </c>
    </row>
    <row r="2154" spans="2:11" s="3" customFormat="1" x14ac:dyDescent="0.3">
      <c r="B2154" s="44">
        <v>45983</v>
      </c>
      <c r="C2154" s="3" t="s">
        <v>416</v>
      </c>
      <c r="D2154" s="3" t="s">
        <v>60</v>
      </c>
      <c r="E2154" s="42"/>
      <c r="F2154" s="3" t="s">
        <v>721</v>
      </c>
      <c r="G2154" s="3" t="s">
        <v>300</v>
      </c>
      <c r="H2154" s="4">
        <v>3194805</v>
      </c>
      <c r="I2154" s="32" t="s">
        <v>705</v>
      </c>
      <c r="J2154" s="32" t="s">
        <v>293</v>
      </c>
      <c r="K2154" s="15">
        <v>3211705</v>
      </c>
    </row>
    <row r="2155" spans="2:11" s="3" customFormat="1" x14ac:dyDescent="0.3">
      <c r="B2155" s="44">
        <v>45983</v>
      </c>
      <c r="C2155" s="3" t="s">
        <v>416</v>
      </c>
      <c r="D2155" s="3" t="s">
        <v>489</v>
      </c>
      <c r="E2155" s="4"/>
      <c r="F2155" s="3" t="s">
        <v>688</v>
      </c>
      <c r="G2155" s="3" t="s">
        <v>10</v>
      </c>
      <c r="H2155" s="4">
        <v>3036204</v>
      </c>
      <c r="I2155" s="4" t="s">
        <v>685</v>
      </c>
      <c r="J2155" s="4" t="s">
        <v>160</v>
      </c>
      <c r="K2155" s="4">
        <v>3353008</v>
      </c>
    </row>
    <row r="2156" spans="2:11" s="3" customFormat="1" x14ac:dyDescent="0.3">
      <c r="B2156" s="44">
        <v>45983</v>
      </c>
      <c r="C2156" s="3" t="s">
        <v>416</v>
      </c>
      <c r="D2156" s="3" t="s">
        <v>56</v>
      </c>
      <c r="E2156" s="42"/>
      <c r="F2156" s="4" t="s">
        <v>688</v>
      </c>
      <c r="G2156" s="4" t="s">
        <v>264</v>
      </c>
      <c r="H2156" s="4">
        <v>3055603</v>
      </c>
      <c r="I2156" s="73" t="s">
        <v>671</v>
      </c>
      <c r="J2156" s="73" t="s">
        <v>247</v>
      </c>
      <c r="K2156" s="4">
        <v>3034102</v>
      </c>
    </row>
    <row r="2157" spans="2:11" s="3" customFormat="1" x14ac:dyDescent="0.3">
      <c r="B2157" s="44">
        <v>45983</v>
      </c>
      <c r="C2157" s="3" t="s">
        <v>416</v>
      </c>
      <c r="D2157" s="3" t="s">
        <v>70</v>
      </c>
      <c r="E2157" s="42"/>
      <c r="F2157" s="3" t="s">
        <v>688</v>
      </c>
      <c r="G2157" s="3" t="s">
        <v>379</v>
      </c>
      <c r="H2157" s="4">
        <v>3194409</v>
      </c>
      <c r="I2157" s="3" t="s">
        <v>689</v>
      </c>
      <c r="J2157" s="3" t="s">
        <v>404</v>
      </c>
      <c r="K2157" s="53">
        <v>3196605</v>
      </c>
    </row>
    <row r="2158" spans="2:11" s="3" customFormat="1" x14ac:dyDescent="0.3">
      <c r="B2158" s="44">
        <v>45983</v>
      </c>
      <c r="C2158" s="3" t="s">
        <v>416</v>
      </c>
      <c r="D2158" s="3" t="s">
        <v>70</v>
      </c>
      <c r="E2158" s="42"/>
      <c r="F2158" s="3" t="s">
        <v>688</v>
      </c>
      <c r="G2158" s="3" t="s">
        <v>460</v>
      </c>
      <c r="H2158" s="4">
        <v>3194503</v>
      </c>
      <c r="I2158" s="3" t="s">
        <v>475</v>
      </c>
      <c r="J2158" s="3" t="s">
        <v>370</v>
      </c>
      <c r="K2158" s="4">
        <v>3211903</v>
      </c>
    </row>
    <row r="2159" spans="2:11" s="3" customFormat="1" x14ac:dyDescent="0.3">
      <c r="B2159" s="44">
        <v>45983</v>
      </c>
      <c r="C2159" s="3" t="s">
        <v>416</v>
      </c>
      <c r="D2159" s="3" t="s">
        <v>61</v>
      </c>
      <c r="E2159" s="42"/>
      <c r="F2159" s="4" t="s">
        <v>720</v>
      </c>
      <c r="G2159" s="4" t="s">
        <v>335</v>
      </c>
      <c r="H2159" s="4">
        <v>3194201</v>
      </c>
      <c r="I2159" s="3" t="s">
        <v>696</v>
      </c>
      <c r="J2159" s="3" t="s">
        <v>307</v>
      </c>
      <c r="K2159" s="4">
        <v>3201907</v>
      </c>
    </row>
    <row r="2160" spans="2:11" s="3" customFormat="1" x14ac:dyDescent="0.3">
      <c r="B2160" s="44">
        <v>45983</v>
      </c>
      <c r="C2160" s="3" t="s">
        <v>416</v>
      </c>
      <c r="D2160" s="3" t="s">
        <v>487</v>
      </c>
      <c r="E2160" s="4"/>
      <c r="F2160" s="3" t="s">
        <v>647</v>
      </c>
      <c r="G2160" s="3" t="s">
        <v>116</v>
      </c>
      <c r="H2160" s="4">
        <v>3346009</v>
      </c>
      <c r="I2160" s="3" t="s">
        <v>475</v>
      </c>
      <c r="J2160" s="3" t="s">
        <v>96</v>
      </c>
      <c r="K2160" s="4">
        <v>3067107</v>
      </c>
    </row>
    <row r="2161" spans="1:43" s="3" customFormat="1" x14ac:dyDescent="0.3">
      <c r="B2161" s="44">
        <v>45983</v>
      </c>
      <c r="C2161" s="3" t="s">
        <v>416</v>
      </c>
      <c r="D2161" s="3" t="s">
        <v>57</v>
      </c>
      <c r="E2161" s="42"/>
      <c r="F2161" s="4" t="s">
        <v>647</v>
      </c>
      <c r="G2161" s="4" t="s">
        <v>282</v>
      </c>
      <c r="H2161" s="4">
        <v>3193900</v>
      </c>
      <c r="I2161" s="4" t="s">
        <v>666</v>
      </c>
      <c r="J2161" s="4" t="s">
        <v>259</v>
      </c>
      <c r="K2161" s="4">
        <v>3205809</v>
      </c>
    </row>
    <row r="2162" spans="1:43" s="3" customFormat="1" x14ac:dyDescent="0.3">
      <c r="B2162" s="44">
        <v>45983</v>
      </c>
      <c r="C2162" s="3" t="s">
        <v>416</v>
      </c>
      <c r="D2162" s="3" t="s">
        <v>67</v>
      </c>
      <c r="E2162" s="42"/>
      <c r="F2162" s="4" t="s">
        <v>647</v>
      </c>
      <c r="G2162" s="4" t="s">
        <v>345</v>
      </c>
      <c r="H2162" s="4">
        <v>3194003</v>
      </c>
      <c r="I2162" s="3" t="s">
        <v>662</v>
      </c>
      <c r="J2162" s="3" t="s">
        <v>373</v>
      </c>
      <c r="K2162" s="4">
        <v>3207807</v>
      </c>
    </row>
    <row r="2163" spans="1:43" s="3" customFormat="1" x14ac:dyDescent="0.3">
      <c r="B2163" s="44">
        <v>45983</v>
      </c>
      <c r="C2163" s="3" t="s">
        <v>416</v>
      </c>
      <c r="D2163" s="3" t="s">
        <v>592</v>
      </c>
      <c r="E2163" s="42"/>
      <c r="F2163" s="3" t="s">
        <v>647</v>
      </c>
      <c r="G2163" s="3" t="s">
        <v>405</v>
      </c>
      <c r="H2163" s="74">
        <v>3901108</v>
      </c>
      <c r="I2163" s="3" t="s">
        <v>662</v>
      </c>
      <c r="J2163" s="3" t="s">
        <v>634</v>
      </c>
      <c r="K2163" s="74">
        <v>4023105</v>
      </c>
    </row>
    <row r="2164" spans="1:43" s="3" customFormat="1" x14ac:dyDescent="0.3">
      <c r="B2164" s="44">
        <v>45983</v>
      </c>
      <c r="C2164" s="3" t="s">
        <v>416</v>
      </c>
      <c r="D2164" s="3" t="s">
        <v>496</v>
      </c>
      <c r="E2164" s="42"/>
      <c r="F2164" s="4" t="s">
        <v>687</v>
      </c>
      <c r="G2164" s="4" t="s">
        <v>207</v>
      </c>
      <c r="H2164" s="4">
        <v>3346801</v>
      </c>
      <c r="I2164" s="3" t="s">
        <v>671</v>
      </c>
      <c r="J2164" s="3" t="s">
        <v>227</v>
      </c>
      <c r="K2164" s="4">
        <v>3359408</v>
      </c>
    </row>
    <row r="2165" spans="1:43" s="3" customFormat="1" x14ac:dyDescent="0.3">
      <c r="B2165" s="44">
        <v>45983</v>
      </c>
      <c r="C2165" s="3" t="s">
        <v>416</v>
      </c>
      <c r="D2165" s="3" t="s">
        <v>59</v>
      </c>
      <c r="E2165" s="42"/>
      <c r="F2165" s="3" t="s">
        <v>687</v>
      </c>
      <c r="G2165" s="3" t="s">
        <v>283</v>
      </c>
      <c r="H2165" s="4">
        <v>3194107</v>
      </c>
      <c r="I2165" s="3" t="s">
        <v>656</v>
      </c>
      <c r="J2165" s="3" t="s">
        <v>278</v>
      </c>
      <c r="K2165" s="4">
        <v>3199800</v>
      </c>
    </row>
    <row r="2166" spans="1:43" s="3" customFormat="1" x14ac:dyDescent="0.3">
      <c r="B2166" s="44">
        <v>45983</v>
      </c>
      <c r="C2166" s="3" t="s">
        <v>416</v>
      </c>
      <c r="D2166" s="3" t="s">
        <v>499</v>
      </c>
      <c r="E2166" s="42"/>
      <c r="F2166" s="3" t="s">
        <v>687</v>
      </c>
      <c r="G2166" s="3" t="s">
        <v>231</v>
      </c>
      <c r="H2166" s="4">
        <v>3819503</v>
      </c>
      <c r="I2166" s="3" t="s">
        <v>665</v>
      </c>
      <c r="J2166" s="3" t="s">
        <v>461</v>
      </c>
      <c r="K2166" s="4">
        <v>3818702</v>
      </c>
    </row>
    <row r="2167" spans="1:43" s="3" customFormat="1" x14ac:dyDescent="0.3">
      <c r="A2167" s="4"/>
      <c r="B2167" s="100">
        <v>45984</v>
      </c>
      <c r="C2167" s="98" t="s">
        <v>553</v>
      </c>
      <c r="D2167" s="4" t="s">
        <v>521</v>
      </c>
      <c r="E2167" s="4"/>
      <c r="F2167" s="73" t="s">
        <v>472</v>
      </c>
      <c r="G2167" s="73" t="s">
        <v>472</v>
      </c>
      <c r="H2167" s="73"/>
      <c r="I2167" s="73" t="s">
        <v>541</v>
      </c>
      <c r="J2167" s="73" t="s">
        <v>541</v>
      </c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</row>
    <row r="2168" spans="1:43" s="3" customFormat="1" x14ac:dyDescent="0.3">
      <c r="A2168" s="4"/>
      <c r="B2168" s="100">
        <v>45984</v>
      </c>
      <c r="C2168" s="98" t="s">
        <v>553</v>
      </c>
      <c r="D2168" s="4" t="s">
        <v>521</v>
      </c>
      <c r="E2168" s="4"/>
      <c r="F2168" s="73" t="s">
        <v>530</v>
      </c>
      <c r="G2168" s="73" t="s">
        <v>530</v>
      </c>
      <c r="H2168" s="73"/>
      <c r="I2168" s="73" t="s">
        <v>479</v>
      </c>
      <c r="J2168" s="73" t="s">
        <v>479</v>
      </c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</row>
    <row r="2169" spans="1:43" s="3" customFormat="1" x14ac:dyDescent="0.3">
      <c r="A2169" s="4"/>
      <c r="B2169" s="100">
        <v>45984</v>
      </c>
      <c r="C2169" s="98" t="s">
        <v>553</v>
      </c>
      <c r="D2169" s="4" t="s">
        <v>516</v>
      </c>
      <c r="E2169" s="4"/>
      <c r="F2169" s="73" t="s">
        <v>519</v>
      </c>
      <c r="G2169" s="73" t="s">
        <v>519</v>
      </c>
      <c r="H2169" s="73"/>
      <c r="I2169" s="73" t="s">
        <v>476</v>
      </c>
      <c r="J2169" s="73" t="s">
        <v>476</v>
      </c>
      <c r="K2169" s="15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</row>
    <row r="2170" spans="1:43" s="3" customFormat="1" x14ac:dyDescent="0.3">
      <c r="A2170" s="4"/>
      <c r="B2170" s="100">
        <v>45984</v>
      </c>
      <c r="C2170" s="98" t="s">
        <v>553</v>
      </c>
      <c r="D2170" s="4" t="s">
        <v>516</v>
      </c>
      <c r="E2170" s="4"/>
      <c r="F2170" s="73" t="s">
        <v>474</v>
      </c>
      <c r="G2170" s="73" t="s">
        <v>474</v>
      </c>
      <c r="H2170" s="73"/>
      <c r="I2170" s="73" t="s">
        <v>533</v>
      </c>
      <c r="J2170" s="73" t="s">
        <v>533</v>
      </c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</row>
    <row r="2171" spans="1:43" s="3" customFormat="1" x14ac:dyDescent="0.3">
      <c r="A2171" s="4"/>
      <c r="B2171" s="100">
        <v>45984</v>
      </c>
      <c r="C2171" s="98" t="s">
        <v>553</v>
      </c>
      <c r="D2171" s="4" t="s">
        <v>516</v>
      </c>
      <c r="E2171" s="4"/>
      <c r="F2171" s="73" t="s">
        <v>518</v>
      </c>
      <c r="G2171" s="73" t="s">
        <v>518</v>
      </c>
      <c r="H2171" s="73"/>
      <c r="I2171" s="73" t="s">
        <v>520</v>
      </c>
      <c r="J2171" s="73" t="s">
        <v>520</v>
      </c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</row>
    <row r="2172" spans="1:43" s="3" customFormat="1" x14ac:dyDescent="0.3">
      <c r="A2172" s="4"/>
      <c r="B2172" s="100">
        <v>45984</v>
      </c>
      <c r="C2172" s="98" t="s">
        <v>553</v>
      </c>
      <c r="D2172" s="4" t="s">
        <v>521</v>
      </c>
      <c r="E2172" s="4"/>
      <c r="F2172" s="73" t="s">
        <v>529</v>
      </c>
      <c r="G2172" s="73" t="s">
        <v>529</v>
      </c>
      <c r="H2172" s="73"/>
      <c r="I2172" s="73" t="s">
        <v>471</v>
      </c>
      <c r="J2172" s="73" t="s">
        <v>471</v>
      </c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</row>
    <row r="2173" spans="1:43" s="3" customFormat="1" x14ac:dyDescent="0.3">
      <c r="A2173" s="4"/>
      <c r="B2173" s="100">
        <v>45990</v>
      </c>
      <c r="C2173" s="98" t="s">
        <v>553</v>
      </c>
      <c r="D2173" s="4" t="s">
        <v>508</v>
      </c>
      <c r="E2173" s="4"/>
      <c r="F2173" s="73" t="s">
        <v>475</v>
      </c>
      <c r="G2173" s="73" t="s">
        <v>475</v>
      </c>
      <c r="H2173" s="73"/>
      <c r="I2173" s="73" t="s">
        <v>511</v>
      </c>
      <c r="J2173" s="73" t="s">
        <v>511</v>
      </c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</row>
    <row r="2174" spans="1:43" s="3" customFormat="1" x14ac:dyDescent="0.3">
      <c r="B2174" s="44">
        <v>45990</v>
      </c>
      <c r="C2174" s="3" t="s">
        <v>416</v>
      </c>
      <c r="D2174" s="3" t="s">
        <v>487</v>
      </c>
      <c r="E2174" s="4"/>
      <c r="F2174" s="3" t="s">
        <v>475</v>
      </c>
      <c r="G2174" s="3" t="s">
        <v>96</v>
      </c>
      <c r="H2174" s="4">
        <v>3067107</v>
      </c>
      <c r="I2174" s="3" t="s">
        <v>479</v>
      </c>
      <c r="J2174" s="3" t="s">
        <v>127</v>
      </c>
      <c r="K2174" s="4">
        <v>3360809</v>
      </c>
    </row>
    <row r="2175" spans="1:43" s="3" customFormat="1" x14ac:dyDescent="0.3">
      <c r="B2175" s="44">
        <v>45990</v>
      </c>
      <c r="C2175" s="3" t="s">
        <v>416</v>
      </c>
      <c r="D2175" s="3" t="s">
        <v>494</v>
      </c>
      <c r="E2175" s="42"/>
      <c r="F2175" s="3" t="s">
        <v>475</v>
      </c>
      <c r="G2175" s="3" t="s">
        <v>183</v>
      </c>
      <c r="H2175" s="4">
        <v>3362901</v>
      </c>
      <c r="I2175" s="3" t="s">
        <v>694</v>
      </c>
      <c r="J2175" s="3" t="s">
        <v>221</v>
      </c>
      <c r="K2175" s="4">
        <v>3353404</v>
      </c>
    </row>
    <row r="2176" spans="1:43" s="3" customFormat="1" x14ac:dyDescent="0.3">
      <c r="B2176" s="44">
        <v>45990</v>
      </c>
      <c r="C2176" s="3" t="s">
        <v>416</v>
      </c>
      <c r="D2176" s="3" t="s">
        <v>498</v>
      </c>
      <c r="E2176" s="42"/>
      <c r="F2176" s="3" t="s">
        <v>475</v>
      </c>
      <c r="G2176" s="3" t="s">
        <v>184</v>
      </c>
      <c r="H2176" s="53">
        <v>3363004</v>
      </c>
      <c r="I2176" s="3" t="s">
        <v>714</v>
      </c>
      <c r="J2176" s="3" t="s">
        <v>222</v>
      </c>
      <c r="K2176" s="4">
        <v>3348507</v>
      </c>
    </row>
    <row r="2177" spans="2:13" s="3" customFormat="1" x14ac:dyDescent="0.3">
      <c r="B2177" s="44">
        <v>45990</v>
      </c>
      <c r="C2177" s="3" t="s">
        <v>416</v>
      </c>
      <c r="D2177" s="3" t="s">
        <v>70</v>
      </c>
      <c r="E2177" s="42"/>
      <c r="F2177" s="3" t="s">
        <v>475</v>
      </c>
      <c r="G2177" s="3" t="s">
        <v>371</v>
      </c>
      <c r="H2177" s="53">
        <v>3212006</v>
      </c>
      <c r="I2177" s="3" t="s">
        <v>692</v>
      </c>
      <c r="J2177" s="3" t="s">
        <v>378</v>
      </c>
      <c r="K2177" s="4">
        <v>3197802</v>
      </c>
    </row>
    <row r="2178" spans="2:13" s="3" customFormat="1" x14ac:dyDescent="0.3">
      <c r="B2178" s="44">
        <v>45990</v>
      </c>
      <c r="C2178" s="3" t="s">
        <v>416</v>
      </c>
      <c r="D2178" s="3" t="s">
        <v>501</v>
      </c>
      <c r="E2178" s="42"/>
      <c r="F2178" s="3" t="s">
        <v>475</v>
      </c>
      <c r="G2178" s="3" t="s">
        <v>241</v>
      </c>
      <c r="H2178" s="4">
        <v>3362401</v>
      </c>
      <c r="I2178" s="3" t="s">
        <v>472</v>
      </c>
      <c r="J2178" s="3" t="s">
        <v>578</v>
      </c>
      <c r="K2178" s="4">
        <v>4022700</v>
      </c>
      <c r="M2178" s="4"/>
    </row>
    <row r="2179" spans="2:13" s="3" customFormat="1" x14ac:dyDescent="0.3">
      <c r="B2179" s="44">
        <v>45990</v>
      </c>
      <c r="C2179" s="3" t="s">
        <v>416</v>
      </c>
      <c r="D2179" s="3" t="s">
        <v>60</v>
      </c>
      <c r="E2179" s="42"/>
      <c r="F2179" s="32" t="s">
        <v>705</v>
      </c>
      <c r="G2179" s="32" t="s">
        <v>293</v>
      </c>
      <c r="H2179" s="15">
        <v>3211705</v>
      </c>
      <c r="I2179" s="3" t="s">
        <v>473</v>
      </c>
      <c r="J2179" s="3" t="s">
        <v>446</v>
      </c>
      <c r="K2179" s="32">
        <v>3204206</v>
      </c>
    </row>
    <row r="2180" spans="2:13" s="3" customFormat="1" x14ac:dyDescent="0.3">
      <c r="B2180" s="44">
        <v>45990</v>
      </c>
      <c r="C2180" s="3" t="s">
        <v>416</v>
      </c>
      <c r="D2180" s="3" t="s">
        <v>590</v>
      </c>
      <c r="E2180" s="42"/>
      <c r="F2180" s="3" t="s">
        <v>648</v>
      </c>
      <c r="G2180" s="3" t="s">
        <v>449</v>
      </c>
      <c r="H2180" s="4">
        <v>3961500</v>
      </c>
      <c r="I2180" s="4" t="s">
        <v>472</v>
      </c>
      <c r="J2180" s="4" t="s">
        <v>315</v>
      </c>
      <c r="K2180" s="4">
        <v>3455307</v>
      </c>
    </row>
    <row r="2181" spans="2:13" s="3" customFormat="1" x14ac:dyDescent="0.3">
      <c r="B2181" s="44">
        <v>45990</v>
      </c>
      <c r="C2181" s="3" t="s">
        <v>416</v>
      </c>
      <c r="D2181" s="3" t="s">
        <v>492</v>
      </c>
      <c r="E2181" s="42"/>
      <c r="F2181" s="3" t="s">
        <v>649</v>
      </c>
      <c r="G2181" s="3" t="s">
        <v>154</v>
      </c>
      <c r="H2181" s="4">
        <v>3362109</v>
      </c>
      <c r="I2181" s="4" t="s">
        <v>652</v>
      </c>
      <c r="J2181" s="4" t="s">
        <v>157</v>
      </c>
      <c r="K2181" s="4">
        <v>3358503</v>
      </c>
    </row>
    <row r="2182" spans="2:13" s="3" customFormat="1" x14ac:dyDescent="0.3">
      <c r="B2182" s="44">
        <v>45990</v>
      </c>
      <c r="C2182" s="3" t="s">
        <v>416</v>
      </c>
      <c r="D2182" s="3" t="s">
        <v>68</v>
      </c>
      <c r="E2182" s="42"/>
      <c r="F2182" s="3" t="s">
        <v>649</v>
      </c>
      <c r="G2182" s="3" t="s">
        <v>456</v>
      </c>
      <c r="H2182" s="4">
        <v>3545602</v>
      </c>
      <c r="I2182" s="4" t="s">
        <v>651</v>
      </c>
      <c r="J2182" s="4" t="s">
        <v>387</v>
      </c>
      <c r="K2182" s="4">
        <v>3211403</v>
      </c>
    </row>
    <row r="2183" spans="2:13" s="3" customFormat="1" x14ac:dyDescent="0.3">
      <c r="B2183" s="44">
        <v>45990</v>
      </c>
      <c r="C2183" s="3" t="s">
        <v>416</v>
      </c>
      <c r="D2183" s="3" t="s">
        <v>486</v>
      </c>
      <c r="E2183" s="42"/>
      <c r="F2183" s="4" t="s">
        <v>651</v>
      </c>
      <c r="G2183" s="4" t="s">
        <v>97</v>
      </c>
      <c r="H2183" s="4">
        <v>3362005</v>
      </c>
      <c r="I2183" s="4" t="s">
        <v>652</v>
      </c>
      <c r="J2183" s="4" t="s">
        <v>110</v>
      </c>
      <c r="K2183" s="4">
        <v>3359106</v>
      </c>
    </row>
    <row r="2184" spans="2:13" s="3" customFormat="1" x14ac:dyDescent="0.3">
      <c r="B2184" s="44">
        <v>45990</v>
      </c>
      <c r="C2184" s="3" t="s">
        <v>416</v>
      </c>
      <c r="D2184" s="3" t="s">
        <v>496</v>
      </c>
      <c r="E2184" s="42"/>
      <c r="F2184" s="3" t="s">
        <v>651</v>
      </c>
      <c r="G2184" s="3" t="s">
        <v>202</v>
      </c>
      <c r="H2184" s="74">
        <v>3361808</v>
      </c>
      <c r="I2184" s="4" t="s">
        <v>716</v>
      </c>
      <c r="J2184" s="4" t="s">
        <v>427</v>
      </c>
      <c r="K2184" s="4">
        <v>3351500</v>
      </c>
    </row>
    <row r="2185" spans="2:13" s="3" customFormat="1" x14ac:dyDescent="0.3">
      <c r="B2185" s="44">
        <v>45990</v>
      </c>
      <c r="C2185" s="3" t="s">
        <v>416</v>
      </c>
      <c r="D2185" s="3" t="s">
        <v>492</v>
      </c>
      <c r="E2185" s="42"/>
      <c r="F2185" s="3" t="s">
        <v>719</v>
      </c>
      <c r="G2185" s="3" t="s">
        <v>155</v>
      </c>
      <c r="H2185" s="4">
        <v>3361600</v>
      </c>
      <c r="I2185" s="4" t="s">
        <v>646</v>
      </c>
      <c r="J2185" s="4" t="s">
        <v>194</v>
      </c>
      <c r="K2185" s="4">
        <v>3354205</v>
      </c>
    </row>
    <row r="2186" spans="2:13" s="3" customFormat="1" x14ac:dyDescent="0.3">
      <c r="B2186" s="44">
        <v>45990</v>
      </c>
      <c r="C2186" s="3" t="s">
        <v>416</v>
      </c>
      <c r="D2186" s="3" t="s">
        <v>490</v>
      </c>
      <c r="E2186" s="4"/>
      <c r="F2186" s="3" t="s">
        <v>653</v>
      </c>
      <c r="G2186" s="3" t="s">
        <v>126</v>
      </c>
      <c r="H2186" s="4">
        <v>3361402</v>
      </c>
      <c r="I2186" s="4" t="s">
        <v>480</v>
      </c>
      <c r="J2186" s="4" t="s">
        <v>420</v>
      </c>
      <c r="K2186" s="4">
        <v>3360101</v>
      </c>
    </row>
    <row r="2187" spans="2:13" s="3" customFormat="1" x14ac:dyDescent="0.3">
      <c r="B2187" s="44">
        <v>45990</v>
      </c>
      <c r="C2187" s="3" t="s">
        <v>416</v>
      </c>
      <c r="D2187" s="3" t="s">
        <v>497</v>
      </c>
      <c r="E2187" s="42"/>
      <c r="F2187" s="17" t="s">
        <v>653</v>
      </c>
      <c r="G2187" s="17" t="s">
        <v>208</v>
      </c>
      <c r="H2187" s="74">
        <v>3361308</v>
      </c>
      <c r="I2187" s="17" t="s">
        <v>657</v>
      </c>
      <c r="J2187" s="17" t="s">
        <v>213</v>
      </c>
      <c r="K2187" s="74">
        <v>3359502</v>
      </c>
    </row>
    <row r="2188" spans="2:13" s="3" customFormat="1" x14ac:dyDescent="0.3">
      <c r="B2188" s="44">
        <v>45990</v>
      </c>
      <c r="C2188" s="3" t="s">
        <v>416</v>
      </c>
      <c r="D2188" s="3" t="s">
        <v>497</v>
      </c>
      <c r="E2188" s="42"/>
      <c r="F2188" s="17" t="s">
        <v>653</v>
      </c>
      <c r="G2188" s="17" t="s">
        <v>209</v>
      </c>
      <c r="H2188" s="74">
        <v>3360705</v>
      </c>
      <c r="I2188" s="15" t="s">
        <v>471</v>
      </c>
      <c r="J2188" s="15" t="s">
        <v>240</v>
      </c>
      <c r="K2188" s="74">
        <v>3348403</v>
      </c>
    </row>
    <row r="2189" spans="2:13" s="3" customFormat="1" x14ac:dyDescent="0.3">
      <c r="B2189" s="44">
        <v>45990</v>
      </c>
      <c r="C2189" s="3" t="s">
        <v>416</v>
      </c>
      <c r="D2189" s="3" t="s">
        <v>593</v>
      </c>
      <c r="E2189" s="42"/>
      <c r="F2189" s="3" t="s">
        <v>653</v>
      </c>
      <c r="G2189" s="3" t="s">
        <v>459</v>
      </c>
      <c r="H2189" s="4">
        <v>3211101</v>
      </c>
      <c r="I2189" s="4" t="s">
        <v>479</v>
      </c>
      <c r="J2189" s="4" t="s">
        <v>628</v>
      </c>
      <c r="K2189" s="4" t="s">
        <v>642</v>
      </c>
    </row>
    <row r="2190" spans="2:13" s="3" customFormat="1" x14ac:dyDescent="0.3">
      <c r="B2190" s="44">
        <v>45990</v>
      </c>
      <c r="C2190" s="3" t="s">
        <v>416</v>
      </c>
      <c r="D2190" s="3" t="s">
        <v>504</v>
      </c>
      <c r="E2190" s="42"/>
      <c r="F2190" s="3" t="s">
        <v>479</v>
      </c>
      <c r="G2190" s="3" t="s">
        <v>9</v>
      </c>
      <c r="H2190" s="4">
        <v>3033405</v>
      </c>
      <c r="I2190" s="3" t="s">
        <v>475</v>
      </c>
      <c r="J2190" s="3" t="s">
        <v>15</v>
      </c>
      <c r="K2190" s="4">
        <v>3029601</v>
      </c>
    </row>
    <row r="2191" spans="2:13" s="3" customFormat="1" x14ac:dyDescent="0.3">
      <c r="B2191" s="44">
        <v>45990</v>
      </c>
      <c r="C2191" s="3" t="s">
        <v>416</v>
      </c>
      <c r="D2191" s="3" t="s">
        <v>490</v>
      </c>
      <c r="E2191" s="4"/>
      <c r="F2191" s="3" t="s">
        <v>479</v>
      </c>
      <c r="G2191" s="3" t="s">
        <v>136</v>
      </c>
      <c r="H2191" s="4">
        <v>3360903</v>
      </c>
      <c r="I2191" s="4" t="s">
        <v>691</v>
      </c>
      <c r="J2191" s="4" t="s">
        <v>142</v>
      </c>
      <c r="K2191" s="4">
        <v>3350501</v>
      </c>
    </row>
    <row r="2192" spans="2:13" s="3" customFormat="1" x14ac:dyDescent="0.3">
      <c r="B2192" s="44">
        <v>45990</v>
      </c>
      <c r="C2192" s="3" t="s">
        <v>416</v>
      </c>
      <c r="D2192" s="3" t="s">
        <v>590</v>
      </c>
      <c r="E2192" s="42"/>
      <c r="F2192" s="3" t="s">
        <v>479</v>
      </c>
      <c r="G2192" s="3" t="s">
        <v>284</v>
      </c>
      <c r="H2192" s="4">
        <v>3210904</v>
      </c>
      <c r="I2192" s="4" t="s">
        <v>693</v>
      </c>
      <c r="J2192" s="4" t="s">
        <v>322</v>
      </c>
      <c r="K2192" s="4">
        <v>3207005</v>
      </c>
    </row>
    <row r="2193" spans="2:14" s="3" customFormat="1" x14ac:dyDescent="0.3">
      <c r="B2193" s="44">
        <v>45990</v>
      </c>
      <c r="C2193" s="3" t="s">
        <v>416</v>
      </c>
      <c r="D2193" s="3" t="s">
        <v>490</v>
      </c>
      <c r="E2193" s="4"/>
      <c r="F2193" s="3" t="s">
        <v>479</v>
      </c>
      <c r="G2193" s="3" t="s">
        <v>166</v>
      </c>
      <c r="H2193" s="4">
        <v>3361006</v>
      </c>
      <c r="I2193" s="4" t="s">
        <v>660</v>
      </c>
      <c r="J2193" s="4" t="s">
        <v>137</v>
      </c>
      <c r="K2193" s="4">
        <v>3359908</v>
      </c>
    </row>
    <row r="2194" spans="2:14" s="3" customFormat="1" x14ac:dyDescent="0.3">
      <c r="B2194" s="44">
        <v>45990</v>
      </c>
      <c r="C2194" s="3" t="s">
        <v>416</v>
      </c>
      <c r="D2194" s="3" t="s">
        <v>62</v>
      </c>
      <c r="E2194" s="42"/>
      <c r="F2194" s="3" t="s">
        <v>479</v>
      </c>
      <c r="G2194" s="3" t="s">
        <v>319</v>
      </c>
      <c r="H2194" s="4">
        <v>3210508</v>
      </c>
      <c r="I2194" s="4" t="s">
        <v>679</v>
      </c>
      <c r="J2194" s="4" t="s">
        <v>292</v>
      </c>
      <c r="K2194" s="4">
        <v>3195304</v>
      </c>
    </row>
    <row r="2195" spans="2:14" s="3" customFormat="1" x14ac:dyDescent="0.3">
      <c r="B2195" s="44">
        <v>45990</v>
      </c>
      <c r="C2195" s="3" t="s">
        <v>416</v>
      </c>
      <c r="D2195" s="3" t="s">
        <v>65</v>
      </c>
      <c r="E2195" s="42"/>
      <c r="F2195" s="3" t="s">
        <v>479</v>
      </c>
      <c r="G2195" s="3" t="s">
        <v>320</v>
      </c>
      <c r="H2195" s="4">
        <v>3210602</v>
      </c>
      <c r="I2195" s="4" t="s">
        <v>676</v>
      </c>
      <c r="J2195" s="4" t="s">
        <v>356</v>
      </c>
      <c r="K2195" s="4">
        <v>3208608</v>
      </c>
    </row>
    <row r="2196" spans="2:14" s="3" customFormat="1" x14ac:dyDescent="0.3">
      <c r="B2196" s="44">
        <v>45990</v>
      </c>
      <c r="C2196" s="3" t="s">
        <v>416</v>
      </c>
      <c r="D2196" s="3" t="s">
        <v>69</v>
      </c>
      <c r="E2196" s="42"/>
      <c r="F2196" s="3" t="s">
        <v>479</v>
      </c>
      <c r="G2196" s="3" t="s">
        <v>392</v>
      </c>
      <c r="H2196" s="53">
        <v>3210706</v>
      </c>
      <c r="I2196" s="3" t="s">
        <v>471</v>
      </c>
      <c r="J2196" s="3" t="s">
        <v>364</v>
      </c>
      <c r="K2196" s="4">
        <v>3197000</v>
      </c>
    </row>
    <row r="2197" spans="2:14" s="3" customFormat="1" x14ac:dyDescent="0.3">
      <c r="B2197" s="44">
        <v>45990</v>
      </c>
      <c r="C2197" s="3" t="s">
        <v>416</v>
      </c>
      <c r="D2197" s="3" t="s">
        <v>63</v>
      </c>
      <c r="E2197" s="42"/>
      <c r="F2197" s="3" t="s">
        <v>658</v>
      </c>
      <c r="G2197" s="3" t="s">
        <v>366</v>
      </c>
      <c r="H2197" s="74">
        <v>3210404</v>
      </c>
      <c r="I2197" s="3" t="s">
        <v>684</v>
      </c>
      <c r="J2197" s="3" t="s">
        <v>369</v>
      </c>
      <c r="K2197" s="74">
        <v>3202708</v>
      </c>
    </row>
    <row r="2198" spans="2:14" s="3" customFormat="1" x14ac:dyDescent="0.3">
      <c r="B2198" s="44">
        <v>45990</v>
      </c>
      <c r="C2198" s="3" t="s">
        <v>416</v>
      </c>
      <c r="D2198" s="3" t="s">
        <v>486</v>
      </c>
      <c r="E2198" s="42"/>
      <c r="F2198" s="3" t="s">
        <v>480</v>
      </c>
      <c r="G2198" s="3" t="s">
        <v>406</v>
      </c>
      <c r="H2198" s="4">
        <v>3124501</v>
      </c>
      <c r="I2198" s="3" t="s">
        <v>676</v>
      </c>
      <c r="J2198" s="3" t="s">
        <v>109</v>
      </c>
      <c r="K2198" s="4">
        <v>3067701</v>
      </c>
    </row>
    <row r="2199" spans="2:14" s="3" customFormat="1" x14ac:dyDescent="0.3">
      <c r="B2199" s="44">
        <v>45990</v>
      </c>
      <c r="C2199" s="3" t="s">
        <v>416</v>
      </c>
      <c r="D2199" s="3" t="s">
        <v>493</v>
      </c>
      <c r="E2199" s="42"/>
      <c r="F2199" s="3" t="s">
        <v>480</v>
      </c>
      <c r="G2199" s="3" t="s">
        <v>423</v>
      </c>
      <c r="H2199" s="4">
        <v>3360403</v>
      </c>
      <c r="I2199" s="4" t="s">
        <v>476</v>
      </c>
      <c r="J2199" s="4" t="s">
        <v>169</v>
      </c>
      <c r="K2199" s="4">
        <v>3356609</v>
      </c>
    </row>
    <row r="2200" spans="2:14" s="3" customFormat="1" x14ac:dyDescent="0.3">
      <c r="B2200" s="44">
        <v>45990</v>
      </c>
      <c r="C2200" s="3" t="s">
        <v>416</v>
      </c>
      <c r="D2200" s="3" t="s">
        <v>487</v>
      </c>
      <c r="E2200" s="4"/>
      <c r="F2200" s="4" t="s">
        <v>657</v>
      </c>
      <c r="G2200" s="4" t="s">
        <v>107</v>
      </c>
      <c r="H2200" s="4">
        <v>3068408</v>
      </c>
      <c r="I2200" s="3" t="s">
        <v>647</v>
      </c>
      <c r="J2200" s="3" t="s">
        <v>116</v>
      </c>
      <c r="K2200" s="4">
        <v>3346009</v>
      </c>
    </row>
    <row r="2201" spans="2:14" s="3" customFormat="1" x14ac:dyDescent="0.3">
      <c r="B2201" s="44">
        <v>45990</v>
      </c>
      <c r="C2201" s="3" t="s">
        <v>416</v>
      </c>
      <c r="D2201" s="3" t="s">
        <v>493</v>
      </c>
      <c r="E2201" s="42"/>
      <c r="F2201" s="3" t="s">
        <v>657</v>
      </c>
      <c r="G2201" s="3" t="s">
        <v>167</v>
      </c>
      <c r="H2201" s="4">
        <v>3359804</v>
      </c>
      <c r="I2201" s="4" t="s">
        <v>471</v>
      </c>
      <c r="J2201" s="4" t="s">
        <v>217</v>
      </c>
      <c r="K2201" s="4">
        <v>3348309</v>
      </c>
    </row>
    <row r="2202" spans="2:14" s="3" customFormat="1" x14ac:dyDescent="0.3">
      <c r="B2202" s="44">
        <v>45990</v>
      </c>
      <c r="C2202" s="3" t="s">
        <v>416</v>
      </c>
      <c r="D2202" s="3" t="s">
        <v>501</v>
      </c>
      <c r="E2202" s="42"/>
      <c r="F2202" s="3" t="s">
        <v>722</v>
      </c>
      <c r="G2202" s="3" t="s">
        <v>600</v>
      </c>
      <c r="H2202" s="4" t="s">
        <v>556</v>
      </c>
      <c r="I2202" s="3" t="s">
        <v>689</v>
      </c>
      <c r="J2202" s="3" t="s">
        <v>581</v>
      </c>
      <c r="K2202" s="4">
        <v>4022804</v>
      </c>
      <c r="L2202" s="4"/>
      <c r="M2202" s="3" t="s">
        <v>461</v>
      </c>
      <c r="N2202" s="3" t="s">
        <v>581</v>
      </c>
    </row>
    <row r="2203" spans="2:14" s="3" customFormat="1" x14ac:dyDescent="0.3">
      <c r="B2203" s="44">
        <v>45990</v>
      </c>
      <c r="C2203" s="3" t="s">
        <v>416</v>
      </c>
      <c r="D2203" s="3" t="s">
        <v>60</v>
      </c>
      <c r="E2203" s="42"/>
      <c r="F2203" s="3" t="s">
        <v>667</v>
      </c>
      <c r="G2203" s="3" t="s">
        <v>444</v>
      </c>
      <c r="H2203" s="4">
        <v>3209909</v>
      </c>
      <c r="I2203" s="3" t="s">
        <v>695</v>
      </c>
      <c r="J2203" s="3" t="s">
        <v>296</v>
      </c>
      <c r="K2203" s="4">
        <v>3203905</v>
      </c>
    </row>
    <row r="2204" spans="2:14" s="3" customFormat="1" x14ac:dyDescent="0.3">
      <c r="B2204" s="44">
        <v>45990</v>
      </c>
      <c r="C2204" s="3" t="s">
        <v>416</v>
      </c>
      <c r="D2204" s="3" t="s">
        <v>60</v>
      </c>
      <c r="E2204" s="42"/>
      <c r="F2204" s="3" t="s">
        <v>667</v>
      </c>
      <c r="G2204" s="3" t="s">
        <v>294</v>
      </c>
      <c r="H2204" s="4">
        <v>3209409</v>
      </c>
      <c r="I2204" s="3" t="s">
        <v>473</v>
      </c>
      <c r="J2204" s="3" t="s">
        <v>445</v>
      </c>
      <c r="K2204" s="4">
        <v>3204102</v>
      </c>
    </row>
    <row r="2205" spans="2:14" s="3" customFormat="1" x14ac:dyDescent="0.3">
      <c r="B2205" s="44">
        <v>45990</v>
      </c>
      <c r="C2205" s="3" t="s">
        <v>416</v>
      </c>
      <c r="D2205" s="3" t="s">
        <v>56</v>
      </c>
      <c r="E2205" s="42"/>
      <c r="F2205" s="73" t="s">
        <v>671</v>
      </c>
      <c r="G2205" s="73" t="s">
        <v>247</v>
      </c>
      <c r="H2205" s="4">
        <v>3034102</v>
      </c>
      <c r="I2205" s="4" t="s">
        <v>472</v>
      </c>
      <c r="J2205" s="4" t="s">
        <v>248</v>
      </c>
      <c r="K2205" s="4">
        <v>3207609</v>
      </c>
    </row>
    <row r="2206" spans="2:14" s="3" customFormat="1" x14ac:dyDescent="0.3">
      <c r="B2206" s="44">
        <v>45990</v>
      </c>
      <c r="C2206" s="3" t="s">
        <v>416</v>
      </c>
      <c r="D2206" s="3" t="s">
        <v>486</v>
      </c>
      <c r="E2206" s="42"/>
      <c r="F2206" s="3" t="s">
        <v>671</v>
      </c>
      <c r="G2206" s="3" t="s">
        <v>108</v>
      </c>
      <c r="H2206" s="4">
        <v>3359700</v>
      </c>
      <c r="I2206" s="4" t="s">
        <v>680</v>
      </c>
      <c r="J2206" s="4" t="s">
        <v>98</v>
      </c>
      <c r="K2206" s="4">
        <v>3358909</v>
      </c>
    </row>
    <row r="2207" spans="2:14" s="3" customFormat="1" x14ac:dyDescent="0.3">
      <c r="B2207" s="44">
        <v>45990</v>
      </c>
      <c r="C2207" s="3" t="s">
        <v>416</v>
      </c>
      <c r="D2207" s="3" t="s">
        <v>590</v>
      </c>
      <c r="E2207" s="42"/>
      <c r="F2207" s="3" t="s">
        <v>671</v>
      </c>
      <c r="G2207" s="3" t="s">
        <v>311</v>
      </c>
      <c r="H2207" s="4">
        <v>3209003</v>
      </c>
      <c r="I2207" s="4" t="s">
        <v>657</v>
      </c>
      <c r="J2207" s="4" t="s">
        <v>321</v>
      </c>
      <c r="K2207" s="4">
        <v>3209607</v>
      </c>
    </row>
    <row r="2208" spans="2:14" s="3" customFormat="1" x14ac:dyDescent="0.3">
      <c r="B2208" s="44">
        <v>45990</v>
      </c>
      <c r="C2208" s="3" t="s">
        <v>416</v>
      </c>
      <c r="D2208" s="3" t="s">
        <v>496</v>
      </c>
      <c r="E2208" s="42"/>
      <c r="F2208" s="3" t="s">
        <v>671</v>
      </c>
      <c r="G2208" s="3" t="s">
        <v>203</v>
      </c>
      <c r="H2208" s="4">
        <v>3359304</v>
      </c>
      <c r="I2208" s="4" t="s">
        <v>474</v>
      </c>
      <c r="J2208" s="4" t="s">
        <v>426</v>
      </c>
      <c r="K2208" s="4">
        <v>3352603</v>
      </c>
    </row>
    <row r="2209" spans="2:14" s="3" customFormat="1" x14ac:dyDescent="0.3">
      <c r="B2209" s="44">
        <v>45990</v>
      </c>
      <c r="C2209" s="3" t="s">
        <v>416</v>
      </c>
      <c r="D2209" s="3" t="s">
        <v>496</v>
      </c>
      <c r="E2209" s="42"/>
      <c r="F2209" s="3" t="s">
        <v>671</v>
      </c>
      <c r="G2209" s="3" t="s">
        <v>227</v>
      </c>
      <c r="H2209" s="4">
        <v>3359408</v>
      </c>
      <c r="I2209" s="3" t="s">
        <v>652</v>
      </c>
      <c r="J2209" s="3" t="s">
        <v>229</v>
      </c>
      <c r="K2209" s="4">
        <v>3358409</v>
      </c>
    </row>
    <row r="2210" spans="2:14" s="3" customFormat="1" x14ac:dyDescent="0.3">
      <c r="B2210" s="44">
        <v>45990</v>
      </c>
      <c r="C2210" s="3" t="s">
        <v>416</v>
      </c>
      <c r="D2210" s="3" t="s">
        <v>499</v>
      </c>
      <c r="E2210" s="42"/>
      <c r="F2210" s="3" t="s">
        <v>671</v>
      </c>
      <c r="G2210" s="3" t="s">
        <v>228</v>
      </c>
      <c r="H2210" s="53">
        <v>3358607</v>
      </c>
      <c r="I2210" s="3" t="s">
        <v>651</v>
      </c>
      <c r="J2210" s="3" t="s">
        <v>226</v>
      </c>
      <c r="K2210" s="4">
        <v>3361902</v>
      </c>
      <c r="M2210" s="4"/>
      <c r="N2210" s="4"/>
    </row>
    <row r="2211" spans="2:14" s="3" customFormat="1" x14ac:dyDescent="0.3">
      <c r="B2211" s="44">
        <v>45990</v>
      </c>
      <c r="C2211" s="3" t="s">
        <v>416</v>
      </c>
      <c r="D2211" s="3" t="s">
        <v>58</v>
      </c>
      <c r="E2211" s="42"/>
      <c r="F2211" s="3" t="s">
        <v>659</v>
      </c>
      <c r="G2211" s="3" t="s">
        <v>265</v>
      </c>
      <c r="H2211" s="4">
        <v>3208702</v>
      </c>
      <c r="I2211" s="3" t="s">
        <v>704</v>
      </c>
      <c r="J2211" s="3" t="s">
        <v>297</v>
      </c>
      <c r="K2211" s="32">
        <v>3204008</v>
      </c>
    </row>
    <row r="2212" spans="2:14" s="3" customFormat="1" x14ac:dyDescent="0.3">
      <c r="B2212" s="44">
        <v>45990</v>
      </c>
      <c r="C2212" s="3" t="s">
        <v>416</v>
      </c>
      <c r="D2212" s="3" t="s">
        <v>61</v>
      </c>
      <c r="E2212" s="42"/>
      <c r="F2212" s="106" t="s">
        <v>659</v>
      </c>
      <c r="G2212" s="106" t="s">
        <v>367</v>
      </c>
      <c r="H2212" s="106">
        <v>3208806</v>
      </c>
      <c r="I2212" s="4" t="s">
        <v>645</v>
      </c>
      <c r="J2212" s="4" t="s">
        <v>309</v>
      </c>
      <c r="K2212" s="4">
        <v>3082104</v>
      </c>
    </row>
    <row r="2213" spans="2:14" s="3" customFormat="1" x14ac:dyDescent="0.3">
      <c r="B2213" s="44">
        <v>45990</v>
      </c>
      <c r="C2213" s="3" t="s">
        <v>416</v>
      </c>
      <c r="D2213" s="4" t="s">
        <v>614</v>
      </c>
      <c r="E2213" s="42"/>
      <c r="F2213" s="3" t="s">
        <v>674</v>
      </c>
      <c r="G2213" s="3" t="s">
        <v>346</v>
      </c>
      <c r="H2213" s="4">
        <v>3208900</v>
      </c>
      <c r="I2213" s="4" t="s">
        <v>710</v>
      </c>
      <c r="J2213" s="4" t="s">
        <v>385</v>
      </c>
      <c r="K2213" s="4">
        <v>3199602</v>
      </c>
    </row>
    <row r="2214" spans="2:14" s="3" customFormat="1" x14ac:dyDescent="0.3">
      <c r="B2214" s="44">
        <v>45990</v>
      </c>
      <c r="C2214" s="3" t="s">
        <v>416</v>
      </c>
      <c r="D2214" s="3" t="s">
        <v>590</v>
      </c>
      <c r="E2214" s="42"/>
      <c r="F2214" s="4" t="s">
        <v>676</v>
      </c>
      <c r="G2214" s="4" t="s">
        <v>285</v>
      </c>
      <c r="H2214" s="4">
        <v>3208504</v>
      </c>
      <c r="I2214" s="4" t="s">
        <v>474</v>
      </c>
      <c r="J2214" s="4" t="s">
        <v>317</v>
      </c>
      <c r="K2214" s="4">
        <v>3200700</v>
      </c>
    </row>
    <row r="2215" spans="2:14" s="3" customFormat="1" x14ac:dyDescent="0.3">
      <c r="B2215" s="44">
        <v>45990</v>
      </c>
      <c r="C2215" s="3" t="s">
        <v>416</v>
      </c>
      <c r="D2215" s="3" t="s">
        <v>62</v>
      </c>
      <c r="E2215" s="42"/>
      <c r="F2215" s="4" t="s">
        <v>676</v>
      </c>
      <c r="G2215" s="4" t="s">
        <v>286</v>
      </c>
      <c r="H2215" s="4">
        <v>3019605</v>
      </c>
      <c r="I2215" s="4" t="s">
        <v>476</v>
      </c>
      <c r="J2215" s="4" t="s">
        <v>287</v>
      </c>
      <c r="K2215" s="4">
        <v>3206600</v>
      </c>
    </row>
    <row r="2216" spans="2:14" s="3" customFormat="1" x14ac:dyDescent="0.3">
      <c r="B2216" s="44">
        <v>45990</v>
      </c>
      <c r="C2216" s="3" t="s">
        <v>416</v>
      </c>
      <c r="D2216" s="3" t="s">
        <v>500</v>
      </c>
      <c r="E2216" s="42"/>
      <c r="F2216" s="3" t="s">
        <v>676</v>
      </c>
      <c r="G2216" s="3" t="s">
        <v>577</v>
      </c>
      <c r="H2216" s="4" t="s">
        <v>556</v>
      </c>
      <c r="I2216" s="4" t="s">
        <v>657</v>
      </c>
      <c r="J2216" s="4" t="s">
        <v>574</v>
      </c>
      <c r="K2216" s="4">
        <v>3359606</v>
      </c>
    </row>
    <row r="2217" spans="2:14" s="3" customFormat="1" x14ac:dyDescent="0.3">
      <c r="B2217" s="44">
        <v>45990</v>
      </c>
      <c r="C2217" s="3" t="s">
        <v>416</v>
      </c>
      <c r="D2217" s="3" t="s">
        <v>61</v>
      </c>
      <c r="E2217" s="42"/>
      <c r="F2217" s="73" t="s">
        <v>680</v>
      </c>
      <c r="G2217" s="73" t="s">
        <v>302</v>
      </c>
      <c r="H2217" s="4">
        <v>3208400</v>
      </c>
      <c r="I2217" s="4" t="s">
        <v>477</v>
      </c>
      <c r="J2217" s="4" t="s">
        <v>332</v>
      </c>
      <c r="K2217" s="4">
        <v>3199206</v>
      </c>
    </row>
    <row r="2218" spans="2:14" s="3" customFormat="1" x14ac:dyDescent="0.3">
      <c r="B2218" s="44">
        <v>45990</v>
      </c>
      <c r="C2218" s="3" t="s">
        <v>416</v>
      </c>
      <c r="D2218" s="3" t="s">
        <v>63</v>
      </c>
      <c r="E2218" s="42"/>
      <c r="F2218" s="3" t="s">
        <v>680</v>
      </c>
      <c r="G2218" s="3" t="s">
        <v>329</v>
      </c>
      <c r="H2218" s="74">
        <v>3208108</v>
      </c>
      <c r="I2218" s="104" t="s">
        <v>712</v>
      </c>
      <c r="J2218" s="104" t="s">
        <v>334</v>
      </c>
      <c r="K2218" s="74">
        <v>3198009</v>
      </c>
    </row>
    <row r="2219" spans="2:14" s="3" customFormat="1" x14ac:dyDescent="0.3">
      <c r="B2219" s="44">
        <v>45990</v>
      </c>
      <c r="C2219" s="3" t="s">
        <v>416</v>
      </c>
      <c r="D2219" s="3" t="s">
        <v>59</v>
      </c>
      <c r="E2219" s="42"/>
      <c r="F2219" s="3" t="s">
        <v>652</v>
      </c>
      <c r="G2219" s="3" t="s">
        <v>313</v>
      </c>
      <c r="H2219" s="4">
        <v>3207901</v>
      </c>
      <c r="I2219" s="3" t="s">
        <v>646</v>
      </c>
      <c r="J2219" s="3" t="s">
        <v>275</v>
      </c>
      <c r="K2219" s="4">
        <v>3202406</v>
      </c>
    </row>
    <row r="2220" spans="2:14" s="3" customFormat="1" x14ac:dyDescent="0.3">
      <c r="B2220" s="44">
        <v>45990</v>
      </c>
      <c r="C2220" s="3" t="s">
        <v>416</v>
      </c>
      <c r="D2220" s="3" t="s">
        <v>68</v>
      </c>
      <c r="E2220" s="42"/>
      <c r="F2220" s="3" t="s">
        <v>652</v>
      </c>
      <c r="G2220" s="3" t="s">
        <v>625</v>
      </c>
      <c r="H2220" s="4">
        <v>3899803</v>
      </c>
      <c r="I2220" s="4" t="s">
        <v>686</v>
      </c>
      <c r="J2220" s="4" t="s">
        <v>626</v>
      </c>
      <c r="K2220" s="4" t="s">
        <v>637</v>
      </c>
    </row>
    <row r="2221" spans="2:14" s="3" customFormat="1" x14ac:dyDescent="0.3">
      <c r="B2221" s="44">
        <v>45990</v>
      </c>
      <c r="C2221" s="3" t="s">
        <v>416</v>
      </c>
      <c r="D2221" s="3" t="s">
        <v>499</v>
      </c>
      <c r="E2221" s="42"/>
      <c r="F2221" s="3" t="s">
        <v>652</v>
      </c>
      <c r="G2221" s="3" t="s">
        <v>573</v>
      </c>
      <c r="H2221" s="4">
        <v>3818400</v>
      </c>
      <c r="I2221" s="3" t="s">
        <v>710</v>
      </c>
      <c r="J2221" s="3" t="s">
        <v>230</v>
      </c>
      <c r="K2221" s="4">
        <v>3900609</v>
      </c>
      <c r="M2221" s="4"/>
    </row>
    <row r="2222" spans="2:14" s="3" customFormat="1" x14ac:dyDescent="0.3">
      <c r="B2222" s="44">
        <v>45990</v>
      </c>
      <c r="C2222" s="3" t="s">
        <v>416</v>
      </c>
      <c r="D2222" s="3" t="s">
        <v>504</v>
      </c>
      <c r="E2222" s="42"/>
      <c r="F2222" s="3" t="s">
        <v>662</v>
      </c>
      <c r="G2222" s="3" t="s">
        <v>99</v>
      </c>
      <c r="H2222" s="4">
        <v>3125604</v>
      </c>
      <c r="I2222" s="4" t="s">
        <v>476</v>
      </c>
      <c r="J2222" s="4" t="s">
        <v>100</v>
      </c>
      <c r="K2222" s="4">
        <v>3125302</v>
      </c>
    </row>
    <row r="2223" spans="2:14" s="3" customFormat="1" x14ac:dyDescent="0.3">
      <c r="B2223" s="44">
        <v>45990</v>
      </c>
      <c r="C2223" s="3" t="s">
        <v>416</v>
      </c>
      <c r="D2223" s="3" t="s">
        <v>59</v>
      </c>
      <c r="E2223" s="42"/>
      <c r="F2223" s="3" t="s">
        <v>662</v>
      </c>
      <c r="G2223" s="3" t="s">
        <v>314</v>
      </c>
      <c r="H2223" s="4">
        <v>3208004</v>
      </c>
      <c r="I2223" s="4" t="s">
        <v>479</v>
      </c>
      <c r="J2223" s="4" t="s">
        <v>273</v>
      </c>
      <c r="K2223" s="4">
        <v>3211007</v>
      </c>
    </row>
    <row r="2224" spans="2:14" s="3" customFormat="1" x14ac:dyDescent="0.3">
      <c r="B2224" s="44">
        <v>45990</v>
      </c>
      <c r="C2224" s="3" t="s">
        <v>416</v>
      </c>
      <c r="D2224" s="3" t="s">
        <v>64</v>
      </c>
      <c r="E2224" s="42">
        <v>4370907</v>
      </c>
      <c r="F2224" s="3" t="s">
        <v>662</v>
      </c>
      <c r="G2224" s="3" t="s">
        <v>372</v>
      </c>
      <c r="H2224" s="4">
        <v>3207703</v>
      </c>
      <c r="I2224" s="4" t="s">
        <v>717</v>
      </c>
      <c r="J2224" s="4" t="s">
        <v>432</v>
      </c>
      <c r="K2224" s="4">
        <v>3195106</v>
      </c>
    </row>
    <row r="2225" spans="1:43" s="3" customFormat="1" x14ac:dyDescent="0.3">
      <c r="B2225" s="44">
        <v>45990</v>
      </c>
      <c r="C2225" s="3" t="s">
        <v>416</v>
      </c>
      <c r="D2225" s="3" t="s">
        <v>494</v>
      </c>
      <c r="E2225" s="42"/>
      <c r="F2225" s="3" t="s">
        <v>662</v>
      </c>
      <c r="G2225" s="3" t="s">
        <v>218</v>
      </c>
      <c r="H2225" s="4">
        <v>3358201</v>
      </c>
      <c r="I2225" s="4" t="s">
        <v>708</v>
      </c>
      <c r="J2225" s="4" t="s">
        <v>141</v>
      </c>
      <c r="K2225" s="4">
        <v>3125802</v>
      </c>
    </row>
    <row r="2226" spans="1:43" s="3" customFormat="1" x14ac:dyDescent="0.3">
      <c r="B2226" s="44">
        <v>45990</v>
      </c>
      <c r="C2226" s="3" t="s">
        <v>416</v>
      </c>
      <c r="D2226" s="3" t="s">
        <v>67</v>
      </c>
      <c r="E2226" s="42"/>
      <c r="F2226" s="3" t="s">
        <v>662</v>
      </c>
      <c r="G2226" s="3" t="s">
        <v>373</v>
      </c>
      <c r="H2226" s="4">
        <v>3207807</v>
      </c>
      <c r="I2226" s="4" t="s">
        <v>475</v>
      </c>
      <c r="J2226" s="4" t="s">
        <v>336</v>
      </c>
      <c r="K2226" s="4">
        <v>3211809</v>
      </c>
    </row>
    <row r="2227" spans="1:43" s="3" customFormat="1" x14ac:dyDescent="0.3">
      <c r="B2227" s="44">
        <v>45990</v>
      </c>
      <c r="C2227" s="3" t="s">
        <v>416</v>
      </c>
      <c r="D2227" s="3" t="s">
        <v>60</v>
      </c>
      <c r="E2227" s="42"/>
      <c r="F2227" s="3" t="s">
        <v>707</v>
      </c>
      <c r="G2227" s="3" t="s">
        <v>295</v>
      </c>
      <c r="H2227" s="4">
        <v>3207505</v>
      </c>
      <c r="I2227" s="3" t="s">
        <v>721</v>
      </c>
      <c r="J2227" s="3" t="s">
        <v>300</v>
      </c>
      <c r="K2227" s="32">
        <v>3194805</v>
      </c>
    </row>
    <row r="2228" spans="1:43" s="3" customFormat="1" x14ac:dyDescent="0.3">
      <c r="B2228" s="44">
        <v>45990</v>
      </c>
      <c r="C2228" s="3" t="s">
        <v>416</v>
      </c>
      <c r="D2228" s="3" t="s">
        <v>504</v>
      </c>
      <c r="E2228" s="42"/>
      <c r="F2228" s="3" t="s">
        <v>472</v>
      </c>
      <c r="G2228" s="3" t="s">
        <v>11</v>
      </c>
      <c r="H2228" s="4">
        <v>3034800</v>
      </c>
      <c r="I2228" s="4" t="s">
        <v>666</v>
      </c>
      <c r="J2228" s="4" t="s">
        <v>12</v>
      </c>
      <c r="K2228" s="4">
        <v>3034206</v>
      </c>
    </row>
    <row r="2229" spans="1:43" s="3" customFormat="1" x14ac:dyDescent="0.3">
      <c r="B2229" s="44">
        <v>45990</v>
      </c>
      <c r="C2229" s="3" t="s">
        <v>416</v>
      </c>
      <c r="D2229" s="3" t="s">
        <v>490</v>
      </c>
      <c r="E2229" s="4"/>
      <c r="F2229" s="3" t="s">
        <v>472</v>
      </c>
      <c r="G2229" s="3" t="s">
        <v>140</v>
      </c>
      <c r="H2229" s="4">
        <v>3357900</v>
      </c>
      <c r="I2229" s="4" t="s">
        <v>654</v>
      </c>
      <c r="J2229" s="4" t="s">
        <v>143</v>
      </c>
      <c r="K2229" s="4">
        <v>3349704</v>
      </c>
    </row>
    <row r="2230" spans="1:43" s="3" customFormat="1" x14ac:dyDescent="0.3">
      <c r="B2230" s="44">
        <v>45990</v>
      </c>
      <c r="C2230" s="3" t="s">
        <v>416</v>
      </c>
      <c r="D2230" s="3" t="s">
        <v>67</v>
      </c>
      <c r="E2230" s="42"/>
      <c r="F2230" s="3" t="s">
        <v>472</v>
      </c>
      <c r="G2230" s="3" t="s">
        <v>338</v>
      </c>
      <c r="H2230" s="4">
        <v>3207307</v>
      </c>
      <c r="I2230" s="4" t="s">
        <v>570</v>
      </c>
      <c r="J2230" s="4" t="s">
        <v>570</v>
      </c>
      <c r="K2230" s="4" t="s">
        <v>556</v>
      </c>
    </row>
    <row r="2231" spans="1:43" s="3" customFormat="1" x14ac:dyDescent="0.3">
      <c r="B2231" s="44">
        <v>45990</v>
      </c>
      <c r="C2231" s="3" t="s">
        <v>416</v>
      </c>
      <c r="D2231" s="3" t="s">
        <v>67</v>
      </c>
      <c r="E2231" s="42"/>
      <c r="F2231" s="3" t="s">
        <v>472</v>
      </c>
      <c r="G2231" s="3" t="s">
        <v>374</v>
      </c>
      <c r="H2231" s="4">
        <v>3207203</v>
      </c>
      <c r="I2231" s="4" t="s">
        <v>715</v>
      </c>
      <c r="J2231" s="4" t="s">
        <v>377</v>
      </c>
      <c r="K2231" s="4">
        <v>3200106</v>
      </c>
    </row>
    <row r="2232" spans="1:43" s="3" customFormat="1" x14ac:dyDescent="0.3">
      <c r="B2232" s="44">
        <v>45990</v>
      </c>
      <c r="C2232" s="3" t="s">
        <v>416</v>
      </c>
      <c r="D2232" s="3" t="s">
        <v>70</v>
      </c>
      <c r="E2232" s="42"/>
      <c r="F2232" s="3" t="s">
        <v>472</v>
      </c>
      <c r="G2232" s="3" t="s">
        <v>400</v>
      </c>
      <c r="H2232" s="4">
        <v>3818608</v>
      </c>
      <c r="I2232" s="3" t="s">
        <v>475</v>
      </c>
      <c r="J2232" s="3" t="s">
        <v>370</v>
      </c>
      <c r="K2232" s="4">
        <v>3211903</v>
      </c>
    </row>
    <row r="2233" spans="1:43" s="3" customFormat="1" x14ac:dyDescent="0.3">
      <c r="B2233" s="44">
        <v>45990</v>
      </c>
      <c r="C2233" s="3" t="s">
        <v>416</v>
      </c>
      <c r="D2233" s="3" t="s">
        <v>499</v>
      </c>
      <c r="E2233" s="42"/>
      <c r="F2233" s="3" t="s">
        <v>665</v>
      </c>
      <c r="G2233" s="3" t="s">
        <v>461</v>
      </c>
      <c r="H2233" s="4">
        <v>3818702</v>
      </c>
      <c r="I2233" s="3" t="s">
        <v>723</v>
      </c>
      <c r="J2233" s="3" t="s">
        <v>599</v>
      </c>
      <c r="K2233" s="4" t="s">
        <v>556</v>
      </c>
      <c r="M2233" s="3" t="s">
        <v>461</v>
      </c>
      <c r="N2233" s="3" t="s">
        <v>581</v>
      </c>
    </row>
    <row r="2234" spans="1:43" s="3" customFormat="1" x14ac:dyDescent="0.3">
      <c r="B2234" s="44">
        <v>45990</v>
      </c>
      <c r="C2234" s="3" t="s">
        <v>416</v>
      </c>
      <c r="D2234" s="3" t="s">
        <v>68</v>
      </c>
      <c r="E2234" s="42"/>
      <c r="F2234" s="3" t="s">
        <v>665</v>
      </c>
      <c r="G2234" s="3" t="s">
        <v>627</v>
      </c>
      <c r="H2234" s="4" t="s">
        <v>638</v>
      </c>
      <c r="I2234" s="15" t="s">
        <v>664</v>
      </c>
      <c r="J2234" s="15" t="s">
        <v>388</v>
      </c>
      <c r="K2234" s="74">
        <v>3165306</v>
      </c>
    </row>
    <row r="2235" spans="1:43" s="3" customFormat="1" x14ac:dyDescent="0.3">
      <c r="B2235" s="44">
        <v>45990</v>
      </c>
      <c r="C2235" s="3" t="s">
        <v>416</v>
      </c>
      <c r="D2235" s="3" t="s">
        <v>57</v>
      </c>
      <c r="E2235" s="42"/>
      <c r="F2235" s="3" t="s">
        <v>693</v>
      </c>
      <c r="G2235" s="3" t="s">
        <v>258</v>
      </c>
      <c r="H2235" s="4">
        <v>3207109</v>
      </c>
      <c r="I2235" s="4" t="s">
        <v>680</v>
      </c>
      <c r="J2235" s="4" t="s">
        <v>266</v>
      </c>
      <c r="K2235" s="4">
        <v>3208306</v>
      </c>
    </row>
    <row r="2236" spans="1:43" s="3" customFormat="1" x14ac:dyDescent="0.3">
      <c r="A2236" s="4"/>
      <c r="B2236" s="100">
        <v>45990</v>
      </c>
      <c r="C2236" s="98" t="s">
        <v>553</v>
      </c>
      <c r="D2236" s="4" t="s">
        <v>508</v>
      </c>
      <c r="E2236" s="4"/>
      <c r="F2236" s="73" t="s">
        <v>476</v>
      </c>
      <c r="G2236" s="73" t="s">
        <v>476</v>
      </c>
      <c r="H2236" s="73"/>
      <c r="I2236" s="73" t="s">
        <v>510</v>
      </c>
      <c r="J2236" s="73" t="s">
        <v>510</v>
      </c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</row>
    <row r="2237" spans="1:43" s="3" customFormat="1" x14ac:dyDescent="0.3">
      <c r="B2237" s="44">
        <v>45990</v>
      </c>
      <c r="C2237" s="3" t="s">
        <v>416</v>
      </c>
      <c r="D2237" s="3" t="s">
        <v>489</v>
      </c>
      <c r="E2237" s="4"/>
      <c r="F2237" s="4" t="s">
        <v>476</v>
      </c>
      <c r="G2237" s="4" t="s">
        <v>128</v>
      </c>
      <c r="H2237" s="4">
        <v>3357202</v>
      </c>
      <c r="I2237" s="3" t="s">
        <v>688</v>
      </c>
      <c r="J2237" s="3" t="s">
        <v>10</v>
      </c>
      <c r="K2237" s="4">
        <v>3036204</v>
      </c>
    </row>
    <row r="2238" spans="1:43" s="3" customFormat="1" x14ac:dyDescent="0.3">
      <c r="B2238" s="44">
        <v>45990</v>
      </c>
      <c r="C2238" s="3" t="s">
        <v>416</v>
      </c>
      <c r="D2238" s="3" t="s">
        <v>59</v>
      </c>
      <c r="E2238" s="42"/>
      <c r="F2238" s="3" t="s">
        <v>476</v>
      </c>
      <c r="G2238" s="3" t="s">
        <v>274</v>
      </c>
      <c r="H2238" s="4">
        <v>3206902</v>
      </c>
      <c r="I2238" s="4" t="s">
        <v>687</v>
      </c>
      <c r="J2238" s="4" t="s">
        <v>283</v>
      </c>
      <c r="K2238" s="4">
        <v>3194107</v>
      </c>
    </row>
    <row r="2239" spans="1:43" s="3" customFormat="1" x14ac:dyDescent="0.3">
      <c r="B2239" s="44">
        <v>45990</v>
      </c>
      <c r="C2239" s="3" t="s">
        <v>416</v>
      </c>
      <c r="D2239" s="3" t="s">
        <v>490</v>
      </c>
      <c r="E2239" s="4"/>
      <c r="F2239" s="3" t="s">
        <v>476</v>
      </c>
      <c r="G2239" s="3" t="s">
        <v>168</v>
      </c>
      <c r="H2239" s="4">
        <v>3356505</v>
      </c>
      <c r="I2239" s="4" t="s">
        <v>676</v>
      </c>
      <c r="J2239" s="4" t="s">
        <v>138</v>
      </c>
      <c r="K2239" s="4">
        <v>3067805</v>
      </c>
    </row>
    <row r="2240" spans="1:43" s="3" customFormat="1" x14ac:dyDescent="0.3">
      <c r="B2240" s="44">
        <v>45990</v>
      </c>
      <c r="C2240" s="3" t="s">
        <v>416</v>
      </c>
      <c r="D2240" s="3" t="s">
        <v>65</v>
      </c>
      <c r="E2240" s="42"/>
      <c r="F2240" s="3" t="s">
        <v>476</v>
      </c>
      <c r="G2240" s="3" t="s">
        <v>358</v>
      </c>
      <c r="H2240" s="4">
        <v>3206402</v>
      </c>
      <c r="I2240" s="4" t="s">
        <v>653</v>
      </c>
      <c r="J2240" s="4" t="s">
        <v>451</v>
      </c>
      <c r="K2240" s="4">
        <v>3211309</v>
      </c>
    </row>
    <row r="2241" spans="1:43" s="3" customFormat="1" x14ac:dyDescent="0.3">
      <c r="B2241" s="44">
        <v>45990</v>
      </c>
      <c r="C2241" s="3" t="s">
        <v>416</v>
      </c>
      <c r="D2241" s="3" t="s">
        <v>497</v>
      </c>
      <c r="E2241" s="42"/>
      <c r="F2241" s="17" t="s">
        <v>476</v>
      </c>
      <c r="G2241" s="17" t="s">
        <v>234</v>
      </c>
      <c r="H2241" s="74">
        <v>3356807</v>
      </c>
      <c r="I2241" s="17" t="s">
        <v>660</v>
      </c>
      <c r="J2241" s="17" t="s">
        <v>212</v>
      </c>
      <c r="K2241" s="74">
        <v>3360007</v>
      </c>
    </row>
    <row r="2242" spans="1:43" s="3" customFormat="1" x14ac:dyDescent="0.3">
      <c r="B2242" s="44">
        <v>45990</v>
      </c>
      <c r="C2242" s="3" t="s">
        <v>416</v>
      </c>
      <c r="D2242" s="3" t="s">
        <v>500</v>
      </c>
      <c r="E2242" s="42"/>
      <c r="F2242" s="3" t="s">
        <v>476</v>
      </c>
      <c r="G2242" s="3" t="s">
        <v>575</v>
      </c>
      <c r="H2242" s="4">
        <v>3900005</v>
      </c>
      <c r="I2242" s="4" t="s">
        <v>663</v>
      </c>
      <c r="J2242" s="4" t="s">
        <v>239</v>
      </c>
      <c r="K2242" s="4">
        <v>3348809</v>
      </c>
    </row>
    <row r="2243" spans="1:43" s="3" customFormat="1" x14ac:dyDescent="0.3">
      <c r="B2243" s="44">
        <v>45990</v>
      </c>
      <c r="C2243" s="3" t="s">
        <v>416</v>
      </c>
      <c r="D2243" s="3" t="s">
        <v>57</v>
      </c>
      <c r="E2243" s="42"/>
      <c r="F2243" s="4" t="s">
        <v>666</v>
      </c>
      <c r="G2243" s="4" t="s">
        <v>259</v>
      </c>
      <c r="H2243" s="4">
        <v>3205809</v>
      </c>
      <c r="I2243" s="32" t="s">
        <v>476</v>
      </c>
      <c r="J2243" s="32" t="s">
        <v>249</v>
      </c>
      <c r="K2243" s="15">
        <v>3038202</v>
      </c>
    </row>
    <row r="2244" spans="1:43" s="3" customFormat="1" x14ac:dyDescent="0.3">
      <c r="B2244" s="44">
        <v>45990</v>
      </c>
      <c r="C2244" s="3" t="s">
        <v>416</v>
      </c>
      <c r="D2244" s="3" t="s">
        <v>610</v>
      </c>
      <c r="E2244" s="42"/>
      <c r="F2244" s="3" t="s">
        <v>666</v>
      </c>
      <c r="G2244" s="3" t="s">
        <v>348</v>
      </c>
      <c r="H2244" s="4">
        <v>3205903</v>
      </c>
      <c r="I2244" s="4" t="s">
        <v>682</v>
      </c>
      <c r="J2244" s="4" t="s">
        <v>611</v>
      </c>
      <c r="K2244" s="4">
        <v>3204800</v>
      </c>
    </row>
    <row r="2245" spans="1:43" s="3" customFormat="1" x14ac:dyDescent="0.3">
      <c r="B2245" s="44">
        <v>45990</v>
      </c>
      <c r="C2245" s="3" t="s">
        <v>416</v>
      </c>
      <c r="D2245" s="3" t="s">
        <v>495</v>
      </c>
      <c r="E2245" s="42"/>
      <c r="F2245" s="3" t="s">
        <v>666</v>
      </c>
      <c r="G2245" s="3" t="s">
        <v>192</v>
      </c>
      <c r="H2245" s="53">
        <v>3357004</v>
      </c>
      <c r="I2245" s="3" t="s">
        <v>712</v>
      </c>
      <c r="J2245" s="3" t="s">
        <v>164</v>
      </c>
      <c r="K2245" s="4">
        <v>3349402</v>
      </c>
    </row>
    <row r="2246" spans="1:43" s="3" customFormat="1" x14ac:dyDescent="0.3">
      <c r="B2246" s="44">
        <v>45990</v>
      </c>
      <c r="C2246" s="3" t="s">
        <v>416</v>
      </c>
      <c r="D2246" s="3" t="s">
        <v>495</v>
      </c>
      <c r="E2246" s="42"/>
      <c r="F2246" s="3" t="s">
        <v>666</v>
      </c>
      <c r="G2246" s="3" t="s">
        <v>193</v>
      </c>
      <c r="H2246" s="4">
        <v>3357108</v>
      </c>
      <c r="I2246" s="3" t="s">
        <v>699</v>
      </c>
      <c r="J2246" s="3" t="s">
        <v>569</v>
      </c>
      <c r="K2246" s="4">
        <v>3125708</v>
      </c>
    </row>
    <row r="2247" spans="1:43" s="3" customFormat="1" x14ac:dyDescent="0.3">
      <c r="A2247" s="4"/>
      <c r="B2247" s="100">
        <v>45990</v>
      </c>
      <c r="C2247" s="98" t="s">
        <v>553</v>
      </c>
      <c r="D2247" s="4" t="s">
        <v>508</v>
      </c>
      <c r="E2247" s="4"/>
      <c r="F2247" s="73" t="s">
        <v>478</v>
      </c>
      <c r="G2247" s="73" t="s">
        <v>478</v>
      </c>
      <c r="H2247" s="73"/>
      <c r="I2247" s="73" t="s">
        <v>554</v>
      </c>
      <c r="J2247" s="73" t="s">
        <v>9</v>
      </c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</row>
    <row r="2248" spans="1:43" s="3" customFormat="1" x14ac:dyDescent="0.3">
      <c r="B2248" s="44">
        <v>45990</v>
      </c>
      <c r="C2248" s="3" t="s">
        <v>416</v>
      </c>
      <c r="D2248" s="3" t="s">
        <v>57</v>
      </c>
      <c r="E2248" s="42"/>
      <c r="F2248" s="73" t="s">
        <v>478</v>
      </c>
      <c r="G2248" s="73" t="s">
        <v>260</v>
      </c>
      <c r="H2248" s="15">
        <v>3205705</v>
      </c>
      <c r="I2248" s="4" t="s">
        <v>647</v>
      </c>
      <c r="J2248" s="4" t="s">
        <v>282</v>
      </c>
      <c r="K2248" s="4">
        <v>3193900</v>
      </c>
    </row>
    <row r="2249" spans="1:43" s="3" customFormat="1" x14ac:dyDescent="0.3">
      <c r="B2249" s="44">
        <v>45990</v>
      </c>
      <c r="C2249" s="3" t="s">
        <v>416</v>
      </c>
      <c r="D2249" s="3" t="s">
        <v>58</v>
      </c>
      <c r="E2249" s="42"/>
      <c r="F2249" s="32" t="s">
        <v>478</v>
      </c>
      <c r="G2249" s="32" t="s">
        <v>267</v>
      </c>
      <c r="H2249" s="15">
        <v>3205205</v>
      </c>
      <c r="I2249" s="3" t="s">
        <v>683</v>
      </c>
      <c r="J2249" s="3" t="s">
        <v>305</v>
      </c>
      <c r="K2249" s="32">
        <v>3202906</v>
      </c>
    </row>
    <row r="2250" spans="1:43" s="3" customFormat="1" x14ac:dyDescent="0.3">
      <c r="B2250" s="44">
        <v>45990</v>
      </c>
      <c r="C2250" s="3" t="s">
        <v>416</v>
      </c>
      <c r="D2250" s="3" t="s">
        <v>61</v>
      </c>
      <c r="E2250" s="42"/>
      <c r="F2250" s="4" t="s">
        <v>478</v>
      </c>
      <c r="G2250" s="4" t="s">
        <v>330</v>
      </c>
      <c r="H2250" s="4">
        <v>3205309</v>
      </c>
      <c r="I2250" s="4" t="s">
        <v>720</v>
      </c>
      <c r="J2250" s="4" t="s">
        <v>335</v>
      </c>
      <c r="K2250" s="4">
        <v>3194201</v>
      </c>
    </row>
    <row r="2251" spans="1:43" s="3" customFormat="1" x14ac:dyDescent="0.3">
      <c r="B2251" s="44">
        <v>45990</v>
      </c>
      <c r="C2251" s="3" t="s">
        <v>416</v>
      </c>
      <c r="D2251" s="3" t="s">
        <v>66</v>
      </c>
      <c r="E2251" s="42"/>
      <c r="F2251" s="3" t="s">
        <v>478</v>
      </c>
      <c r="G2251" s="3" t="s">
        <v>604</v>
      </c>
      <c r="H2251" s="74">
        <v>3205507</v>
      </c>
      <c r="I2251" s="104" t="s">
        <v>659</v>
      </c>
      <c r="J2251" s="104" t="s">
        <v>602</v>
      </c>
      <c r="K2251" s="74">
        <v>4023001</v>
      </c>
    </row>
    <row r="2252" spans="1:43" s="3" customFormat="1" x14ac:dyDescent="0.3">
      <c r="B2252" s="44">
        <v>45990</v>
      </c>
      <c r="C2252" s="3" t="s">
        <v>416</v>
      </c>
      <c r="D2252" s="3" t="s">
        <v>56</v>
      </c>
      <c r="E2252" s="42"/>
      <c r="F2252" s="3" t="s">
        <v>690</v>
      </c>
      <c r="G2252" s="3" t="s">
        <v>250</v>
      </c>
      <c r="H2252" s="4">
        <v>3070100</v>
      </c>
      <c r="I2252" s="4" t="s">
        <v>688</v>
      </c>
      <c r="J2252" s="4" t="s">
        <v>264</v>
      </c>
      <c r="K2252" s="4">
        <v>3055603</v>
      </c>
    </row>
    <row r="2253" spans="1:43" s="3" customFormat="1" x14ac:dyDescent="0.3">
      <c r="B2253" s="44">
        <v>45990</v>
      </c>
      <c r="C2253" s="3" t="s">
        <v>416</v>
      </c>
      <c r="D2253" s="3" t="s">
        <v>61</v>
      </c>
      <c r="E2253" s="42"/>
      <c r="F2253" s="3" t="s">
        <v>690</v>
      </c>
      <c r="G2253" s="3" t="s">
        <v>304</v>
      </c>
      <c r="H2253" s="4">
        <v>3204404</v>
      </c>
      <c r="I2253" s="4" t="s">
        <v>658</v>
      </c>
      <c r="J2253" s="4" t="s">
        <v>301</v>
      </c>
      <c r="K2253" s="4">
        <v>3210300</v>
      </c>
    </row>
    <row r="2254" spans="1:43" s="3" customFormat="1" x14ac:dyDescent="0.3">
      <c r="B2254" s="44">
        <v>45990</v>
      </c>
      <c r="C2254" s="3" t="s">
        <v>416</v>
      </c>
      <c r="D2254" s="3" t="s">
        <v>66</v>
      </c>
      <c r="E2254" s="42"/>
      <c r="F2254" s="3" t="s">
        <v>690</v>
      </c>
      <c r="G2254" s="3" t="s">
        <v>605</v>
      </c>
      <c r="H2254" s="74">
        <v>3900109</v>
      </c>
      <c r="I2254" s="3" t="s">
        <v>696</v>
      </c>
      <c r="J2254" s="3" t="s">
        <v>609</v>
      </c>
      <c r="K2254" s="74">
        <v>3900401</v>
      </c>
    </row>
    <row r="2255" spans="1:43" s="3" customFormat="1" x14ac:dyDescent="0.3">
      <c r="B2255" s="44">
        <v>45990</v>
      </c>
      <c r="C2255" s="3" t="s">
        <v>416</v>
      </c>
      <c r="D2255" s="3" t="s">
        <v>57</v>
      </c>
      <c r="E2255" s="42"/>
      <c r="F2255" s="3" t="s">
        <v>682</v>
      </c>
      <c r="G2255" s="3" t="s">
        <v>584</v>
      </c>
      <c r="H2255" s="4">
        <v>3069303</v>
      </c>
      <c r="I2255" s="32" t="s">
        <v>709</v>
      </c>
      <c r="J2255" s="32" t="s">
        <v>268</v>
      </c>
      <c r="K2255" s="15">
        <v>3203103</v>
      </c>
    </row>
    <row r="2256" spans="1:43" s="3" customFormat="1" x14ac:dyDescent="0.3">
      <c r="B2256" s="44">
        <v>45990</v>
      </c>
      <c r="C2256" s="3" t="s">
        <v>416</v>
      </c>
      <c r="D2256" s="3" t="s">
        <v>489</v>
      </c>
      <c r="E2256" s="4"/>
      <c r="F2256" s="4" t="s">
        <v>682</v>
      </c>
      <c r="G2256" s="4" t="s">
        <v>564</v>
      </c>
      <c r="H2256" s="4">
        <v>3969804</v>
      </c>
      <c r="I2256" s="3" t="s">
        <v>672</v>
      </c>
      <c r="J2256" s="3" t="s">
        <v>129</v>
      </c>
      <c r="K2256" s="4">
        <v>3067503</v>
      </c>
    </row>
    <row r="2257" spans="2:13" s="3" customFormat="1" x14ac:dyDescent="0.3">
      <c r="B2257" s="44">
        <v>45990</v>
      </c>
      <c r="C2257" s="3" t="s">
        <v>416</v>
      </c>
      <c r="D2257" s="3" t="s">
        <v>501</v>
      </c>
      <c r="E2257" s="42"/>
      <c r="F2257" s="3" t="s">
        <v>682</v>
      </c>
      <c r="G2257" s="3" t="s">
        <v>579</v>
      </c>
      <c r="H2257" s="53">
        <v>3970007</v>
      </c>
      <c r="I2257" s="3" t="s">
        <v>689</v>
      </c>
      <c r="J2257" s="3" t="s">
        <v>580</v>
      </c>
      <c r="K2257" s="4">
        <v>3350001</v>
      </c>
      <c r="L2257" s="4"/>
      <c r="M2257" s="4"/>
    </row>
    <row r="2258" spans="2:13" s="3" customFormat="1" x14ac:dyDescent="0.3">
      <c r="B2258" s="44">
        <v>45990</v>
      </c>
      <c r="C2258" s="3" t="s">
        <v>416</v>
      </c>
      <c r="D2258" s="3" t="s">
        <v>592</v>
      </c>
      <c r="E2258" s="42"/>
      <c r="F2258" s="3" t="s">
        <v>682</v>
      </c>
      <c r="G2258" s="3" t="s">
        <v>635</v>
      </c>
      <c r="H2258" s="74">
        <v>3969700</v>
      </c>
      <c r="I2258" s="3" t="s">
        <v>662</v>
      </c>
      <c r="J2258" s="3" t="s">
        <v>634</v>
      </c>
      <c r="K2258" s="74">
        <v>4023105</v>
      </c>
    </row>
    <row r="2259" spans="2:13" s="3" customFormat="1" x14ac:dyDescent="0.3">
      <c r="B2259" s="44">
        <v>45990</v>
      </c>
      <c r="C2259" s="3" t="s">
        <v>416</v>
      </c>
      <c r="D2259" s="3" t="s">
        <v>62</v>
      </c>
      <c r="E2259" s="42"/>
      <c r="F2259" s="3" t="s">
        <v>700</v>
      </c>
      <c r="G2259" s="3" t="s">
        <v>442</v>
      </c>
      <c r="H2259" s="4">
        <v>3205007</v>
      </c>
      <c r="I2259" s="3" t="s">
        <v>663</v>
      </c>
      <c r="J2259" s="3" t="s">
        <v>280</v>
      </c>
      <c r="K2259" s="4">
        <v>3198103</v>
      </c>
    </row>
    <row r="2260" spans="2:13" s="3" customFormat="1" x14ac:dyDescent="0.3">
      <c r="B2260" s="44">
        <v>45990</v>
      </c>
      <c r="C2260" s="3" t="s">
        <v>416</v>
      </c>
      <c r="D2260" s="3" t="s">
        <v>493</v>
      </c>
      <c r="E2260" s="42"/>
      <c r="F2260" s="3" t="s">
        <v>701</v>
      </c>
      <c r="G2260" s="3" t="s">
        <v>171</v>
      </c>
      <c r="H2260" s="4">
        <v>3355600</v>
      </c>
      <c r="I2260" s="4" t="s">
        <v>479</v>
      </c>
      <c r="J2260" s="4" t="s">
        <v>211</v>
      </c>
      <c r="K2260" s="4">
        <v>3361204</v>
      </c>
    </row>
    <row r="2261" spans="2:13" s="3" customFormat="1" x14ac:dyDescent="0.3">
      <c r="B2261" s="44">
        <v>45990</v>
      </c>
      <c r="C2261" s="3" t="s">
        <v>416</v>
      </c>
      <c r="D2261" s="3" t="s">
        <v>62</v>
      </c>
      <c r="E2261" s="42"/>
      <c r="F2261" s="3" t="s">
        <v>701</v>
      </c>
      <c r="G2261" s="3" t="s">
        <v>360</v>
      </c>
      <c r="H2261" s="4">
        <v>3203801</v>
      </c>
      <c r="I2261" s="4" t="s">
        <v>660</v>
      </c>
      <c r="J2261" s="4" t="s">
        <v>443</v>
      </c>
      <c r="K2261" s="4">
        <v>3210008</v>
      </c>
    </row>
    <row r="2262" spans="2:13" s="3" customFormat="1" x14ac:dyDescent="0.3">
      <c r="B2262" s="44">
        <v>45990</v>
      </c>
      <c r="C2262" s="3" t="s">
        <v>416</v>
      </c>
      <c r="D2262" s="3" t="s">
        <v>593</v>
      </c>
      <c r="E2262" s="42"/>
      <c r="F2262" s="3" t="s">
        <v>701</v>
      </c>
      <c r="G2262" s="3" t="s">
        <v>631</v>
      </c>
      <c r="H2262" s="4">
        <v>4023209</v>
      </c>
      <c r="I2262" s="4" t="s">
        <v>693</v>
      </c>
      <c r="J2262" s="4" t="s">
        <v>629</v>
      </c>
      <c r="K2262" s="4">
        <v>3961708</v>
      </c>
    </row>
    <row r="2263" spans="2:13" s="3" customFormat="1" x14ac:dyDescent="0.3">
      <c r="B2263" s="44">
        <v>45990</v>
      </c>
      <c r="C2263" s="3" t="s">
        <v>416</v>
      </c>
      <c r="D2263" s="3" t="s">
        <v>488</v>
      </c>
      <c r="E2263" s="42"/>
      <c r="F2263" s="3" t="s">
        <v>702</v>
      </c>
      <c r="G2263" s="3" t="s">
        <v>119</v>
      </c>
      <c r="H2263" s="4">
        <v>3067909</v>
      </c>
      <c r="I2263" s="4" t="s">
        <v>690</v>
      </c>
      <c r="J2263" s="4" t="s">
        <v>118</v>
      </c>
      <c r="K2263" s="4">
        <v>3356005</v>
      </c>
    </row>
    <row r="2264" spans="2:13" s="3" customFormat="1" x14ac:dyDescent="0.3">
      <c r="B2264" s="44">
        <v>45990</v>
      </c>
      <c r="C2264" s="3" t="s">
        <v>416</v>
      </c>
      <c r="D2264" s="3" t="s">
        <v>58</v>
      </c>
      <c r="E2264" s="42"/>
      <c r="F2264" s="3" t="s">
        <v>702</v>
      </c>
      <c r="G2264" s="3" t="s">
        <v>447</v>
      </c>
      <c r="H2264" s="4">
        <v>3055207</v>
      </c>
      <c r="I2264" s="3" t="s">
        <v>721</v>
      </c>
      <c r="J2264" s="3" t="s">
        <v>271</v>
      </c>
      <c r="K2264" s="32">
        <v>3194701</v>
      </c>
    </row>
    <row r="2265" spans="2:13" s="3" customFormat="1" x14ac:dyDescent="0.3">
      <c r="B2265" s="44">
        <v>45990</v>
      </c>
      <c r="C2265" s="3" t="s">
        <v>416</v>
      </c>
      <c r="D2265" s="3" t="s">
        <v>491</v>
      </c>
      <c r="E2265" s="42"/>
      <c r="F2265" s="3" t="s">
        <v>695</v>
      </c>
      <c r="G2265" s="3" t="s">
        <v>148</v>
      </c>
      <c r="H2265" s="4">
        <v>3355402</v>
      </c>
      <c r="I2265" s="4" t="s">
        <v>690</v>
      </c>
      <c r="J2265" s="4" t="s">
        <v>179</v>
      </c>
      <c r="K2265" s="4">
        <v>3818900</v>
      </c>
    </row>
    <row r="2266" spans="2:13" s="3" customFormat="1" x14ac:dyDescent="0.3">
      <c r="B2266" s="44">
        <v>45990</v>
      </c>
      <c r="C2266" s="3" t="s">
        <v>416</v>
      </c>
      <c r="D2266" s="3" t="s">
        <v>488</v>
      </c>
      <c r="E2266" s="42"/>
      <c r="F2266" s="3" t="s">
        <v>704</v>
      </c>
      <c r="G2266" s="3" t="s">
        <v>120</v>
      </c>
      <c r="H2266" s="4">
        <v>3355506</v>
      </c>
      <c r="I2266" s="4" t="s">
        <v>697</v>
      </c>
      <c r="J2266" s="4" t="s">
        <v>122</v>
      </c>
      <c r="K2266" s="4">
        <v>3353800</v>
      </c>
    </row>
    <row r="2267" spans="2:13" s="3" customFormat="1" x14ac:dyDescent="0.3">
      <c r="B2267" s="44">
        <v>45990</v>
      </c>
      <c r="C2267" s="3" t="s">
        <v>416</v>
      </c>
      <c r="D2267" s="3" t="s">
        <v>67</v>
      </c>
      <c r="E2267" s="42"/>
      <c r="F2267" s="4" t="s">
        <v>708</v>
      </c>
      <c r="G2267" s="4" t="s">
        <v>339</v>
      </c>
      <c r="H2267" s="4">
        <v>3204300</v>
      </c>
      <c r="I2267" s="4" t="s">
        <v>672</v>
      </c>
      <c r="J2267" s="4" t="s">
        <v>375</v>
      </c>
      <c r="K2267" s="4">
        <v>3069209</v>
      </c>
    </row>
    <row r="2268" spans="2:13" s="3" customFormat="1" x14ac:dyDescent="0.3">
      <c r="B2268" s="44">
        <v>45990</v>
      </c>
      <c r="C2268" s="3" t="s">
        <v>416</v>
      </c>
      <c r="D2268" s="3" t="s">
        <v>494</v>
      </c>
      <c r="E2268" s="42"/>
      <c r="F2268" s="3" t="s">
        <v>708</v>
      </c>
      <c r="G2268" s="3" t="s">
        <v>220</v>
      </c>
      <c r="H2268" s="4">
        <v>3354809</v>
      </c>
      <c r="I2268" s="4" t="s">
        <v>694</v>
      </c>
      <c r="J2268" s="4" t="s">
        <v>188</v>
      </c>
      <c r="K2268" s="4">
        <v>3353508</v>
      </c>
    </row>
    <row r="2269" spans="2:13" s="3" customFormat="1" x14ac:dyDescent="0.3">
      <c r="B2269" s="44">
        <v>45990</v>
      </c>
      <c r="C2269" s="3" t="s">
        <v>416</v>
      </c>
      <c r="D2269" s="3" t="s">
        <v>488</v>
      </c>
      <c r="E2269" s="42"/>
      <c r="F2269" s="3" t="s">
        <v>703</v>
      </c>
      <c r="G2269" s="3" t="s">
        <v>560</v>
      </c>
      <c r="H2269" s="4" t="s">
        <v>562</v>
      </c>
      <c r="I2269" s="4" t="s">
        <v>645</v>
      </c>
      <c r="J2269" s="4" t="s">
        <v>151</v>
      </c>
      <c r="K2269" s="4">
        <v>3351208</v>
      </c>
    </row>
    <row r="2270" spans="2:13" s="3" customFormat="1" x14ac:dyDescent="0.3">
      <c r="B2270" s="44">
        <v>45990</v>
      </c>
      <c r="C2270" s="3" t="s">
        <v>416</v>
      </c>
      <c r="D2270" s="3" t="s">
        <v>57</v>
      </c>
      <c r="E2270" s="42"/>
      <c r="F2270" s="15" t="s">
        <v>703</v>
      </c>
      <c r="G2270" s="15" t="s">
        <v>585</v>
      </c>
      <c r="H2270" s="74" t="s">
        <v>556</v>
      </c>
      <c r="I2270" s="74" t="s">
        <v>694</v>
      </c>
      <c r="J2270" s="74" t="s">
        <v>276</v>
      </c>
      <c r="K2270" s="74">
        <v>3201709</v>
      </c>
    </row>
    <row r="2271" spans="2:13" s="3" customFormat="1" x14ac:dyDescent="0.3">
      <c r="B2271" s="44">
        <v>45990</v>
      </c>
      <c r="C2271" s="3" t="s">
        <v>416</v>
      </c>
      <c r="D2271" s="3" t="s">
        <v>66</v>
      </c>
      <c r="E2271" s="42"/>
      <c r="F2271" s="3" t="s">
        <v>703</v>
      </c>
      <c r="G2271" s="3" t="s">
        <v>606</v>
      </c>
      <c r="H2271" s="74" t="s">
        <v>588</v>
      </c>
      <c r="I2271" s="104" t="s">
        <v>680</v>
      </c>
      <c r="J2271" s="104" t="s">
        <v>603</v>
      </c>
      <c r="K2271" s="74">
        <v>3945400</v>
      </c>
    </row>
    <row r="2272" spans="2:13" s="3" customFormat="1" x14ac:dyDescent="0.3">
      <c r="B2272" s="44">
        <v>45990</v>
      </c>
      <c r="C2272" s="3" t="s">
        <v>416</v>
      </c>
      <c r="D2272" s="3" t="s">
        <v>63</v>
      </c>
      <c r="E2272" s="42"/>
      <c r="F2272" s="3" t="s">
        <v>683</v>
      </c>
      <c r="G2272" s="3" t="s">
        <v>368</v>
      </c>
      <c r="H2272" s="74">
        <v>3203009</v>
      </c>
      <c r="I2272" s="104" t="s">
        <v>645</v>
      </c>
      <c r="J2272" s="104" t="s">
        <v>333</v>
      </c>
      <c r="K2272" s="74">
        <v>3198801</v>
      </c>
    </row>
    <row r="2273" spans="2:11" s="3" customFormat="1" x14ac:dyDescent="0.3">
      <c r="B2273" s="44">
        <v>45990</v>
      </c>
      <c r="C2273" s="3" t="s">
        <v>416</v>
      </c>
      <c r="D2273" s="3" t="s">
        <v>487</v>
      </c>
      <c r="E2273" s="4"/>
      <c r="F2273" s="3" t="s">
        <v>709</v>
      </c>
      <c r="G2273" s="3" t="s">
        <v>111</v>
      </c>
      <c r="H2273" s="4">
        <v>3354601</v>
      </c>
      <c r="I2273" s="4" t="s">
        <v>721</v>
      </c>
      <c r="J2273" s="4" t="s">
        <v>124</v>
      </c>
      <c r="K2273" s="4">
        <v>3267501</v>
      </c>
    </row>
    <row r="2274" spans="2:11" s="3" customFormat="1" x14ac:dyDescent="0.3">
      <c r="B2274" s="44">
        <v>45990</v>
      </c>
      <c r="C2274" s="3" t="s">
        <v>416</v>
      </c>
      <c r="D2274" s="3" t="s">
        <v>491</v>
      </c>
      <c r="E2274" s="42"/>
      <c r="F2274" s="4" t="s">
        <v>709</v>
      </c>
      <c r="G2274" s="4" t="s">
        <v>566</v>
      </c>
      <c r="H2274" s="4">
        <v>3560703</v>
      </c>
      <c r="I2274" s="4" t="s">
        <v>680</v>
      </c>
      <c r="J2274" s="4" t="s">
        <v>177</v>
      </c>
      <c r="K2274" s="4">
        <v>3899709</v>
      </c>
    </row>
    <row r="2275" spans="2:11" s="3" customFormat="1" x14ac:dyDescent="0.3">
      <c r="B2275" s="44">
        <v>45990</v>
      </c>
      <c r="C2275" s="3" t="s">
        <v>416</v>
      </c>
      <c r="D2275" s="3" t="s">
        <v>66</v>
      </c>
      <c r="E2275" s="42"/>
      <c r="F2275" s="3" t="s">
        <v>709</v>
      </c>
      <c r="G2275" s="3" t="s">
        <v>607</v>
      </c>
      <c r="H2275" s="4">
        <v>3596309</v>
      </c>
      <c r="I2275" s="3" t="s">
        <v>684</v>
      </c>
      <c r="J2275" s="3" t="s">
        <v>608</v>
      </c>
      <c r="K2275" s="74">
        <v>3819107</v>
      </c>
    </row>
    <row r="2276" spans="2:11" s="3" customFormat="1" x14ac:dyDescent="0.3">
      <c r="B2276" s="44">
        <v>45990</v>
      </c>
      <c r="C2276" s="3" t="s">
        <v>416</v>
      </c>
      <c r="D2276" s="3" t="s">
        <v>61</v>
      </c>
      <c r="E2276" s="42"/>
      <c r="F2276" s="3" t="s">
        <v>684</v>
      </c>
      <c r="G2276" s="3" t="s">
        <v>306</v>
      </c>
      <c r="H2276" s="4">
        <v>3202604</v>
      </c>
      <c r="I2276" s="4" t="s">
        <v>477</v>
      </c>
      <c r="J2276" s="4" t="s">
        <v>308</v>
      </c>
      <c r="K2276" s="4">
        <v>3199300</v>
      </c>
    </row>
    <row r="2277" spans="2:11" s="3" customFormat="1" x14ac:dyDescent="0.3">
      <c r="B2277" s="44">
        <v>45990</v>
      </c>
      <c r="C2277" s="3" t="s">
        <v>416</v>
      </c>
      <c r="D2277" s="3" t="s">
        <v>491</v>
      </c>
      <c r="E2277" s="42"/>
      <c r="F2277" s="3" t="s">
        <v>684</v>
      </c>
      <c r="G2277" s="3" t="s">
        <v>149</v>
      </c>
      <c r="H2277" s="4">
        <v>3354507</v>
      </c>
      <c r="I2277" s="3" t="s">
        <v>698</v>
      </c>
      <c r="J2277" s="3" t="s">
        <v>567</v>
      </c>
      <c r="K2277" s="4" t="s">
        <v>556</v>
      </c>
    </row>
    <row r="2278" spans="2:11" s="3" customFormat="1" x14ac:dyDescent="0.3">
      <c r="B2278" s="44">
        <v>45990</v>
      </c>
      <c r="C2278" s="3" t="s">
        <v>416</v>
      </c>
      <c r="D2278" s="3" t="s">
        <v>491</v>
      </c>
      <c r="E2278" s="42"/>
      <c r="F2278" s="104" t="s">
        <v>684</v>
      </c>
      <c r="G2278" s="104" t="s">
        <v>182</v>
      </c>
      <c r="H2278" s="53">
        <v>3900203</v>
      </c>
      <c r="I2278" s="4" t="s">
        <v>645</v>
      </c>
      <c r="J2278" s="4" t="s">
        <v>464</v>
      </c>
      <c r="K2278" s="4">
        <v>3351406</v>
      </c>
    </row>
    <row r="2279" spans="2:11" s="3" customFormat="1" x14ac:dyDescent="0.3">
      <c r="B2279" s="44">
        <v>45990</v>
      </c>
      <c r="C2279" s="3" t="s">
        <v>416</v>
      </c>
      <c r="D2279" s="3" t="s">
        <v>56</v>
      </c>
      <c r="E2279" s="42"/>
      <c r="F2279" s="3" t="s">
        <v>646</v>
      </c>
      <c r="G2279" s="3" t="s">
        <v>251</v>
      </c>
      <c r="H2279" s="4">
        <v>3036704</v>
      </c>
      <c r="I2279" s="4" t="s">
        <v>696</v>
      </c>
      <c r="J2279" s="4" t="s">
        <v>261</v>
      </c>
      <c r="K2279" s="4">
        <v>3202302</v>
      </c>
    </row>
    <row r="2280" spans="2:11" s="3" customFormat="1" x14ac:dyDescent="0.3">
      <c r="B2280" s="44">
        <v>45990</v>
      </c>
      <c r="C2280" s="3" t="s">
        <v>416</v>
      </c>
      <c r="D2280" s="3" t="s">
        <v>492</v>
      </c>
      <c r="E2280" s="42"/>
      <c r="F2280" s="3" t="s">
        <v>646</v>
      </c>
      <c r="G2280" s="3" t="s">
        <v>159</v>
      </c>
      <c r="H2280" s="4">
        <v>3354403</v>
      </c>
      <c r="I2280" s="4" t="s">
        <v>648</v>
      </c>
      <c r="J2280" s="4" t="s">
        <v>201</v>
      </c>
      <c r="K2280" s="4">
        <v>3362203</v>
      </c>
    </row>
    <row r="2281" spans="2:11" s="3" customFormat="1" x14ac:dyDescent="0.3">
      <c r="B2281" s="44">
        <v>45990</v>
      </c>
      <c r="C2281" s="3" t="s">
        <v>416</v>
      </c>
      <c r="D2281" s="3" t="s">
        <v>64</v>
      </c>
      <c r="E2281" s="42">
        <v>4370907</v>
      </c>
      <c r="F2281" s="3" t="s">
        <v>646</v>
      </c>
      <c r="G2281" s="3" t="s">
        <v>349</v>
      </c>
      <c r="H2281" s="4">
        <v>3202500</v>
      </c>
      <c r="I2281" s="4" t="s">
        <v>672</v>
      </c>
      <c r="J2281" s="4" t="s">
        <v>316</v>
      </c>
      <c r="K2281" s="4">
        <v>3069105</v>
      </c>
    </row>
    <row r="2282" spans="2:11" s="3" customFormat="1" x14ac:dyDescent="0.3">
      <c r="B2282" s="44">
        <v>45990</v>
      </c>
      <c r="C2282" s="3" t="s">
        <v>416</v>
      </c>
      <c r="D2282" s="3" t="s">
        <v>495</v>
      </c>
      <c r="E2282" s="42"/>
      <c r="F2282" s="3" t="s">
        <v>646</v>
      </c>
      <c r="G2282" s="3" t="s">
        <v>195</v>
      </c>
      <c r="H2282" s="74">
        <v>3361600</v>
      </c>
      <c r="I2282" s="3" t="s">
        <v>673</v>
      </c>
      <c r="J2282" s="3" t="s">
        <v>200</v>
      </c>
      <c r="K2282" s="53">
        <v>3901004</v>
      </c>
    </row>
    <row r="2283" spans="2:11" s="3" customFormat="1" x14ac:dyDescent="0.3">
      <c r="B2283" s="44">
        <v>45990</v>
      </c>
      <c r="C2283" s="3" t="s">
        <v>416</v>
      </c>
      <c r="D2283" s="3" t="s">
        <v>61</v>
      </c>
      <c r="E2283" s="42"/>
      <c r="F2283" s="3" t="s">
        <v>696</v>
      </c>
      <c r="G2283" s="3" t="s">
        <v>307</v>
      </c>
      <c r="H2283" s="4">
        <v>3201907</v>
      </c>
      <c r="I2283" s="3" t="s">
        <v>703</v>
      </c>
      <c r="J2283" s="3" t="s">
        <v>596</v>
      </c>
      <c r="K2283" s="4" t="s">
        <v>556</v>
      </c>
    </row>
    <row r="2284" spans="2:11" s="3" customFormat="1" x14ac:dyDescent="0.3">
      <c r="B2284" s="44">
        <v>45990</v>
      </c>
      <c r="C2284" s="3" t="s">
        <v>416</v>
      </c>
      <c r="D2284" s="3" t="s">
        <v>56</v>
      </c>
      <c r="E2284" s="42"/>
      <c r="F2284" s="106" t="s">
        <v>672</v>
      </c>
      <c r="G2284" s="106" t="s">
        <v>252</v>
      </c>
      <c r="H2284" s="106">
        <v>3070204</v>
      </c>
      <c r="I2284" s="73" t="s">
        <v>474</v>
      </c>
      <c r="J2284" s="73" t="s">
        <v>253</v>
      </c>
      <c r="K2284" s="4">
        <v>3037109</v>
      </c>
    </row>
    <row r="2285" spans="2:11" s="3" customFormat="1" x14ac:dyDescent="0.3">
      <c r="B2285" s="44">
        <v>45990</v>
      </c>
      <c r="C2285" s="3" t="s">
        <v>416</v>
      </c>
      <c r="D2285" s="3" t="s">
        <v>500</v>
      </c>
      <c r="E2285" s="42"/>
      <c r="F2285" s="3" t="s">
        <v>672</v>
      </c>
      <c r="G2285" s="3" t="s">
        <v>187</v>
      </c>
      <c r="H2285" s="4">
        <v>3354101</v>
      </c>
      <c r="I2285" s="4" t="s">
        <v>701</v>
      </c>
      <c r="J2285" s="4" t="s">
        <v>236</v>
      </c>
      <c r="K2285" s="4">
        <v>3355704</v>
      </c>
    </row>
    <row r="2286" spans="2:11" s="3" customFormat="1" x14ac:dyDescent="0.3">
      <c r="B2286" s="44">
        <v>45990</v>
      </c>
      <c r="C2286" s="3" t="s">
        <v>416</v>
      </c>
      <c r="D2286" s="3" t="s">
        <v>58</v>
      </c>
      <c r="E2286" s="42"/>
      <c r="F2286" s="3" t="s">
        <v>697</v>
      </c>
      <c r="G2286" s="3" t="s">
        <v>262</v>
      </c>
      <c r="H2286" s="4">
        <v>3055405</v>
      </c>
      <c r="I2286" s="3" t="s">
        <v>712</v>
      </c>
      <c r="J2286" s="3" t="s">
        <v>270</v>
      </c>
      <c r="K2286" s="4">
        <v>3069605</v>
      </c>
    </row>
    <row r="2287" spans="2:11" s="3" customFormat="1" x14ac:dyDescent="0.3">
      <c r="B2287" s="44">
        <v>45990</v>
      </c>
      <c r="C2287" s="3" t="s">
        <v>416</v>
      </c>
      <c r="D2287" s="3" t="s">
        <v>491</v>
      </c>
      <c r="E2287" s="42"/>
      <c r="F2287" s="3" t="s">
        <v>697</v>
      </c>
      <c r="G2287" s="3" t="s">
        <v>150</v>
      </c>
      <c r="H2287" s="4">
        <v>3353706</v>
      </c>
      <c r="I2287" s="4" t="s">
        <v>702</v>
      </c>
      <c r="J2287" s="4" t="s">
        <v>180</v>
      </c>
      <c r="K2287" s="4">
        <v>3355308</v>
      </c>
    </row>
    <row r="2288" spans="2:11" s="3" customFormat="1" x14ac:dyDescent="0.3">
      <c r="B2288" s="44">
        <v>45990</v>
      </c>
      <c r="C2288" s="3" t="s">
        <v>416</v>
      </c>
      <c r="D2288" s="3" t="s">
        <v>63</v>
      </c>
      <c r="E2288" s="42"/>
      <c r="F2288" s="3" t="s">
        <v>697</v>
      </c>
      <c r="G2288" s="3" t="s">
        <v>448</v>
      </c>
      <c r="H2288" s="4">
        <v>3036808</v>
      </c>
      <c r="I2288" s="3" t="s">
        <v>478</v>
      </c>
      <c r="J2288" s="3" t="s">
        <v>331</v>
      </c>
      <c r="K2288" s="74">
        <v>3205403</v>
      </c>
    </row>
    <row r="2289" spans="2:11" s="3" customFormat="1" x14ac:dyDescent="0.3">
      <c r="B2289" s="44">
        <v>45990</v>
      </c>
      <c r="C2289" s="3" t="s">
        <v>416</v>
      </c>
      <c r="D2289" s="3" t="s">
        <v>62</v>
      </c>
      <c r="E2289" s="42"/>
      <c r="F2289" s="3" t="s">
        <v>694</v>
      </c>
      <c r="G2289" s="3" t="s">
        <v>340</v>
      </c>
      <c r="H2289" s="4">
        <v>3201803</v>
      </c>
      <c r="I2289" s="4" t="s">
        <v>476</v>
      </c>
      <c r="J2289" s="4" t="s">
        <v>323</v>
      </c>
      <c r="K2289" s="4">
        <v>3206506</v>
      </c>
    </row>
    <row r="2290" spans="2:11" s="3" customFormat="1" x14ac:dyDescent="0.3">
      <c r="B2290" s="44">
        <v>45990</v>
      </c>
      <c r="C2290" s="3" t="s">
        <v>416</v>
      </c>
      <c r="D2290" s="3" t="s">
        <v>69</v>
      </c>
      <c r="E2290" s="42"/>
      <c r="F2290" s="3" t="s">
        <v>694</v>
      </c>
      <c r="G2290" s="3" t="s">
        <v>376</v>
      </c>
      <c r="H2290" s="53">
        <v>3201303</v>
      </c>
      <c r="I2290" s="3" t="s">
        <v>663</v>
      </c>
      <c r="J2290" s="3" t="s">
        <v>362</v>
      </c>
      <c r="K2290" s="4">
        <v>3197406</v>
      </c>
    </row>
    <row r="2291" spans="2:11" s="3" customFormat="1" x14ac:dyDescent="0.3">
      <c r="B2291" s="44">
        <v>45990</v>
      </c>
      <c r="C2291" s="3" t="s">
        <v>416</v>
      </c>
      <c r="D2291" s="3" t="s">
        <v>498</v>
      </c>
      <c r="E2291" s="42"/>
      <c r="F2291" s="3" t="s">
        <v>694</v>
      </c>
      <c r="G2291" s="3" t="s">
        <v>245</v>
      </c>
      <c r="H2291" s="4">
        <v>3352905</v>
      </c>
      <c r="I2291" s="3" t="s">
        <v>689</v>
      </c>
      <c r="J2291" s="3" t="s">
        <v>468</v>
      </c>
      <c r="K2291" s="4">
        <v>3349902</v>
      </c>
    </row>
    <row r="2292" spans="2:11" s="3" customFormat="1" x14ac:dyDescent="0.3">
      <c r="B2292" s="44">
        <v>45990</v>
      </c>
      <c r="C2292" s="3" t="s">
        <v>416</v>
      </c>
      <c r="D2292" s="3" t="s">
        <v>69</v>
      </c>
      <c r="E2292" s="42"/>
      <c r="F2292" s="3" t="s">
        <v>694</v>
      </c>
      <c r="G2292" s="3" t="s">
        <v>402</v>
      </c>
      <c r="H2292" s="4">
        <v>3201407</v>
      </c>
      <c r="I2292" s="3" t="s">
        <v>681</v>
      </c>
      <c r="J2292" s="3" t="s">
        <v>365</v>
      </c>
      <c r="K2292" s="4">
        <v>3195804</v>
      </c>
    </row>
    <row r="2293" spans="2:11" s="3" customFormat="1" x14ac:dyDescent="0.3">
      <c r="B2293" s="44">
        <v>45990</v>
      </c>
      <c r="C2293" s="3" t="s">
        <v>416</v>
      </c>
      <c r="D2293" s="3" t="s">
        <v>593</v>
      </c>
      <c r="E2293" s="42"/>
      <c r="F2293" s="3" t="s">
        <v>694</v>
      </c>
      <c r="G2293" s="3" t="s">
        <v>632</v>
      </c>
      <c r="H2293" s="4">
        <v>4023303</v>
      </c>
      <c r="I2293" s="4" t="s">
        <v>676</v>
      </c>
      <c r="J2293" s="4" t="s">
        <v>639</v>
      </c>
      <c r="K2293" s="4">
        <v>3776805</v>
      </c>
    </row>
    <row r="2294" spans="2:11" s="3" customFormat="1" x14ac:dyDescent="0.3">
      <c r="B2294" s="44">
        <v>45990</v>
      </c>
      <c r="C2294" s="3" t="s">
        <v>416</v>
      </c>
      <c r="D2294" s="3" t="s">
        <v>69</v>
      </c>
      <c r="E2294" s="42"/>
      <c r="F2294" s="3" t="s">
        <v>655</v>
      </c>
      <c r="G2294" s="3" t="s">
        <v>394</v>
      </c>
      <c r="H2294" s="4">
        <v>3201105</v>
      </c>
      <c r="I2294" s="3" t="s">
        <v>656</v>
      </c>
      <c r="J2294" s="3" t="s">
        <v>361</v>
      </c>
      <c r="K2294" s="4">
        <v>3200002</v>
      </c>
    </row>
    <row r="2295" spans="2:11" s="3" customFormat="1" x14ac:dyDescent="0.3">
      <c r="B2295" s="44">
        <v>45990</v>
      </c>
      <c r="C2295" s="3" t="s">
        <v>416</v>
      </c>
      <c r="D2295" s="3" t="s">
        <v>610</v>
      </c>
      <c r="E2295" s="42"/>
      <c r="F2295" s="3" t="s">
        <v>711</v>
      </c>
      <c r="G2295" s="3" t="s">
        <v>381</v>
      </c>
      <c r="H2295" s="4">
        <v>3201209</v>
      </c>
      <c r="I2295" s="4" t="s">
        <v>714</v>
      </c>
      <c r="J2295" s="4" t="s">
        <v>352</v>
      </c>
      <c r="K2295" s="4">
        <v>3197208</v>
      </c>
    </row>
    <row r="2296" spans="2:11" s="3" customFormat="1" x14ac:dyDescent="0.3">
      <c r="B2296" s="44">
        <v>45990</v>
      </c>
      <c r="C2296" s="3" t="s">
        <v>416</v>
      </c>
      <c r="D2296" s="3" t="s">
        <v>489</v>
      </c>
      <c r="E2296" s="4"/>
      <c r="F2296" s="4" t="s">
        <v>685</v>
      </c>
      <c r="G2296" s="4" t="s">
        <v>160</v>
      </c>
      <c r="H2296" s="4">
        <v>3353008</v>
      </c>
      <c r="I2296" s="3" t="s">
        <v>678</v>
      </c>
      <c r="J2296" s="3" t="s">
        <v>131</v>
      </c>
      <c r="K2296" s="4">
        <v>3350605</v>
      </c>
    </row>
    <row r="2297" spans="2:11" s="3" customFormat="1" x14ac:dyDescent="0.3">
      <c r="B2297" s="44">
        <v>45990</v>
      </c>
      <c r="C2297" s="3" t="s">
        <v>416</v>
      </c>
      <c r="D2297" s="3" t="s">
        <v>610</v>
      </c>
      <c r="E2297" s="42"/>
      <c r="F2297" s="3" t="s">
        <v>685</v>
      </c>
      <c r="G2297" s="3" t="s">
        <v>351</v>
      </c>
      <c r="H2297" s="4">
        <v>3201001</v>
      </c>
      <c r="I2297" s="4" t="s">
        <v>675</v>
      </c>
      <c r="J2297" s="4" t="s">
        <v>450</v>
      </c>
      <c r="K2297" s="4">
        <v>3198405</v>
      </c>
    </row>
    <row r="2298" spans="2:11" s="3" customFormat="1" x14ac:dyDescent="0.3">
      <c r="B2298" s="44">
        <v>45990</v>
      </c>
      <c r="C2298" s="3" t="s">
        <v>416</v>
      </c>
      <c r="D2298" s="3" t="s">
        <v>495</v>
      </c>
      <c r="E2298" s="42"/>
      <c r="F2298" s="3" t="s">
        <v>685</v>
      </c>
      <c r="G2298" s="3" t="s">
        <v>196</v>
      </c>
      <c r="H2298" s="4">
        <v>3353102</v>
      </c>
      <c r="I2298" s="3" t="s">
        <v>570</v>
      </c>
      <c r="J2298" s="3" t="s">
        <v>570</v>
      </c>
      <c r="K2298" s="4" t="s">
        <v>556</v>
      </c>
    </row>
    <row r="2299" spans="2:11" s="3" customFormat="1" x14ac:dyDescent="0.3">
      <c r="B2299" s="44">
        <v>45990</v>
      </c>
      <c r="C2299" s="3" t="s">
        <v>416</v>
      </c>
      <c r="D2299" s="3" t="s">
        <v>610</v>
      </c>
      <c r="E2299" s="42"/>
      <c r="F2299" s="3" t="s">
        <v>685</v>
      </c>
      <c r="G2299" s="3" t="s">
        <v>382</v>
      </c>
      <c r="H2299" s="4">
        <v>3200804</v>
      </c>
      <c r="I2299" s="4" t="s">
        <v>646</v>
      </c>
      <c r="J2299" s="4" t="s">
        <v>350</v>
      </c>
      <c r="K2299" s="4">
        <v>3202802</v>
      </c>
    </row>
    <row r="2300" spans="2:11" s="3" customFormat="1" x14ac:dyDescent="0.3">
      <c r="B2300" s="44">
        <v>45990</v>
      </c>
      <c r="C2300" s="3" t="s">
        <v>416</v>
      </c>
      <c r="D2300" s="3" t="s">
        <v>495</v>
      </c>
      <c r="E2300" s="42"/>
      <c r="F2300" s="3" t="s">
        <v>685</v>
      </c>
      <c r="G2300" s="3" t="s">
        <v>197</v>
      </c>
      <c r="H2300" s="4">
        <v>3353300</v>
      </c>
      <c r="I2300" s="3" t="s">
        <v>682</v>
      </c>
      <c r="J2300" s="3" t="s">
        <v>568</v>
      </c>
      <c r="K2300" s="4">
        <v>3969908</v>
      </c>
    </row>
    <row r="2301" spans="2:11" s="3" customFormat="1" x14ac:dyDescent="0.3">
      <c r="B2301" s="44">
        <v>45990</v>
      </c>
      <c r="C2301" s="3" t="s">
        <v>416</v>
      </c>
      <c r="D2301" s="3" t="s">
        <v>486</v>
      </c>
      <c r="E2301" s="42"/>
      <c r="F2301" s="3" t="s">
        <v>474</v>
      </c>
      <c r="G2301" s="3" t="s">
        <v>103</v>
      </c>
      <c r="H2301" s="4">
        <v>3353206</v>
      </c>
      <c r="I2301" s="4" t="s">
        <v>682</v>
      </c>
      <c r="J2301" s="4" t="s">
        <v>559</v>
      </c>
      <c r="K2301" s="4">
        <v>3969200</v>
      </c>
    </row>
    <row r="2302" spans="2:11" s="3" customFormat="1" x14ac:dyDescent="0.3">
      <c r="B2302" s="44">
        <v>45990</v>
      </c>
      <c r="C2302" s="3" t="s">
        <v>416</v>
      </c>
      <c r="D2302" s="3" t="s">
        <v>489</v>
      </c>
      <c r="E2302" s="4"/>
      <c r="F2302" s="4" t="s">
        <v>474</v>
      </c>
      <c r="G2302" s="4" t="s">
        <v>130</v>
      </c>
      <c r="H2302" s="4">
        <v>3352405</v>
      </c>
      <c r="I2302" s="3" t="s">
        <v>671</v>
      </c>
      <c r="J2302" s="3" t="s">
        <v>156</v>
      </c>
      <c r="K2302" s="4">
        <v>3359200</v>
      </c>
    </row>
    <row r="2303" spans="2:11" s="3" customFormat="1" x14ac:dyDescent="0.3">
      <c r="B2303" s="44">
        <v>45990</v>
      </c>
      <c r="C2303" s="3" t="s">
        <v>416</v>
      </c>
      <c r="D2303" s="3" t="s">
        <v>610</v>
      </c>
      <c r="E2303" s="42"/>
      <c r="F2303" s="3" t="s">
        <v>474</v>
      </c>
      <c r="G2303" s="3" t="s">
        <v>458</v>
      </c>
      <c r="H2303" s="4">
        <v>3200304</v>
      </c>
      <c r="I2303" s="4" t="s">
        <v>652</v>
      </c>
      <c r="J2303" s="4" t="s">
        <v>347</v>
      </c>
      <c r="K2303" s="4">
        <v>3818504</v>
      </c>
    </row>
    <row r="2304" spans="2:11" s="3" customFormat="1" x14ac:dyDescent="0.3">
      <c r="B2304" s="44">
        <v>45990</v>
      </c>
      <c r="C2304" s="3" t="s">
        <v>416</v>
      </c>
      <c r="D2304" s="3" t="s">
        <v>492</v>
      </c>
      <c r="E2304" s="42"/>
      <c r="F2304" s="3" t="s">
        <v>474</v>
      </c>
      <c r="G2304" s="3" t="s">
        <v>161</v>
      </c>
      <c r="H2304" s="4">
        <v>3352509</v>
      </c>
      <c r="I2304" s="3" t="s">
        <v>666</v>
      </c>
      <c r="J2304" s="3" t="s">
        <v>158</v>
      </c>
      <c r="K2304" s="4">
        <v>3356901</v>
      </c>
    </row>
    <row r="2305" spans="2:13" s="3" customFormat="1" x14ac:dyDescent="0.3">
      <c r="B2305" s="44">
        <v>45990</v>
      </c>
      <c r="C2305" s="3" t="s">
        <v>416</v>
      </c>
      <c r="D2305" s="3" t="s">
        <v>68</v>
      </c>
      <c r="E2305" s="42"/>
      <c r="F2305" s="3" t="s">
        <v>474</v>
      </c>
      <c r="G2305" s="3" t="s">
        <v>383</v>
      </c>
      <c r="H2305" s="4">
        <v>3200502</v>
      </c>
      <c r="I2305" s="4" t="s">
        <v>671</v>
      </c>
      <c r="J2305" s="4" t="s">
        <v>389</v>
      </c>
      <c r="K2305" s="4">
        <v>3209201</v>
      </c>
    </row>
    <row r="2306" spans="2:13" s="3" customFormat="1" x14ac:dyDescent="0.3">
      <c r="B2306" s="44">
        <v>45990</v>
      </c>
      <c r="C2306" s="3" t="s">
        <v>416</v>
      </c>
      <c r="D2306" s="3" t="s">
        <v>492</v>
      </c>
      <c r="E2306" s="42"/>
      <c r="F2306" s="3" t="s">
        <v>714</v>
      </c>
      <c r="G2306" s="3" t="s">
        <v>162</v>
      </c>
      <c r="H2306" s="4">
        <v>3348903</v>
      </c>
      <c r="I2306" s="4" t="s">
        <v>713</v>
      </c>
      <c r="J2306" s="4" t="s">
        <v>165</v>
      </c>
      <c r="K2306" s="4">
        <v>3349006</v>
      </c>
    </row>
    <row r="2307" spans="2:13" s="3" customFormat="1" x14ac:dyDescent="0.3">
      <c r="B2307" s="44">
        <v>45990</v>
      </c>
      <c r="C2307" s="3" t="s">
        <v>416</v>
      </c>
      <c r="D2307" s="3" t="s">
        <v>496</v>
      </c>
      <c r="E2307" s="42"/>
      <c r="F2307" s="3" t="s">
        <v>650</v>
      </c>
      <c r="G2307" s="3" t="s">
        <v>205</v>
      </c>
      <c r="H2307" s="74">
        <v>3351906</v>
      </c>
      <c r="I2307" s="4" t="s">
        <v>687</v>
      </c>
      <c r="J2307" s="4" t="s">
        <v>207</v>
      </c>
      <c r="K2307" s="4">
        <v>3346801</v>
      </c>
    </row>
    <row r="2308" spans="2:13" s="3" customFormat="1" x14ac:dyDescent="0.3">
      <c r="B2308" s="44">
        <v>45990</v>
      </c>
      <c r="C2308" s="3" t="s">
        <v>416</v>
      </c>
      <c r="D2308" s="3" t="s">
        <v>610</v>
      </c>
      <c r="E2308" s="42"/>
      <c r="F2308" s="3" t="s">
        <v>650</v>
      </c>
      <c r="G2308" s="3" t="s">
        <v>353</v>
      </c>
      <c r="H2308" s="4">
        <v>3200200</v>
      </c>
      <c r="I2308" s="4" t="s">
        <v>716</v>
      </c>
      <c r="J2308" s="4" t="s">
        <v>433</v>
      </c>
      <c r="K2308" s="4">
        <v>3198905</v>
      </c>
    </row>
    <row r="2309" spans="2:13" s="3" customFormat="1" x14ac:dyDescent="0.3">
      <c r="B2309" s="44">
        <v>45990</v>
      </c>
      <c r="C2309" s="3" t="s">
        <v>416</v>
      </c>
      <c r="D2309" s="3" t="s">
        <v>499</v>
      </c>
      <c r="E2309" s="42"/>
      <c r="F2309" s="3" t="s">
        <v>650</v>
      </c>
      <c r="G2309" s="3" t="s">
        <v>571</v>
      </c>
      <c r="H2309" s="4">
        <v>3900505</v>
      </c>
      <c r="I2309" s="3" t="s">
        <v>687</v>
      </c>
      <c r="J2309" s="3" t="s">
        <v>231</v>
      </c>
      <c r="K2309" s="4">
        <v>3819503</v>
      </c>
      <c r="M2309" s="4"/>
    </row>
    <row r="2310" spans="2:13" s="3" customFormat="1" x14ac:dyDescent="0.3">
      <c r="B2310" s="44">
        <v>45990</v>
      </c>
      <c r="C2310" s="3" t="s">
        <v>416</v>
      </c>
      <c r="D2310" s="3" t="s">
        <v>68</v>
      </c>
      <c r="E2310" s="42"/>
      <c r="F2310" s="3" t="s">
        <v>650</v>
      </c>
      <c r="G2310" s="3" t="s">
        <v>390</v>
      </c>
      <c r="H2310" s="4">
        <v>3544509</v>
      </c>
      <c r="I2310" s="4" t="s">
        <v>665</v>
      </c>
      <c r="J2310" s="4" t="s">
        <v>457</v>
      </c>
      <c r="K2310" s="4">
        <v>3818806</v>
      </c>
    </row>
    <row r="2311" spans="2:13" s="3" customFormat="1" x14ac:dyDescent="0.3">
      <c r="B2311" s="44">
        <v>45990</v>
      </c>
      <c r="C2311" s="3" t="s">
        <v>416</v>
      </c>
      <c r="D2311" s="3" t="s">
        <v>59</v>
      </c>
      <c r="E2311" s="42"/>
      <c r="F2311" s="3" t="s">
        <v>656</v>
      </c>
      <c r="G2311" s="3" t="s">
        <v>278</v>
      </c>
      <c r="H2311" s="4">
        <v>3199800</v>
      </c>
      <c r="I2311" s="4" t="s">
        <v>653</v>
      </c>
      <c r="J2311" s="4" t="s">
        <v>272</v>
      </c>
      <c r="K2311" s="4">
        <v>3211205</v>
      </c>
    </row>
    <row r="2312" spans="2:13" s="3" customFormat="1" x14ac:dyDescent="0.3">
      <c r="B2312" s="44">
        <v>45990</v>
      </c>
      <c r="C2312" s="3" t="s">
        <v>416</v>
      </c>
      <c r="D2312" s="3" t="s">
        <v>65</v>
      </c>
      <c r="E2312" s="42"/>
      <c r="F2312" s="3" t="s">
        <v>656</v>
      </c>
      <c r="G2312" s="3" t="s">
        <v>326</v>
      </c>
      <c r="H2312" s="4">
        <v>3199904</v>
      </c>
      <c r="I2312" s="4" t="s">
        <v>718</v>
      </c>
      <c r="J2312" s="4" t="s">
        <v>359</v>
      </c>
      <c r="K2312" s="4">
        <v>3204602</v>
      </c>
    </row>
    <row r="2313" spans="2:13" s="3" customFormat="1" x14ac:dyDescent="0.3">
      <c r="B2313" s="44">
        <v>45990</v>
      </c>
      <c r="C2313" s="3" t="s">
        <v>416</v>
      </c>
      <c r="D2313" s="3" t="s">
        <v>59</v>
      </c>
      <c r="E2313" s="42"/>
      <c r="F2313" s="4" t="s">
        <v>710</v>
      </c>
      <c r="G2313" s="4" t="s">
        <v>279</v>
      </c>
      <c r="H2313" s="4">
        <v>3199706</v>
      </c>
      <c r="I2313" s="4" t="s">
        <v>661</v>
      </c>
      <c r="J2313" s="4" t="s">
        <v>641</v>
      </c>
      <c r="K2313" s="4">
        <v>3055707</v>
      </c>
    </row>
    <row r="2314" spans="2:13" s="3" customFormat="1" x14ac:dyDescent="0.3">
      <c r="B2314" s="44">
        <v>45990</v>
      </c>
      <c r="C2314" s="3" t="s">
        <v>416</v>
      </c>
      <c r="D2314" s="3" t="s">
        <v>487</v>
      </c>
      <c r="E2314" s="4"/>
      <c r="F2314" s="4" t="s">
        <v>710</v>
      </c>
      <c r="G2314" s="4" t="s">
        <v>113</v>
      </c>
      <c r="H2314" s="4">
        <v>3352009</v>
      </c>
      <c r="I2314" s="3" t="s">
        <v>695</v>
      </c>
      <c r="J2314" s="3" t="s">
        <v>101</v>
      </c>
      <c r="K2314" s="4">
        <v>3067305</v>
      </c>
    </row>
    <row r="2315" spans="2:13" s="3" customFormat="1" x14ac:dyDescent="0.3">
      <c r="B2315" s="44">
        <v>45990</v>
      </c>
      <c r="C2315" s="3" t="s">
        <v>416</v>
      </c>
      <c r="D2315" s="3" t="s">
        <v>64</v>
      </c>
      <c r="E2315" s="42">
        <v>4370907</v>
      </c>
      <c r="F2315" s="3" t="s">
        <v>710</v>
      </c>
      <c r="G2315" s="3" t="s">
        <v>354</v>
      </c>
      <c r="H2315" s="4">
        <v>3199404</v>
      </c>
      <c r="I2315" s="4" t="s">
        <v>475</v>
      </c>
      <c r="J2315" s="4" t="s">
        <v>310</v>
      </c>
      <c r="K2315" s="4">
        <v>3212402</v>
      </c>
    </row>
    <row r="2316" spans="2:13" s="3" customFormat="1" x14ac:dyDescent="0.3">
      <c r="B2316" s="44">
        <v>45990</v>
      </c>
      <c r="C2316" s="3" t="s">
        <v>416</v>
      </c>
      <c r="D2316" s="3" t="s">
        <v>496</v>
      </c>
      <c r="E2316" s="42"/>
      <c r="F2316" s="3" t="s">
        <v>710</v>
      </c>
      <c r="G2316" s="3" t="s">
        <v>462</v>
      </c>
      <c r="H2316" s="4">
        <v>3352207</v>
      </c>
      <c r="I2316" s="4" t="s">
        <v>665</v>
      </c>
      <c r="J2316" s="4" t="s">
        <v>204</v>
      </c>
      <c r="K2316" s="4">
        <v>3357400</v>
      </c>
    </row>
    <row r="2317" spans="2:13" s="3" customFormat="1" x14ac:dyDescent="0.3">
      <c r="B2317" s="44">
        <v>45990</v>
      </c>
      <c r="C2317" s="3" t="s">
        <v>416</v>
      </c>
      <c r="D2317" s="3" t="s">
        <v>58</v>
      </c>
      <c r="E2317" s="42"/>
      <c r="F2317" s="3" t="s">
        <v>706</v>
      </c>
      <c r="G2317" s="3" t="s">
        <v>269</v>
      </c>
      <c r="H2317" s="4">
        <v>3069407</v>
      </c>
      <c r="I2317" s="3" t="s">
        <v>703</v>
      </c>
      <c r="J2317" s="3" t="s">
        <v>586</v>
      </c>
      <c r="K2317" s="32" t="s">
        <v>588</v>
      </c>
    </row>
    <row r="2318" spans="2:13" s="3" customFormat="1" x14ac:dyDescent="0.3">
      <c r="B2318" s="44">
        <v>45990</v>
      </c>
      <c r="C2318" s="3" t="s">
        <v>416</v>
      </c>
      <c r="D2318" s="3" t="s">
        <v>504</v>
      </c>
      <c r="E2318" s="42"/>
      <c r="F2318" s="3" t="s">
        <v>645</v>
      </c>
      <c r="G2318" s="3" t="s">
        <v>37</v>
      </c>
      <c r="H2318" s="4">
        <v>3029903</v>
      </c>
      <c r="I2318" s="4" t="s">
        <v>480</v>
      </c>
      <c r="J2318" s="4" t="s">
        <v>505</v>
      </c>
      <c r="K2318" s="4">
        <v>3033207</v>
      </c>
    </row>
    <row r="2319" spans="2:13" s="3" customFormat="1" x14ac:dyDescent="0.3">
      <c r="B2319" s="44">
        <v>45990</v>
      </c>
      <c r="C2319" s="3" t="s">
        <v>416</v>
      </c>
      <c r="D2319" s="3" t="s">
        <v>57</v>
      </c>
      <c r="E2319" s="42"/>
      <c r="F2319" s="3" t="s">
        <v>645</v>
      </c>
      <c r="G2319" s="3" t="s">
        <v>263</v>
      </c>
      <c r="H2319" s="4">
        <v>3198707</v>
      </c>
      <c r="I2319" s="3" t="s">
        <v>667</v>
      </c>
      <c r="J2319" s="3" t="s">
        <v>257</v>
      </c>
      <c r="K2319" s="4">
        <v>3209805</v>
      </c>
    </row>
    <row r="2320" spans="2:13" s="3" customFormat="1" x14ac:dyDescent="0.3">
      <c r="B2320" s="44">
        <v>45990</v>
      </c>
      <c r="C2320" s="3" t="s">
        <v>416</v>
      </c>
      <c r="D2320" s="3" t="s">
        <v>488</v>
      </c>
      <c r="E2320" s="42"/>
      <c r="F2320" s="3" t="s">
        <v>645</v>
      </c>
      <c r="G2320" s="3" t="s">
        <v>123</v>
      </c>
      <c r="H2320" s="4">
        <v>3351104</v>
      </c>
      <c r="I2320" s="4" t="s">
        <v>684</v>
      </c>
      <c r="J2320" s="4" t="s">
        <v>121</v>
      </c>
      <c r="K2320" s="4">
        <v>3354309</v>
      </c>
    </row>
    <row r="2321" spans="1:43" s="3" customFormat="1" x14ac:dyDescent="0.3">
      <c r="B2321" s="44">
        <v>45990</v>
      </c>
      <c r="C2321" s="3" t="s">
        <v>416</v>
      </c>
      <c r="D2321" s="3" t="s">
        <v>491</v>
      </c>
      <c r="E2321" s="42"/>
      <c r="F2321" s="3" t="s">
        <v>645</v>
      </c>
      <c r="G2321" s="3" t="s">
        <v>152</v>
      </c>
      <c r="H2321" s="4">
        <v>3351302</v>
      </c>
      <c r="I2321" s="3" t="s">
        <v>478</v>
      </c>
      <c r="J2321" s="3" t="s">
        <v>463</v>
      </c>
      <c r="K2321" s="74">
        <v>3125500</v>
      </c>
    </row>
    <row r="2322" spans="1:43" s="3" customFormat="1" x14ac:dyDescent="0.3">
      <c r="A2322" s="4"/>
      <c r="B2322" s="100">
        <v>45990</v>
      </c>
      <c r="C2322" s="98" t="s">
        <v>553</v>
      </c>
      <c r="D2322" s="4" t="s">
        <v>512</v>
      </c>
      <c r="E2322" s="4"/>
      <c r="F2322" s="73" t="s">
        <v>513</v>
      </c>
      <c r="G2322" s="73" t="s">
        <v>513</v>
      </c>
      <c r="H2322" s="73"/>
      <c r="I2322" s="73" t="s">
        <v>477</v>
      </c>
      <c r="J2322" s="73" t="s">
        <v>477</v>
      </c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</row>
    <row r="2323" spans="1:43" s="3" customFormat="1" x14ac:dyDescent="0.3">
      <c r="B2323" s="44">
        <v>45990</v>
      </c>
      <c r="C2323" s="3" t="s">
        <v>416</v>
      </c>
      <c r="D2323" s="3" t="s">
        <v>65</v>
      </c>
      <c r="E2323" s="42"/>
      <c r="F2323" s="3" t="s">
        <v>678</v>
      </c>
      <c r="G2323" s="3" t="s">
        <v>452</v>
      </c>
      <c r="H2323" s="4">
        <v>3198207</v>
      </c>
      <c r="I2323" s="4" t="s">
        <v>655</v>
      </c>
      <c r="J2323" s="4" t="s">
        <v>325</v>
      </c>
      <c r="K2323" s="4">
        <v>3201501</v>
      </c>
    </row>
    <row r="2324" spans="1:43" s="3" customFormat="1" x14ac:dyDescent="0.3">
      <c r="B2324" s="44">
        <v>45990</v>
      </c>
      <c r="C2324" s="3" t="s">
        <v>416</v>
      </c>
      <c r="D2324" s="3" t="s">
        <v>497</v>
      </c>
      <c r="E2324" s="42"/>
      <c r="F2324" s="3" t="s">
        <v>678</v>
      </c>
      <c r="G2324" s="3" t="s">
        <v>172</v>
      </c>
      <c r="H2324" s="74">
        <v>3350709</v>
      </c>
      <c r="I2324" s="3" t="s">
        <v>654</v>
      </c>
      <c r="J2324" s="3" t="s">
        <v>438</v>
      </c>
      <c r="K2324" s="74">
        <v>3906207</v>
      </c>
    </row>
    <row r="2325" spans="1:43" s="3" customFormat="1" x14ac:dyDescent="0.3">
      <c r="B2325" s="44">
        <v>45990</v>
      </c>
      <c r="C2325" s="3" t="s">
        <v>416</v>
      </c>
      <c r="D2325" s="3" t="s">
        <v>496</v>
      </c>
      <c r="E2325" s="42"/>
      <c r="F2325" s="3" t="s">
        <v>675</v>
      </c>
      <c r="G2325" s="3" t="s">
        <v>198</v>
      </c>
      <c r="H2325" s="4">
        <v>3350803</v>
      </c>
      <c r="I2325" s="4" t="s">
        <v>710</v>
      </c>
      <c r="J2325" s="4" t="s">
        <v>206</v>
      </c>
      <c r="K2325" s="4">
        <v>3352103</v>
      </c>
    </row>
    <row r="2326" spans="1:43" s="3" customFormat="1" x14ac:dyDescent="0.3">
      <c r="B2326" s="44">
        <v>45990</v>
      </c>
      <c r="C2326" s="3" t="s">
        <v>416</v>
      </c>
      <c r="D2326" s="3" t="s">
        <v>499</v>
      </c>
      <c r="E2326" s="42"/>
      <c r="F2326" s="3" t="s">
        <v>675</v>
      </c>
      <c r="G2326" s="3" t="s">
        <v>572</v>
      </c>
      <c r="H2326" s="53">
        <v>3350303</v>
      </c>
      <c r="I2326" s="3" t="s">
        <v>474</v>
      </c>
      <c r="J2326" s="3" t="s">
        <v>597</v>
      </c>
      <c r="K2326" s="4">
        <v>3352707</v>
      </c>
      <c r="M2326" s="4"/>
    </row>
    <row r="2327" spans="1:43" s="3" customFormat="1" x14ac:dyDescent="0.3">
      <c r="B2327" s="44">
        <v>45990</v>
      </c>
      <c r="C2327" s="3" t="s">
        <v>416</v>
      </c>
      <c r="D2327" s="4" t="s">
        <v>614</v>
      </c>
      <c r="E2327" s="42"/>
      <c r="F2327" s="3" t="s">
        <v>675</v>
      </c>
      <c r="G2327" s="3" t="s">
        <v>403</v>
      </c>
      <c r="H2327" s="4">
        <v>3198509</v>
      </c>
      <c r="I2327" s="4" t="s">
        <v>646</v>
      </c>
      <c r="J2327" s="4" t="s">
        <v>380</v>
      </c>
      <c r="K2327" s="4">
        <v>3202208</v>
      </c>
    </row>
    <row r="2328" spans="1:43" s="3" customFormat="1" x14ac:dyDescent="0.3">
      <c r="B2328" s="44">
        <v>45990</v>
      </c>
      <c r="C2328" s="3" t="s">
        <v>416</v>
      </c>
      <c r="D2328" s="3" t="s">
        <v>590</v>
      </c>
      <c r="E2328" s="42"/>
      <c r="F2328" s="3" t="s">
        <v>691</v>
      </c>
      <c r="G2328" s="3" t="s">
        <v>289</v>
      </c>
      <c r="H2328" s="4">
        <v>3068804</v>
      </c>
      <c r="I2328" s="3" t="s">
        <v>471</v>
      </c>
      <c r="J2328" s="3" t="s">
        <v>291</v>
      </c>
      <c r="K2328" s="4">
        <v>3196709</v>
      </c>
    </row>
    <row r="2329" spans="1:43" s="3" customFormat="1" x14ac:dyDescent="0.3">
      <c r="B2329" s="44">
        <v>45990</v>
      </c>
      <c r="C2329" s="3" t="s">
        <v>416</v>
      </c>
      <c r="D2329" s="3" t="s">
        <v>497</v>
      </c>
      <c r="E2329" s="42"/>
      <c r="F2329" s="17" t="s">
        <v>691</v>
      </c>
      <c r="G2329" s="17" t="s">
        <v>215</v>
      </c>
      <c r="H2329" s="74">
        <v>3350407</v>
      </c>
      <c r="I2329" s="3" t="s">
        <v>681</v>
      </c>
      <c r="J2329" s="3" t="s">
        <v>175</v>
      </c>
      <c r="K2329" s="74">
        <v>3347800</v>
      </c>
    </row>
    <row r="2330" spans="1:43" s="3" customFormat="1" x14ac:dyDescent="0.3">
      <c r="B2330" s="44">
        <v>45990</v>
      </c>
      <c r="C2330" s="3" t="s">
        <v>416</v>
      </c>
      <c r="D2330" s="3" t="s">
        <v>500</v>
      </c>
      <c r="E2330" s="42"/>
      <c r="F2330" s="3" t="s">
        <v>691</v>
      </c>
      <c r="G2330" s="3" t="s">
        <v>238</v>
      </c>
      <c r="H2330" s="4">
        <v>3350105</v>
      </c>
      <c r="I2330" s="4" t="s">
        <v>479</v>
      </c>
      <c r="J2330" s="4" t="s">
        <v>465</v>
      </c>
      <c r="K2330" s="4">
        <v>3962207</v>
      </c>
    </row>
    <row r="2331" spans="1:43" s="3" customFormat="1" x14ac:dyDescent="0.3">
      <c r="B2331" s="44">
        <v>45990</v>
      </c>
      <c r="C2331" s="3" t="s">
        <v>416</v>
      </c>
      <c r="D2331" s="3" t="s">
        <v>69</v>
      </c>
      <c r="E2331" s="42"/>
      <c r="F2331" s="3" t="s">
        <v>691</v>
      </c>
      <c r="G2331" s="3" t="s">
        <v>395</v>
      </c>
      <c r="H2331" s="4">
        <v>3197604</v>
      </c>
      <c r="I2331" s="3" t="s">
        <v>657</v>
      </c>
      <c r="J2331" s="3" t="s">
        <v>393</v>
      </c>
      <c r="K2331" s="4">
        <v>3209701</v>
      </c>
    </row>
    <row r="2332" spans="1:43" s="3" customFormat="1" x14ac:dyDescent="0.3">
      <c r="B2332" s="44">
        <v>45990</v>
      </c>
      <c r="C2332" s="3" t="s">
        <v>416</v>
      </c>
      <c r="D2332" s="3" t="s">
        <v>494</v>
      </c>
      <c r="E2332" s="42"/>
      <c r="F2332" s="3" t="s">
        <v>689</v>
      </c>
      <c r="G2332" s="3" t="s">
        <v>189</v>
      </c>
      <c r="H2332" s="4">
        <v>3350209</v>
      </c>
      <c r="I2332" s="4" t="s">
        <v>472</v>
      </c>
      <c r="J2332" s="4" t="s">
        <v>186</v>
      </c>
      <c r="K2332" s="4">
        <v>3357702</v>
      </c>
    </row>
    <row r="2333" spans="1:43" s="3" customFormat="1" x14ac:dyDescent="0.3">
      <c r="B2333" s="44">
        <v>45990</v>
      </c>
      <c r="C2333" s="3" t="s">
        <v>416</v>
      </c>
      <c r="D2333" s="3" t="s">
        <v>67</v>
      </c>
      <c r="E2333" s="42"/>
      <c r="F2333" s="3" t="s">
        <v>689</v>
      </c>
      <c r="G2333" s="3" t="s">
        <v>341</v>
      </c>
      <c r="H2333" s="4">
        <v>3197708</v>
      </c>
      <c r="I2333" s="3" t="s">
        <v>647</v>
      </c>
      <c r="J2333" s="3" t="s">
        <v>345</v>
      </c>
      <c r="K2333" s="4">
        <v>3194003</v>
      </c>
    </row>
    <row r="2334" spans="1:43" s="3" customFormat="1" x14ac:dyDescent="0.3">
      <c r="B2334" s="44">
        <v>45990</v>
      </c>
      <c r="C2334" s="3" t="s">
        <v>416</v>
      </c>
      <c r="D2334" s="3" t="s">
        <v>70</v>
      </c>
      <c r="E2334" s="42"/>
      <c r="F2334" s="3" t="s">
        <v>689</v>
      </c>
      <c r="G2334" s="3" t="s">
        <v>404</v>
      </c>
      <c r="H2334" s="53">
        <v>3196605</v>
      </c>
      <c r="I2334" s="3" t="s">
        <v>662</v>
      </c>
      <c r="J2334" s="3" t="s">
        <v>399</v>
      </c>
      <c r="K2334" s="4">
        <v>3207401</v>
      </c>
    </row>
    <row r="2335" spans="1:43" s="3" customFormat="1" x14ac:dyDescent="0.3">
      <c r="B2335" s="44">
        <v>45990</v>
      </c>
      <c r="C2335" s="3" t="s">
        <v>416</v>
      </c>
      <c r="D2335" s="3" t="s">
        <v>60</v>
      </c>
      <c r="E2335" s="42"/>
      <c r="F2335" s="3" t="s">
        <v>668</v>
      </c>
      <c r="G2335" s="3" t="s">
        <v>431</v>
      </c>
      <c r="H2335" s="4">
        <v>3900703</v>
      </c>
      <c r="I2335" s="3" t="s">
        <v>706</v>
      </c>
      <c r="J2335" s="3" t="s">
        <v>299</v>
      </c>
      <c r="K2335" s="32">
        <v>3199102</v>
      </c>
    </row>
    <row r="2336" spans="1:43" s="3" customFormat="1" x14ac:dyDescent="0.3">
      <c r="B2336" s="44">
        <v>45990</v>
      </c>
      <c r="C2336" s="3" t="s">
        <v>416</v>
      </c>
      <c r="D2336" s="3" t="s">
        <v>497</v>
      </c>
      <c r="E2336" s="42"/>
      <c r="F2336" s="3" t="s">
        <v>654</v>
      </c>
      <c r="G2336" s="3" t="s">
        <v>216</v>
      </c>
      <c r="H2336" s="4">
        <v>3349808</v>
      </c>
      <c r="I2336" s="17" t="s">
        <v>480</v>
      </c>
      <c r="J2336" s="17" t="s">
        <v>428</v>
      </c>
      <c r="K2336" s="74">
        <v>3360309</v>
      </c>
    </row>
    <row r="2337" spans="2:11" s="3" customFormat="1" x14ac:dyDescent="0.3">
      <c r="B2337" s="44">
        <v>45990</v>
      </c>
      <c r="C2337" s="3" t="s">
        <v>416</v>
      </c>
      <c r="D2337" s="3" t="s">
        <v>500</v>
      </c>
      <c r="E2337" s="42"/>
      <c r="F2337" s="3" t="s">
        <v>654</v>
      </c>
      <c r="G2337" s="3" t="s">
        <v>576</v>
      </c>
      <c r="H2337" s="4">
        <v>4009003</v>
      </c>
      <c r="I2337" s="4" t="s">
        <v>679</v>
      </c>
      <c r="J2337" s="4" t="s">
        <v>466</v>
      </c>
      <c r="K2337" s="4">
        <v>3346707</v>
      </c>
    </row>
    <row r="2338" spans="2:11" s="3" customFormat="1" x14ac:dyDescent="0.3">
      <c r="B2338" s="44">
        <v>45990</v>
      </c>
      <c r="C2338" s="3" t="s">
        <v>416</v>
      </c>
      <c r="D2338" s="3" t="s">
        <v>489</v>
      </c>
      <c r="E2338" s="4"/>
      <c r="F2338" s="4" t="s">
        <v>712</v>
      </c>
      <c r="G2338" s="4" t="s">
        <v>132</v>
      </c>
      <c r="H2338" s="4">
        <v>3068304</v>
      </c>
      <c r="I2338" s="3" t="s">
        <v>662</v>
      </c>
      <c r="J2338" s="3" t="s">
        <v>139</v>
      </c>
      <c r="K2338" s="4">
        <v>3358305</v>
      </c>
    </row>
    <row r="2339" spans="2:11" s="3" customFormat="1" x14ac:dyDescent="0.3">
      <c r="B2339" s="44">
        <v>45990</v>
      </c>
      <c r="C2339" s="3" t="s">
        <v>416</v>
      </c>
      <c r="D2339" s="4" t="s">
        <v>614</v>
      </c>
      <c r="E2339" s="42"/>
      <c r="F2339" s="3" t="s">
        <v>713</v>
      </c>
      <c r="G2339" s="3" t="s">
        <v>386</v>
      </c>
      <c r="H2339" s="4">
        <v>3900807</v>
      </c>
      <c r="I2339" s="4" t="s">
        <v>682</v>
      </c>
      <c r="J2339" s="4" t="s">
        <v>622</v>
      </c>
      <c r="K2339" s="4">
        <v>3969502</v>
      </c>
    </row>
    <row r="2340" spans="2:11" s="3" customFormat="1" x14ac:dyDescent="0.3">
      <c r="B2340" s="44">
        <v>45990</v>
      </c>
      <c r="C2340" s="3" t="s">
        <v>416</v>
      </c>
      <c r="D2340" s="3" t="s">
        <v>495</v>
      </c>
      <c r="E2340" s="42"/>
      <c r="F2340" s="3" t="s">
        <v>713</v>
      </c>
      <c r="G2340" s="3" t="s">
        <v>199</v>
      </c>
      <c r="H2340" s="4">
        <v>3349100</v>
      </c>
      <c r="I2340" s="3" t="s">
        <v>670</v>
      </c>
      <c r="J2340" s="3" t="s">
        <v>224</v>
      </c>
      <c r="K2340" s="4">
        <v>3347008</v>
      </c>
    </row>
    <row r="2341" spans="2:11" s="3" customFormat="1" x14ac:dyDescent="0.3">
      <c r="B2341" s="44">
        <v>45990</v>
      </c>
      <c r="C2341" s="3" t="s">
        <v>416</v>
      </c>
      <c r="D2341" s="4" t="s">
        <v>614</v>
      </c>
      <c r="E2341" s="42"/>
      <c r="F2341" s="3" t="s">
        <v>713</v>
      </c>
      <c r="G2341" s="3" t="s">
        <v>623</v>
      </c>
      <c r="H2341" s="4">
        <v>3819305</v>
      </c>
      <c r="I2341" s="4" t="s">
        <v>710</v>
      </c>
      <c r="J2341" s="4" t="s">
        <v>384</v>
      </c>
      <c r="K2341" s="4">
        <v>3199508</v>
      </c>
    </row>
    <row r="2342" spans="2:11" s="3" customFormat="1" x14ac:dyDescent="0.3">
      <c r="B2342" s="44">
        <v>45990</v>
      </c>
      <c r="C2342" s="3" t="s">
        <v>416</v>
      </c>
      <c r="D2342" s="3" t="s">
        <v>487</v>
      </c>
      <c r="E2342" s="4"/>
      <c r="F2342" s="3" t="s">
        <v>663</v>
      </c>
      <c r="G2342" s="3" t="s">
        <v>419</v>
      </c>
      <c r="H2342" s="4">
        <v>3349204</v>
      </c>
      <c r="I2342" s="4" t="s">
        <v>645</v>
      </c>
      <c r="J2342" s="4" t="s">
        <v>114</v>
      </c>
      <c r="K2342" s="4">
        <v>3351000</v>
      </c>
    </row>
    <row r="2343" spans="2:11" s="3" customFormat="1" x14ac:dyDescent="0.3">
      <c r="B2343" s="44">
        <v>45990</v>
      </c>
      <c r="C2343" s="3" t="s">
        <v>416</v>
      </c>
      <c r="D2343" s="3" t="s">
        <v>493</v>
      </c>
      <c r="E2343" s="42"/>
      <c r="F2343" s="3" t="s">
        <v>663</v>
      </c>
      <c r="G2343" s="3" t="s">
        <v>173</v>
      </c>
      <c r="H2343" s="4">
        <v>3349308</v>
      </c>
      <c r="I2343" s="4" t="s">
        <v>479</v>
      </c>
      <c r="J2343" s="4" t="s">
        <v>210</v>
      </c>
      <c r="K2343" s="4">
        <v>3361100</v>
      </c>
    </row>
    <row r="2344" spans="2:11" s="3" customFormat="1" x14ac:dyDescent="0.3">
      <c r="B2344" s="44">
        <v>45990</v>
      </c>
      <c r="C2344" s="3" t="s">
        <v>416</v>
      </c>
      <c r="D2344" s="3" t="s">
        <v>65</v>
      </c>
      <c r="E2344" s="42"/>
      <c r="F2344" s="3" t="s">
        <v>663</v>
      </c>
      <c r="G2344" s="3" t="s">
        <v>290</v>
      </c>
      <c r="H2344" s="4">
        <v>3197500</v>
      </c>
      <c r="I2344" s="4" t="s">
        <v>693</v>
      </c>
      <c r="J2344" s="4" t="s">
        <v>357</v>
      </c>
      <c r="K2344" s="4">
        <v>3206704</v>
      </c>
    </row>
    <row r="2345" spans="2:11" s="3" customFormat="1" x14ac:dyDescent="0.3">
      <c r="B2345" s="44">
        <v>45990</v>
      </c>
      <c r="C2345" s="3" t="s">
        <v>416</v>
      </c>
      <c r="D2345" s="3" t="s">
        <v>593</v>
      </c>
      <c r="E2345" s="42"/>
      <c r="F2345" s="3" t="s">
        <v>663</v>
      </c>
      <c r="G2345" s="3" t="s">
        <v>396</v>
      </c>
      <c r="H2345" s="4">
        <v>3197104</v>
      </c>
      <c r="I2345" s="15" t="s">
        <v>570</v>
      </c>
      <c r="J2345" s="15" t="s">
        <v>570</v>
      </c>
      <c r="K2345" s="74" t="s">
        <v>556</v>
      </c>
    </row>
    <row r="2346" spans="2:11" s="3" customFormat="1" x14ac:dyDescent="0.3">
      <c r="B2346" s="44">
        <v>45990</v>
      </c>
      <c r="C2346" s="3" t="s">
        <v>416</v>
      </c>
      <c r="D2346" s="3" t="s">
        <v>56</v>
      </c>
      <c r="E2346" s="42"/>
      <c r="F2346" s="4" t="s">
        <v>471</v>
      </c>
      <c r="G2346" s="4" t="s">
        <v>441</v>
      </c>
      <c r="H2346" s="4">
        <v>3023409</v>
      </c>
      <c r="I2346" s="4" t="s">
        <v>661</v>
      </c>
      <c r="J2346" s="4" t="s">
        <v>439</v>
      </c>
      <c r="K2346" s="4">
        <v>3023701</v>
      </c>
    </row>
    <row r="2347" spans="2:11" s="3" customFormat="1" x14ac:dyDescent="0.3">
      <c r="B2347" s="44">
        <v>45990</v>
      </c>
      <c r="C2347" s="3" t="s">
        <v>416</v>
      </c>
      <c r="D2347" s="3" t="s">
        <v>504</v>
      </c>
      <c r="E2347" s="42"/>
      <c r="F2347" s="3" t="s">
        <v>471</v>
      </c>
      <c r="G2347" s="3" t="s">
        <v>14</v>
      </c>
      <c r="H2347" s="4">
        <v>3348601</v>
      </c>
      <c r="I2347" s="4" t="s">
        <v>671</v>
      </c>
      <c r="J2347" s="4" t="s">
        <v>8</v>
      </c>
      <c r="K2347" s="4">
        <v>3034008</v>
      </c>
    </row>
    <row r="2348" spans="2:11" s="3" customFormat="1" x14ac:dyDescent="0.3">
      <c r="B2348" s="44">
        <v>45990</v>
      </c>
      <c r="C2348" s="3" t="s">
        <v>416</v>
      </c>
      <c r="D2348" s="3" t="s">
        <v>56</v>
      </c>
      <c r="E2348" s="42"/>
      <c r="F2348" s="3" t="s">
        <v>471</v>
      </c>
      <c r="G2348" s="3" t="s">
        <v>254</v>
      </c>
      <c r="H2348" s="4">
        <v>3068908</v>
      </c>
      <c r="I2348" s="3" t="s">
        <v>475</v>
      </c>
      <c r="J2348" s="3" t="s">
        <v>256</v>
      </c>
      <c r="K2348" s="4">
        <v>3068700</v>
      </c>
    </row>
    <row r="2349" spans="2:11" s="3" customFormat="1" x14ac:dyDescent="0.3">
      <c r="B2349" s="44">
        <v>45990</v>
      </c>
      <c r="C2349" s="3" t="s">
        <v>416</v>
      </c>
      <c r="D2349" s="3" t="s">
        <v>493</v>
      </c>
      <c r="E2349" s="42"/>
      <c r="F2349" s="3" t="s">
        <v>471</v>
      </c>
      <c r="G2349" s="3" t="s">
        <v>174</v>
      </c>
      <c r="H2349" s="4">
        <v>3348101</v>
      </c>
      <c r="I2349" s="4" t="s">
        <v>676</v>
      </c>
      <c r="J2349" s="4" t="s">
        <v>214</v>
      </c>
      <c r="K2349" s="4">
        <v>3358805</v>
      </c>
    </row>
    <row r="2350" spans="2:11" s="3" customFormat="1" x14ac:dyDescent="0.3">
      <c r="B2350" s="44">
        <v>45990</v>
      </c>
      <c r="C2350" s="3" t="s">
        <v>416</v>
      </c>
      <c r="D2350" s="3" t="s">
        <v>62</v>
      </c>
      <c r="E2350" s="42"/>
      <c r="F2350" s="3" t="s">
        <v>471</v>
      </c>
      <c r="G2350" s="3" t="s">
        <v>328</v>
      </c>
      <c r="H2350" s="4">
        <v>3196803</v>
      </c>
      <c r="I2350" s="4" t="s">
        <v>677</v>
      </c>
      <c r="J2350" s="4" t="s">
        <v>324</v>
      </c>
      <c r="K2350" s="4">
        <v>3201605</v>
      </c>
    </row>
    <row r="2351" spans="2:11" s="3" customFormat="1" x14ac:dyDescent="0.3">
      <c r="B2351" s="44">
        <v>45990</v>
      </c>
      <c r="C2351" s="3" t="s">
        <v>416</v>
      </c>
      <c r="D2351" s="3" t="s">
        <v>493</v>
      </c>
      <c r="E2351" s="42"/>
      <c r="F2351" s="3" t="s">
        <v>471</v>
      </c>
      <c r="G2351" s="3" t="s">
        <v>190</v>
      </c>
      <c r="H2351" s="4">
        <v>3348205</v>
      </c>
      <c r="I2351" s="4" t="s">
        <v>476</v>
      </c>
      <c r="J2351" s="4" t="s">
        <v>170</v>
      </c>
      <c r="K2351" s="4">
        <v>3356703</v>
      </c>
    </row>
    <row r="2352" spans="2:11" s="3" customFormat="1" x14ac:dyDescent="0.3">
      <c r="B2352" s="44">
        <v>45990</v>
      </c>
      <c r="C2352" s="3" t="s">
        <v>416</v>
      </c>
      <c r="D2352" s="3" t="s">
        <v>65</v>
      </c>
      <c r="E2352" s="42"/>
      <c r="F2352" s="3" t="s">
        <v>471</v>
      </c>
      <c r="G2352" s="3" t="s">
        <v>363</v>
      </c>
      <c r="H2352" s="4">
        <v>3196907</v>
      </c>
      <c r="I2352" s="15" t="s">
        <v>691</v>
      </c>
      <c r="J2352" s="15" t="s">
        <v>327</v>
      </c>
      <c r="K2352" s="74">
        <v>3198603</v>
      </c>
    </row>
    <row r="2353" spans="1:43" s="3" customFormat="1" x14ac:dyDescent="0.3">
      <c r="B2353" s="44">
        <v>45990</v>
      </c>
      <c r="C2353" s="3" t="s">
        <v>416</v>
      </c>
      <c r="D2353" s="3" t="s">
        <v>500</v>
      </c>
      <c r="E2353" s="42"/>
      <c r="F2353" s="3" t="s">
        <v>471</v>
      </c>
      <c r="G2353" s="3" t="s">
        <v>467</v>
      </c>
      <c r="H2353" s="4">
        <v>3819409</v>
      </c>
      <c r="I2353" s="4" t="s">
        <v>479</v>
      </c>
      <c r="J2353" s="4" t="s">
        <v>232</v>
      </c>
      <c r="K2353" s="4">
        <v>3360507</v>
      </c>
    </row>
    <row r="2354" spans="1:43" s="3" customFormat="1" x14ac:dyDescent="0.3">
      <c r="B2354" s="44">
        <v>45990</v>
      </c>
      <c r="C2354" s="3" t="s">
        <v>416</v>
      </c>
      <c r="D2354" s="3" t="s">
        <v>487</v>
      </c>
      <c r="E2354" s="4"/>
      <c r="F2354" s="4" t="s">
        <v>692</v>
      </c>
      <c r="G2354" s="4" t="s">
        <v>115</v>
      </c>
      <c r="H2354" s="4">
        <v>3068106</v>
      </c>
      <c r="I2354" s="4" t="s">
        <v>471</v>
      </c>
      <c r="J2354" s="4" t="s">
        <v>133</v>
      </c>
      <c r="K2354" s="4">
        <v>3348705</v>
      </c>
    </row>
    <row r="2355" spans="1:43" s="3" customFormat="1" x14ac:dyDescent="0.3">
      <c r="B2355" s="44">
        <v>45990</v>
      </c>
      <c r="C2355" s="3" t="s">
        <v>416</v>
      </c>
      <c r="D2355" s="3" t="s">
        <v>64</v>
      </c>
      <c r="E2355" s="42">
        <v>4370907</v>
      </c>
      <c r="F2355" s="3" t="s">
        <v>692</v>
      </c>
      <c r="G2355" s="3" t="s">
        <v>342</v>
      </c>
      <c r="H2355" s="4">
        <v>3196501</v>
      </c>
      <c r="I2355" s="4" t="s">
        <v>669</v>
      </c>
      <c r="J2355" s="4" t="s">
        <v>337</v>
      </c>
      <c r="K2355" s="4">
        <v>3209305</v>
      </c>
    </row>
    <row r="2356" spans="1:43" s="3" customFormat="1" x14ac:dyDescent="0.3">
      <c r="B2356" s="44">
        <v>45990</v>
      </c>
      <c r="C2356" s="3" t="s">
        <v>416</v>
      </c>
      <c r="D2356" s="3" t="s">
        <v>494</v>
      </c>
      <c r="E2356" s="42"/>
      <c r="F2356" s="3" t="s">
        <v>692</v>
      </c>
      <c r="G2356" s="3" t="s">
        <v>144</v>
      </c>
      <c r="H2356" s="4">
        <v>3347904</v>
      </c>
      <c r="I2356" s="4" t="s">
        <v>662</v>
      </c>
      <c r="J2356" s="4" t="s">
        <v>242</v>
      </c>
      <c r="K2356" s="4">
        <v>3358107</v>
      </c>
    </row>
    <row r="2357" spans="1:43" s="3" customFormat="1" x14ac:dyDescent="0.3">
      <c r="B2357" s="44">
        <v>45990</v>
      </c>
      <c r="C2357" s="3" t="s">
        <v>416</v>
      </c>
      <c r="D2357" s="3" t="s">
        <v>501</v>
      </c>
      <c r="E2357" s="42"/>
      <c r="F2357" s="3" t="s">
        <v>692</v>
      </c>
      <c r="G2357" s="3" t="s">
        <v>582</v>
      </c>
      <c r="H2357" s="53">
        <v>3900901</v>
      </c>
      <c r="I2357" s="3" t="s">
        <v>662</v>
      </c>
      <c r="J2357" s="3" t="s">
        <v>243</v>
      </c>
      <c r="K2357" s="4">
        <v>3899907</v>
      </c>
      <c r="M2357" s="4"/>
      <c r="N2357" s="4"/>
    </row>
    <row r="2358" spans="1:43" s="3" customFormat="1" x14ac:dyDescent="0.3">
      <c r="B2358" s="44">
        <v>45990</v>
      </c>
      <c r="C2358" s="3" t="s">
        <v>416</v>
      </c>
      <c r="D2358" s="3" t="s">
        <v>488</v>
      </c>
      <c r="E2358" s="42"/>
      <c r="F2358" s="4" t="s">
        <v>698</v>
      </c>
      <c r="G2358" s="4" t="s">
        <v>561</v>
      </c>
      <c r="H2358" s="4" t="s">
        <v>563</v>
      </c>
      <c r="I2358" s="4" t="s">
        <v>695</v>
      </c>
      <c r="J2358" s="4" t="s">
        <v>147</v>
      </c>
      <c r="K2358" s="4">
        <v>3067409</v>
      </c>
    </row>
    <row r="2359" spans="1:43" s="3" customFormat="1" x14ac:dyDescent="0.3">
      <c r="B2359" s="44">
        <v>45990</v>
      </c>
      <c r="C2359" s="3" t="s">
        <v>416</v>
      </c>
      <c r="D2359" s="3" t="s">
        <v>58</v>
      </c>
      <c r="E2359" s="42"/>
      <c r="F2359" s="3" t="s">
        <v>698</v>
      </c>
      <c r="G2359" s="3" t="s">
        <v>587</v>
      </c>
      <c r="H2359" s="4" t="s">
        <v>563</v>
      </c>
      <c r="I2359" s="3" t="s">
        <v>690</v>
      </c>
      <c r="J2359" s="3" t="s">
        <v>303</v>
      </c>
      <c r="K2359" s="4">
        <v>3205101</v>
      </c>
    </row>
    <row r="2360" spans="1:43" s="3" customFormat="1" x14ac:dyDescent="0.3">
      <c r="B2360" s="44">
        <v>45990</v>
      </c>
      <c r="C2360" s="3" t="s">
        <v>416</v>
      </c>
      <c r="D2360" s="3" t="s">
        <v>60</v>
      </c>
      <c r="E2360" s="42"/>
      <c r="F2360" s="3" t="s">
        <v>698</v>
      </c>
      <c r="G2360" s="3" t="s">
        <v>595</v>
      </c>
      <c r="H2360" s="4" t="s">
        <v>563</v>
      </c>
      <c r="I2360" s="3" t="s">
        <v>473</v>
      </c>
      <c r="J2360" s="3" t="s">
        <v>298</v>
      </c>
      <c r="K2360" s="32">
        <v>3817807</v>
      </c>
    </row>
    <row r="2361" spans="1:43" s="3" customFormat="1" x14ac:dyDescent="0.3">
      <c r="B2361" s="44">
        <v>45990</v>
      </c>
      <c r="C2361" s="3" t="s">
        <v>416</v>
      </c>
      <c r="D2361" s="3" t="s">
        <v>590</v>
      </c>
      <c r="E2361" s="42"/>
      <c r="F2361" s="3" t="s">
        <v>699</v>
      </c>
      <c r="G2361" s="3" t="s">
        <v>594</v>
      </c>
      <c r="H2361" s="4">
        <v>3196407</v>
      </c>
      <c r="I2361" s="4" t="s">
        <v>650</v>
      </c>
      <c r="J2361" s="4" t="s">
        <v>277</v>
      </c>
      <c r="K2361" s="4">
        <v>3088400</v>
      </c>
    </row>
    <row r="2362" spans="1:43" s="3" customFormat="1" x14ac:dyDescent="0.3">
      <c r="B2362" s="44">
        <v>45990</v>
      </c>
      <c r="C2362" s="3" t="s">
        <v>416</v>
      </c>
      <c r="D2362" s="4" t="s">
        <v>614</v>
      </c>
      <c r="E2362" s="42"/>
      <c r="F2362" s="3" t="s">
        <v>699</v>
      </c>
      <c r="G2362" s="3" t="s">
        <v>624</v>
      </c>
      <c r="H2362" s="4">
        <v>3196105</v>
      </c>
      <c r="I2362" s="4" t="s">
        <v>714</v>
      </c>
      <c r="J2362" s="4" t="s">
        <v>454</v>
      </c>
      <c r="K2362" s="4">
        <v>3820300</v>
      </c>
    </row>
    <row r="2363" spans="1:43" s="3" customFormat="1" x14ac:dyDescent="0.3">
      <c r="B2363" s="44">
        <v>45990</v>
      </c>
      <c r="C2363" s="3" t="s">
        <v>416</v>
      </c>
      <c r="D2363" s="3" t="s">
        <v>486</v>
      </c>
      <c r="E2363" s="42"/>
      <c r="F2363" s="3" t="s">
        <v>681</v>
      </c>
      <c r="G2363" s="3" t="s">
        <v>105</v>
      </c>
      <c r="H2363" s="4">
        <v>3035809</v>
      </c>
      <c r="I2363" s="4" t="s">
        <v>646</v>
      </c>
      <c r="J2363" s="4" t="s">
        <v>102</v>
      </c>
      <c r="K2363" s="4">
        <v>3125406</v>
      </c>
    </row>
    <row r="2364" spans="1:43" s="3" customFormat="1" x14ac:dyDescent="0.3">
      <c r="B2364" s="44">
        <v>45990</v>
      </c>
      <c r="C2364" s="3" t="s">
        <v>416</v>
      </c>
      <c r="D2364" s="3" t="s">
        <v>59</v>
      </c>
      <c r="E2364" s="42"/>
      <c r="F2364" s="3" t="s">
        <v>681</v>
      </c>
      <c r="G2364" s="3" t="s">
        <v>281</v>
      </c>
      <c r="H2364" s="4">
        <v>3195700</v>
      </c>
      <c r="I2364" s="4" t="s">
        <v>655</v>
      </c>
      <c r="J2364" s="4" t="s">
        <v>288</v>
      </c>
      <c r="K2364" s="4">
        <v>3200908</v>
      </c>
    </row>
    <row r="2365" spans="1:43" s="3" customFormat="1" x14ac:dyDescent="0.3">
      <c r="B2365" s="44">
        <v>45990</v>
      </c>
      <c r="C2365" s="3" t="s">
        <v>416</v>
      </c>
      <c r="D2365" s="3" t="s">
        <v>593</v>
      </c>
      <c r="E2365" s="42"/>
      <c r="F2365" s="3" t="s">
        <v>681</v>
      </c>
      <c r="G2365" s="3" t="s">
        <v>397</v>
      </c>
      <c r="H2365" s="4">
        <v>3195908</v>
      </c>
      <c r="I2365" s="4" t="s">
        <v>661</v>
      </c>
      <c r="J2365" s="4" t="s">
        <v>640</v>
      </c>
      <c r="K2365" s="4">
        <v>3210102</v>
      </c>
    </row>
    <row r="2366" spans="1:43" s="3" customFormat="1" x14ac:dyDescent="0.3">
      <c r="A2366" s="4"/>
      <c r="B2366" s="100">
        <v>45990</v>
      </c>
      <c r="C2366" s="98" t="s">
        <v>553</v>
      </c>
      <c r="D2366" s="4" t="s">
        <v>508</v>
      </c>
      <c r="E2366" s="4"/>
      <c r="F2366" s="73" t="s">
        <v>509</v>
      </c>
      <c r="G2366" s="73" t="s">
        <v>509</v>
      </c>
      <c r="H2366" s="73"/>
      <c r="I2366" s="73" t="s">
        <v>473</v>
      </c>
      <c r="J2366" s="73" t="s">
        <v>473</v>
      </c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</row>
    <row r="2367" spans="1:43" s="3" customFormat="1" x14ac:dyDescent="0.3">
      <c r="B2367" s="44">
        <v>45990</v>
      </c>
      <c r="C2367" s="3" t="s">
        <v>416</v>
      </c>
      <c r="D2367" s="3" t="s">
        <v>64</v>
      </c>
      <c r="E2367" s="42">
        <v>4370907</v>
      </c>
      <c r="F2367" s="3" t="s">
        <v>670</v>
      </c>
      <c r="G2367" s="3" t="s">
        <v>343</v>
      </c>
      <c r="H2367" s="4">
        <v>3195606</v>
      </c>
      <c r="I2367" s="4" t="s">
        <v>671</v>
      </c>
      <c r="J2367" s="4" t="s">
        <v>312</v>
      </c>
      <c r="K2367" s="4">
        <v>3209107</v>
      </c>
    </row>
    <row r="2368" spans="1:43" s="3" customFormat="1" x14ac:dyDescent="0.3">
      <c r="B2368" s="44">
        <v>45990</v>
      </c>
      <c r="C2368" s="3" t="s">
        <v>416</v>
      </c>
      <c r="D2368" s="3" t="s">
        <v>592</v>
      </c>
      <c r="E2368" s="42"/>
      <c r="F2368" s="3" t="s">
        <v>670</v>
      </c>
      <c r="G2368" s="3" t="s">
        <v>636</v>
      </c>
      <c r="H2368" s="74">
        <v>3195502</v>
      </c>
      <c r="I2368" s="3" t="s">
        <v>570</v>
      </c>
      <c r="J2368" s="3" t="s">
        <v>570</v>
      </c>
      <c r="K2368" s="4" t="s">
        <v>556</v>
      </c>
    </row>
    <row r="2369" spans="2:13" s="3" customFormat="1" x14ac:dyDescent="0.3">
      <c r="B2369" s="44">
        <v>45990</v>
      </c>
      <c r="C2369" s="3" t="s">
        <v>416</v>
      </c>
      <c r="D2369" s="3" t="s">
        <v>486</v>
      </c>
      <c r="E2369" s="42"/>
      <c r="F2369" s="3" t="s">
        <v>673</v>
      </c>
      <c r="G2369" s="3" t="s">
        <v>106</v>
      </c>
      <c r="H2369" s="4">
        <v>3067607</v>
      </c>
      <c r="I2369" s="4" t="s">
        <v>645</v>
      </c>
      <c r="J2369" s="4" t="s">
        <v>104</v>
      </c>
      <c r="K2369" s="4">
        <v>3036308</v>
      </c>
    </row>
    <row r="2370" spans="2:13" s="3" customFormat="1" x14ac:dyDescent="0.3">
      <c r="B2370" s="44">
        <v>45990</v>
      </c>
      <c r="C2370" s="3" t="s">
        <v>416</v>
      </c>
      <c r="D2370" s="3" t="s">
        <v>492</v>
      </c>
      <c r="E2370" s="42"/>
      <c r="F2370" s="4" t="s">
        <v>673</v>
      </c>
      <c r="G2370" s="4" t="s">
        <v>134</v>
      </c>
      <c r="H2370" s="4">
        <v>3347102</v>
      </c>
      <c r="I2370" s="4" t="s">
        <v>670</v>
      </c>
      <c r="J2370" s="4" t="s">
        <v>145</v>
      </c>
      <c r="K2370" s="4">
        <v>3347404</v>
      </c>
    </row>
    <row r="2371" spans="2:13" s="3" customFormat="1" x14ac:dyDescent="0.3">
      <c r="B2371" s="44">
        <v>45990</v>
      </c>
      <c r="C2371" s="3" t="s">
        <v>416</v>
      </c>
      <c r="D2371" s="4" t="s">
        <v>614</v>
      </c>
      <c r="E2371" s="42"/>
      <c r="F2371" s="3" t="s">
        <v>673</v>
      </c>
      <c r="G2371" s="3" t="s">
        <v>455</v>
      </c>
      <c r="H2371" s="4">
        <v>3961604</v>
      </c>
      <c r="I2371" s="4" t="s">
        <v>666</v>
      </c>
      <c r="J2371" s="4" t="s">
        <v>453</v>
      </c>
      <c r="K2371" s="4">
        <v>3206006</v>
      </c>
    </row>
    <row r="2372" spans="2:13" s="3" customFormat="1" x14ac:dyDescent="0.3">
      <c r="B2372" s="44">
        <v>45990</v>
      </c>
      <c r="C2372" s="3" t="s">
        <v>416</v>
      </c>
      <c r="D2372" s="3" t="s">
        <v>490</v>
      </c>
      <c r="E2372" s="4"/>
      <c r="F2372" s="3" t="s">
        <v>717</v>
      </c>
      <c r="G2372" s="3" t="s">
        <v>425</v>
      </c>
      <c r="H2372" s="4">
        <v>3347206</v>
      </c>
      <c r="I2372" s="4" t="s">
        <v>475</v>
      </c>
      <c r="J2372" s="4" t="s">
        <v>125</v>
      </c>
      <c r="K2372" s="4">
        <v>3362807</v>
      </c>
    </row>
    <row r="2373" spans="2:13" s="3" customFormat="1" x14ac:dyDescent="0.3">
      <c r="B2373" s="44">
        <v>45990</v>
      </c>
      <c r="C2373" s="3" t="s">
        <v>416</v>
      </c>
      <c r="D2373" s="3" t="s">
        <v>498</v>
      </c>
      <c r="E2373" s="42"/>
      <c r="F2373" s="3" t="s">
        <v>717</v>
      </c>
      <c r="G2373" s="3" t="s">
        <v>429</v>
      </c>
      <c r="H2373" s="4">
        <v>3346905</v>
      </c>
      <c r="I2373" s="3" t="s">
        <v>472</v>
      </c>
      <c r="J2373" s="3" t="s">
        <v>219</v>
      </c>
      <c r="K2373" s="4">
        <v>3357608</v>
      </c>
    </row>
    <row r="2374" spans="2:13" s="3" customFormat="1" x14ac:dyDescent="0.3">
      <c r="B2374" s="44">
        <v>45990</v>
      </c>
      <c r="C2374" s="3" t="s">
        <v>416</v>
      </c>
      <c r="D2374" s="3" t="s">
        <v>70</v>
      </c>
      <c r="E2374" s="42"/>
      <c r="F2374" s="3" t="s">
        <v>717</v>
      </c>
      <c r="G2374" s="3" t="s">
        <v>434</v>
      </c>
      <c r="H2374" s="4">
        <v>3195408</v>
      </c>
      <c r="I2374" s="3" t="s">
        <v>688</v>
      </c>
      <c r="J2374" s="3" t="s">
        <v>460</v>
      </c>
      <c r="K2374" s="4">
        <v>3194503</v>
      </c>
    </row>
    <row r="2375" spans="2:13" s="3" customFormat="1" x14ac:dyDescent="0.3">
      <c r="B2375" s="44">
        <v>45990</v>
      </c>
      <c r="C2375" s="3" t="s">
        <v>416</v>
      </c>
      <c r="D2375" s="3" t="s">
        <v>501</v>
      </c>
      <c r="E2375" s="42"/>
      <c r="F2375" s="3" t="s">
        <v>717</v>
      </c>
      <c r="G2375" s="3" t="s">
        <v>583</v>
      </c>
      <c r="H2375" s="4">
        <v>4022908</v>
      </c>
      <c r="I2375" s="3" t="s">
        <v>708</v>
      </c>
      <c r="J2375" s="3" t="s">
        <v>598</v>
      </c>
      <c r="K2375" s="4">
        <v>3354903</v>
      </c>
      <c r="L2375" s="4"/>
      <c r="M2375" s="4"/>
    </row>
    <row r="2376" spans="2:13" s="3" customFormat="1" x14ac:dyDescent="0.3">
      <c r="B2376" s="44">
        <v>45990</v>
      </c>
      <c r="C2376" s="3" t="s">
        <v>416</v>
      </c>
      <c r="D2376" s="3" t="s">
        <v>489</v>
      </c>
      <c r="E2376" s="4"/>
      <c r="F2376" s="4" t="s">
        <v>679</v>
      </c>
      <c r="G2376" s="4" t="s">
        <v>135</v>
      </c>
      <c r="H2376" s="4">
        <v>3346603</v>
      </c>
      <c r="I2376" s="3" t="s">
        <v>650</v>
      </c>
      <c r="J2376" s="3" t="s">
        <v>163</v>
      </c>
      <c r="K2376" s="4">
        <v>3351802</v>
      </c>
    </row>
    <row r="2377" spans="2:13" s="3" customFormat="1" x14ac:dyDescent="0.3">
      <c r="B2377" s="44">
        <v>45990</v>
      </c>
      <c r="C2377" s="3" t="s">
        <v>416</v>
      </c>
      <c r="D2377" s="3" t="s">
        <v>593</v>
      </c>
      <c r="E2377" s="42"/>
      <c r="F2377" s="3" t="s">
        <v>679</v>
      </c>
      <c r="G2377" s="3" t="s">
        <v>633</v>
      </c>
      <c r="H2377" s="4">
        <v>3194607</v>
      </c>
      <c r="I2377" s="4" t="s">
        <v>476</v>
      </c>
      <c r="J2377" s="4" t="s">
        <v>630</v>
      </c>
      <c r="K2377" s="4">
        <v>3206308</v>
      </c>
    </row>
    <row r="2378" spans="2:13" s="3" customFormat="1" x14ac:dyDescent="0.3">
      <c r="B2378" s="44">
        <v>45990</v>
      </c>
      <c r="C2378" s="3" t="s">
        <v>416</v>
      </c>
      <c r="D2378" s="3" t="s">
        <v>498</v>
      </c>
      <c r="E2378" s="42"/>
      <c r="F2378" s="3" t="s">
        <v>688</v>
      </c>
      <c r="G2378" s="3" t="s">
        <v>146</v>
      </c>
      <c r="H2378" s="53">
        <v>3346405</v>
      </c>
      <c r="I2378" s="3" t="s">
        <v>692</v>
      </c>
      <c r="J2378" s="3" t="s">
        <v>223</v>
      </c>
      <c r="K2378" s="4">
        <v>3348007</v>
      </c>
    </row>
    <row r="2379" spans="2:13" s="3" customFormat="1" x14ac:dyDescent="0.3">
      <c r="B2379" s="44">
        <v>45990</v>
      </c>
      <c r="C2379" s="3" t="s">
        <v>416</v>
      </c>
      <c r="D2379" s="3" t="s">
        <v>64</v>
      </c>
      <c r="E2379" s="42">
        <v>4370907</v>
      </c>
      <c r="F2379" s="3" t="s">
        <v>688</v>
      </c>
      <c r="G2379" s="3" t="s">
        <v>318</v>
      </c>
      <c r="H2379" s="4">
        <v>3037401</v>
      </c>
      <c r="I2379" s="4" t="s">
        <v>673</v>
      </c>
      <c r="J2379" s="4" t="s">
        <v>355</v>
      </c>
      <c r="K2379" s="4">
        <v>3195002</v>
      </c>
    </row>
    <row r="2380" spans="2:13" s="3" customFormat="1" x14ac:dyDescent="0.3">
      <c r="B2380" s="44">
        <v>45990</v>
      </c>
      <c r="C2380" s="3" t="s">
        <v>416</v>
      </c>
      <c r="D2380" s="3" t="s">
        <v>67</v>
      </c>
      <c r="E2380" s="42"/>
      <c r="F2380" s="3" t="s">
        <v>688</v>
      </c>
      <c r="G2380" s="3" t="s">
        <v>344</v>
      </c>
      <c r="H2380" s="4">
        <v>3194909</v>
      </c>
      <c r="I2380" s="4" t="s">
        <v>717</v>
      </c>
      <c r="J2380" s="4" t="s">
        <v>435</v>
      </c>
      <c r="K2380" s="4">
        <v>3195200</v>
      </c>
    </row>
    <row r="2381" spans="2:13" s="3" customFormat="1" x14ac:dyDescent="0.3">
      <c r="B2381" s="44">
        <v>45990</v>
      </c>
      <c r="C2381" s="3" t="s">
        <v>416</v>
      </c>
      <c r="D2381" s="3" t="s">
        <v>70</v>
      </c>
      <c r="E2381" s="42"/>
      <c r="F2381" s="3" t="s">
        <v>688</v>
      </c>
      <c r="G2381" s="3" t="s">
        <v>379</v>
      </c>
      <c r="H2381" s="4">
        <v>3194409</v>
      </c>
      <c r="I2381" s="3" t="s">
        <v>672</v>
      </c>
      <c r="J2381" s="3" t="s">
        <v>401</v>
      </c>
      <c r="K2381" s="4">
        <v>3202000</v>
      </c>
    </row>
    <row r="2382" spans="2:13" s="3" customFormat="1" x14ac:dyDescent="0.3">
      <c r="B2382" s="44">
        <v>45990</v>
      </c>
      <c r="C2382" s="3" t="s">
        <v>416</v>
      </c>
      <c r="D2382" s="3" t="s">
        <v>504</v>
      </c>
      <c r="E2382" s="42"/>
      <c r="F2382" s="4" t="s">
        <v>720</v>
      </c>
      <c r="G2382" s="4" t="s">
        <v>13</v>
      </c>
      <c r="H2382" s="4">
        <v>3125906</v>
      </c>
      <c r="I2382" s="4" t="s">
        <v>694</v>
      </c>
      <c r="J2382" s="4" t="s">
        <v>112</v>
      </c>
      <c r="K2382" s="4">
        <v>3353602</v>
      </c>
    </row>
    <row r="2383" spans="2:13" s="3" customFormat="1" x14ac:dyDescent="0.3">
      <c r="B2383" s="44">
        <v>45990</v>
      </c>
      <c r="C2383" s="3" t="s">
        <v>416</v>
      </c>
      <c r="D2383" s="3" t="s">
        <v>488</v>
      </c>
      <c r="E2383" s="42"/>
      <c r="F2383" s="3" t="s">
        <v>720</v>
      </c>
      <c r="G2383" s="3" t="s">
        <v>153</v>
      </c>
      <c r="H2383" s="4">
        <v>3033405</v>
      </c>
      <c r="I2383" s="3" t="s">
        <v>680</v>
      </c>
      <c r="J2383" s="3" t="s">
        <v>117</v>
      </c>
      <c r="K2383" s="4">
        <v>3359002</v>
      </c>
    </row>
    <row r="2384" spans="2:13" s="3" customFormat="1" x14ac:dyDescent="0.3">
      <c r="B2384" s="44">
        <v>45990</v>
      </c>
      <c r="C2384" s="3" t="s">
        <v>416</v>
      </c>
      <c r="D2384" s="3" t="s">
        <v>494</v>
      </c>
      <c r="E2384" s="42"/>
      <c r="F2384" s="4" t="s">
        <v>647</v>
      </c>
      <c r="G2384" s="4" t="s">
        <v>191</v>
      </c>
      <c r="H2384" s="4">
        <v>3345708</v>
      </c>
      <c r="I2384" s="4" t="s">
        <v>472</v>
      </c>
      <c r="J2384" s="4" t="s">
        <v>185</v>
      </c>
      <c r="K2384" s="4">
        <v>3357806</v>
      </c>
    </row>
    <row r="2385" spans="1:43" s="3" customFormat="1" x14ac:dyDescent="0.3">
      <c r="B2385" s="44">
        <v>45990</v>
      </c>
      <c r="C2385" s="3" t="s">
        <v>416</v>
      </c>
      <c r="D2385" s="3" t="s">
        <v>498</v>
      </c>
      <c r="E2385" s="42"/>
      <c r="F2385" s="3" t="s">
        <v>647</v>
      </c>
      <c r="G2385" s="3" t="s">
        <v>225</v>
      </c>
      <c r="H2385" s="4">
        <v>3345802</v>
      </c>
      <c r="I2385" s="3" t="s">
        <v>472</v>
      </c>
      <c r="J2385" s="3" t="s">
        <v>244</v>
      </c>
      <c r="K2385" s="4">
        <v>3357504</v>
      </c>
    </row>
    <row r="2386" spans="1:43" s="3" customFormat="1" x14ac:dyDescent="0.3">
      <c r="B2386" s="44">
        <v>45990</v>
      </c>
      <c r="C2386" s="3" t="s">
        <v>416</v>
      </c>
      <c r="D2386" s="3" t="s">
        <v>592</v>
      </c>
      <c r="E2386" s="42"/>
      <c r="F2386" s="3" t="s">
        <v>647</v>
      </c>
      <c r="G2386" s="3" t="s">
        <v>405</v>
      </c>
      <c r="H2386" s="74">
        <v>3901108</v>
      </c>
      <c r="I2386" s="3" t="s">
        <v>475</v>
      </c>
      <c r="J2386" s="3" t="s">
        <v>398</v>
      </c>
      <c r="K2386" s="74">
        <v>3211601</v>
      </c>
    </row>
    <row r="2387" spans="1:43" s="3" customFormat="1" x14ac:dyDescent="0.3">
      <c r="B2387" s="44">
        <v>45990</v>
      </c>
      <c r="C2387" s="3" t="s">
        <v>416</v>
      </c>
      <c r="D2387" s="3" t="s">
        <v>68</v>
      </c>
      <c r="E2387" s="42"/>
      <c r="F2387" s="3" t="s">
        <v>687</v>
      </c>
      <c r="G2387" s="3" t="s">
        <v>391</v>
      </c>
      <c r="H2387" s="4">
        <v>3193806</v>
      </c>
      <c r="I2387" s="4" t="s">
        <v>570</v>
      </c>
      <c r="J2387" s="4" t="s">
        <v>570</v>
      </c>
      <c r="K2387" s="4" t="s">
        <v>556</v>
      </c>
    </row>
    <row r="2388" spans="1:43" s="3" customFormat="1" x14ac:dyDescent="0.3">
      <c r="A2388" s="4"/>
      <c r="B2388" s="100">
        <v>45991</v>
      </c>
      <c r="C2388" s="98" t="s">
        <v>553</v>
      </c>
      <c r="D2388" s="4" t="s">
        <v>521</v>
      </c>
      <c r="E2388" s="4"/>
      <c r="F2388" s="73" t="s">
        <v>479</v>
      </c>
      <c r="G2388" s="73" t="s">
        <v>479</v>
      </c>
      <c r="H2388" s="73"/>
      <c r="I2388" s="73" t="s">
        <v>522</v>
      </c>
      <c r="J2388" s="73" t="s">
        <v>522</v>
      </c>
      <c r="K2388" s="15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</row>
    <row r="2389" spans="1:43" s="3" customFormat="1" x14ac:dyDescent="0.3">
      <c r="A2389" s="4"/>
      <c r="B2389" s="100">
        <v>45991</v>
      </c>
      <c r="C2389" s="98" t="s">
        <v>553</v>
      </c>
      <c r="D2389" s="4" t="s">
        <v>516</v>
      </c>
      <c r="E2389" s="4"/>
      <c r="F2389" s="73" t="s">
        <v>476</v>
      </c>
      <c r="G2389" s="73" t="s">
        <v>476</v>
      </c>
      <c r="H2389" s="73"/>
      <c r="I2389" s="73" t="s">
        <v>520</v>
      </c>
      <c r="J2389" s="73" t="s">
        <v>520</v>
      </c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</row>
    <row r="2390" spans="1:43" s="3" customFormat="1" x14ac:dyDescent="0.3">
      <c r="A2390" s="4"/>
      <c r="B2390" s="100">
        <v>45991</v>
      </c>
      <c r="C2390" s="98" t="s">
        <v>553</v>
      </c>
      <c r="D2390" s="4" t="s">
        <v>516</v>
      </c>
      <c r="E2390" s="4"/>
      <c r="F2390" s="73" t="s">
        <v>517</v>
      </c>
      <c r="G2390" s="73" t="s">
        <v>517</v>
      </c>
      <c r="H2390" s="73"/>
      <c r="I2390" s="73" t="s">
        <v>474</v>
      </c>
      <c r="J2390" s="73" t="s">
        <v>474</v>
      </c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</row>
    <row r="2391" spans="1:43" s="3" customFormat="1" x14ac:dyDescent="0.3">
      <c r="A2391" s="4"/>
      <c r="B2391" s="100">
        <v>45991</v>
      </c>
      <c r="C2391" s="98" t="s">
        <v>553</v>
      </c>
      <c r="D2391" s="4" t="s">
        <v>516</v>
      </c>
      <c r="E2391" s="4"/>
      <c r="F2391" s="73" t="s">
        <v>519</v>
      </c>
      <c r="G2391" s="73" t="s">
        <v>519</v>
      </c>
      <c r="H2391" s="73"/>
      <c r="I2391" s="73" t="s">
        <v>518</v>
      </c>
      <c r="J2391" s="73" t="s">
        <v>518</v>
      </c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</row>
    <row r="2392" spans="1:43" s="3" customFormat="1" x14ac:dyDescent="0.3">
      <c r="A2392" s="4"/>
      <c r="B2392" s="100">
        <v>45991</v>
      </c>
      <c r="C2392" s="98" t="s">
        <v>553</v>
      </c>
      <c r="D2392" s="4" t="s">
        <v>521</v>
      </c>
      <c r="E2392" s="4"/>
      <c r="F2392" s="73" t="s">
        <v>471</v>
      </c>
      <c r="G2392" s="73" t="s">
        <v>471</v>
      </c>
      <c r="H2392" s="73"/>
      <c r="I2392" s="73" t="s">
        <v>472</v>
      </c>
      <c r="J2392" s="73" t="s">
        <v>472</v>
      </c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</row>
    <row r="2393" spans="1:43" s="3" customFormat="1" x14ac:dyDescent="0.3">
      <c r="B2393" s="44">
        <v>46032</v>
      </c>
      <c r="C2393" s="3" t="s">
        <v>416</v>
      </c>
      <c r="D2393" s="3" t="s">
        <v>504</v>
      </c>
      <c r="E2393" s="42"/>
      <c r="F2393" s="3" t="s">
        <v>475</v>
      </c>
      <c r="G2393" s="3" t="s">
        <v>15</v>
      </c>
      <c r="H2393" s="4">
        <v>3029601</v>
      </c>
      <c r="I2393" s="3" t="s">
        <v>666</v>
      </c>
      <c r="J2393" s="3" t="s">
        <v>12</v>
      </c>
      <c r="K2393" s="4">
        <v>3034206</v>
      </c>
    </row>
    <row r="2394" spans="1:43" s="3" customFormat="1" x14ac:dyDescent="0.3">
      <c r="B2394" s="44">
        <v>46032</v>
      </c>
      <c r="C2394" s="3" t="s">
        <v>416</v>
      </c>
      <c r="D2394" s="3" t="s">
        <v>56</v>
      </c>
      <c r="E2394" s="42"/>
      <c r="F2394" s="3" t="s">
        <v>475</v>
      </c>
      <c r="G2394" s="3" t="s">
        <v>256</v>
      </c>
      <c r="H2394" s="4">
        <v>3068700</v>
      </c>
      <c r="I2394" s="73" t="s">
        <v>474</v>
      </c>
      <c r="J2394" s="73" t="s">
        <v>253</v>
      </c>
      <c r="K2394" s="4">
        <v>3037109</v>
      </c>
    </row>
    <row r="2395" spans="1:43" s="3" customFormat="1" x14ac:dyDescent="0.3">
      <c r="B2395" s="44">
        <v>46032</v>
      </c>
      <c r="C2395" s="3" t="s">
        <v>416</v>
      </c>
      <c r="D2395" s="3" t="s">
        <v>494</v>
      </c>
      <c r="E2395" s="42"/>
      <c r="F2395" s="3" t="s">
        <v>475</v>
      </c>
      <c r="G2395" s="3" t="s">
        <v>183</v>
      </c>
      <c r="H2395" s="4">
        <v>3362901</v>
      </c>
      <c r="I2395" s="4" t="s">
        <v>647</v>
      </c>
      <c r="J2395" s="4" t="s">
        <v>191</v>
      </c>
      <c r="K2395" s="4">
        <v>3345708</v>
      </c>
    </row>
    <row r="2396" spans="1:43" s="3" customFormat="1" x14ac:dyDescent="0.3">
      <c r="B2396" s="44">
        <v>46032</v>
      </c>
      <c r="C2396" s="3" t="s">
        <v>416</v>
      </c>
      <c r="D2396" s="3" t="s">
        <v>592</v>
      </c>
      <c r="E2396" s="42"/>
      <c r="F2396" s="3" t="s">
        <v>475</v>
      </c>
      <c r="G2396" s="3" t="s">
        <v>398</v>
      </c>
      <c r="H2396" s="74">
        <v>3211601</v>
      </c>
      <c r="I2396" s="3" t="s">
        <v>570</v>
      </c>
      <c r="J2396" s="3" t="s">
        <v>570</v>
      </c>
      <c r="K2396" s="4" t="s">
        <v>556</v>
      </c>
    </row>
    <row r="2397" spans="1:43" s="3" customFormat="1" x14ac:dyDescent="0.3">
      <c r="B2397" s="44">
        <v>46032</v>
      </c>
      <c r="C2397" s="3" t="s">
        <v>416</v>
      </c>
      <c r="D2397" s="3" t="s">
        <v>60</v>
      </c>
      <c r="E2397" s="42"/>
      <c r="F2397" s="32" t="s">
        <v>705</v>
      </c>
      <c r="G2397" s="32" t="s">
        <v>293</v>
      </c>
      <c r="H2397" s="15">
        <v>3211705</v>
      </c>
      <c r="I2397" s="3" t="s">
        <v>473</v>
      </c>
      <c r="J2397" s="3" t="s">
        <v>445</v>
      </c>
      <c r="K2397" s="4">
        <v>3204102</v>
      </c>
    </row>
    <row r="2398" spans="1:43" s="3" customFormat="1" x14ac:dyDescent="0.3">
      <c r="B2398" s="44">
        <v>46032</v>
      </c>
      <c r="C2398" s="3" t="s">
        <v>416</v>
      </c>
      <c r="D2398" s="3" t="s">
        <v>590</v>
      </c>
      <c r="E2398" s="42"/>
      <c r="F2398" s="3" t="s">
        <v>648</v>
      </c>
      <c r="G2398" s="3" t="s">
        <v>449</v>
      </c>
      <c r="H2398" s="4">
        <v>3961500</v>
      </c>
      <c r="I2398" s="4" t="s">
        <v>657</v>
      </c>
      <c r="J2398" s="4" t="s">
        <v>321</v>
      </c>
      <c r="K2398" s="4">
        <v>3209607</v>
      </c>
    </row>
    <row r="2399" spans="1:43" s="3" customFormat="1" x14ac:dyDescent="0.3">
      <c r="B2399" s="44">
        <v>46032</v>
      </c>
      <c r="C2399" s="3" t="s">
        <v>416</v>
      </c>
      <c r="D2399" s="3" t="s">
        <v>492</v>
      </c>
      <c r="E2399" s="42"/>
      <c r="F2399" s="3" t="s">
        <v>649</v>
      </c>
      <c r="G2399" s="3" t="s">
        <v>154</v>
      </c>
      <c r="H2399" s="4">
        <v>3362109</v>
      </c>
      <c r="I2399" s="4" t="s">
        <v>648</v>
      </c>
      <c r="J2399" s="4" t="s">
        <v>201</v>
      </c>
      <c r="K2399" s="4">
        <v>3362203</v>
      </c>
    </row>
    <row r="2400" spans="1:43" s="3" customFormat="1" x14ac:dyDescent="0.3">
      <c r="B2400" s="44">
        <v>46032</v>
      </c>
      <c r="C2400" s="3" t="s">
        <v>416</v>
      </c>
      <c r="D2400" s="3" t="s">
        <v>496</v>
      </c>
      <c r="E2400" s="42"/>
      <c r="F2400" s="3" t="s">
        <v>651</v>
      </c>
      <c r="G2400" s="3" t="s">
        <v>202</v>
      </c>
      <c r="H2400" s="74">
        <v>3361808</v>
      </c>
      <c r="I2400" s="4" t="s">
        <v>665</v>
      </c>
      <c r="J2400" s="4" t="s">
        <v>204</v>
      </c>
      <c r="K2400" s="4">
        <v>3357400</v>
      </c>
    </row>
    <row r="2401" spans="2:11" s="3" customFormat="1" x14ac:dyDescent="0.3">
      <c r="B2401" s="44">
        <v>46032</v>
      </c>
      <c r="C2401" s="3" t="s">
        <v>416</v>
      </c>
      <c r="D2401" s="3" t="s">
        <v>492</v>
      </c>
      <c r="E2401" s="42"/>
      <c r="F2401" s="3" t="s">
        <v>719</v>
      </c>
      <c r="G2401" s="3" t="s">
        <v>155</v>
      </c>
      <c r="H2401" s="4">
        <v>3361600</v>
      </c>
      <c r="I2401" s="4" t="s">
        <v>713</v>
      </c>
      <c r="J2401" s="4" t="s">
        <v>165</v>
      </c>
      <c r="K2401" s="4">
        <v>3349006</v>
      </c>
    </row>
    <row r="2402" spans="2:11" s="3" customFormat="1" x14ac:dyDescent="0.3">
      <c r="B2402" s="44">
        <v>46032</v>
      </c>
      <c r="C2402" s="3" t="s">
        <v>416</v>
      </c>
      <c r="D2402" s="3" t="s">
        <v>490</v>
      </c>
      <c r="E2402" s="4"/>
      <c r="F2402" s="3" t="s">
        <v>653</v>
      </c>
      <c r="G2402" s="3" t="s">
        <v>126</v>
      </c>
      <c r="H2402" s="4">
        <v>3361402</v>
      </c>
      <c r="I2402" s="4" t="s">
        <v>654</v>
      </c>
      <c r="J2402" s="4" t="s">
        <v>143</v>
      </c>
      <c r="K2402" s="4">
        <v>3349704</v>
      </c>
    </row>
    <row r="2403" spans="2:11" s="3" customFormat="1" x14ac:dyDescent="0.3">
      <c r="B2403" s="44">
        <v>46032</v>
      </c>
      <c r="C2403" s="3" t="s">
        <v>416</v>
      </c>
      <c r="D2403" s="3" t="s">
        <v>497</v>
      </c>
      <c r="E2403" s="42"/>
      <c r="F2403" s="17" t="s">
        <v>653</v>
      </c>
      <c r="G2403" s="17" t="s">
        <v>209</v>
      </c>
      <c r="H2403" s="74">
        <v>3360705</v>
      </c>
      <c r="I2403" s="17" t="s">
        <v>691</v>
      </c>
      <c r="J2403" s="17" t="s">
        <v>215</v>
      </c>
      <c r="K2403" s="74">
        <v>3350407</v>
      </c>
    </row>
    <row r="2404" spans="2:11" s="3" customFormat="1" x14ac:dyDescent="0.3">
      <c r="B2404" s="44">
        <v>46032</v>
      </c>
      <c r="C2404" s="3" t="s">
        <v>416</v>
      </c>
      <c r="D2404" s="3" t="s">
        <v>593</v>
      </c>
      <c r="E2404" s="42"/>
      <c r="F2404" s="3" t="s">
        <v>653</v>
      </c>
      <c r="G2404" s="3" t="s">
        <v>459</v>
      </c>
      <c r="H2404" s="4">
        <v>3211101</v>
      </c>
      <c r="I2404" s="4" t="s">
        <v>701</v>
      </c>
      <c r="J2404" s="4" t="s">
        <v>631</v>
      </c>
      <c r="K2404" s="4">
        <v>4023209</v>
      </c>
    </row>
    <row r="2405" spans="2:11" s="3" customFormat="1" x14ac:dyDescent="0.3">
      <c r="B2405" s="44">
        <v>46032</v>
      </c>
      <c r="C2405" s="3" t="s">
        <v>416</v>
      </c>
      <c r="D2405" s="3" t="s">
        <v>504</v>
      </c>
      <c r="E2405" s="42"/>
      <c r="F2405" s="3" t="s">
        <v>479</v>
      </c>
      <c r="G2405" s="3" t="s">
        <v>9</v>
      </c>
      <c r="H2405" s="4">
        <v>3033405</v>
      </c>
      <c r="I2405" s="4" t="s">
        <v>720</v>
      </c>
      <c r="J2405" s="4" t="s">
        <v>13</v>
      </c>
      <c r="K2405" s="4">
        <v>3125906</v>
      </c>
    </row>
    <row r="2406" spans="2:11" s="3" customFormat="1" x14ac:dyDescent="0.3">
      <c r="B2406" s="44">
        <v>46032</v>
      </c>
      <c r="C2406" s="3" t="s">
        <v>416</v>
      </c>
      <c r="D2406" s="3" t="s">
        <v>487</v>
      </c>
      <c r="E2406" s="4"/>
      <c r="F2406" s="3" t="s">
        <v>479</v>
      </c>
      <c r="G2406" s="3" t="s">
        <v>127</v>
      </c>
      <c r="H2406" s="4">
        <v>3360809</v>
      </c>
      <c r="I2406" s="4" t="s">
        <v>657</v>
      </c>
      <c r="J2406" s="4" t="s">
        <v>107</v>
      </c>
      <c r="K2406" s="4">
        <v>3068408</v>
      </c>
    </row>
    <row r="2407" spans="2:11" s="3" customFormat="1" x14ac:dyDescent="0.3">
      <c r="B2407" s="44">
        <v>46032</v>
      </c>
      <c r="C2407" s="3" t="s">
        <v>416</v>
      </c>
      <c r="D2407" s="3" t="s">
        <v>590</v>
      </c>
      <c r="E2407" s="42"/>
      <c r="F2407" s="3" t="s">
        <v>479</v>
      </c>
      <c r="G2407" s="3" t="s">
        <v>284</v>
      </c>
      <c r="H2407" s="4">
        <v>3210904</v>
      </c>
      <c r="I2407" s="4" t="s">
        <v>671</v>
      </c>
      <c r="J2407" s="4" t="s">
        <v>311</v>
      </c>
      <c r="K2407" s="4">
        <v>3209003</v>
      </c>
    </row>
    <row r="2408" spans="2:11" s="3" customFormat="1" x14ac:dyDescent="0.3">
      <c r="B2408" s="44">
        <v>46032</v>
      </c>
      <c r="C2408" s="3" t="s">
        <v>416</v>
      </c>
      <c r="D2408" s="3" t="s">
        <v>490</v>
      </c>
      <c r="E2408" s="4"/>
      <c r="F2408" s="3" t="s">
        <v>479</v>
      </c>
      <c r="G2408" s="3" t="s">
        <v>166</v>
      </c>
      <c r="H2408" s="4">
        <v>3361006</v>
      </c>
      <c r="I2408" s="4" t="s">
        <v>479</v>
      </c>
      <c r="J2408" s="4" t="s">
        <v>136</v>
      </c>
      <c r="K2408" s="4">
        <v>3360903</v>
      </c>
    </row>
    <row r="2409" spans="2:11" s="3" customFormat="1" x14ac:dyDescent="0.3">
      <c r="B2409" s="44">
        <v>46032</v>
      </c>
      <c r="C2409" s="3" t="s">
        <v>416</v>
      </c>
      <c r="D2409" s="3" t="s">
        <v>62</v>
      </c>
      <c r="E2409" s="42"/>
      <c r="F2409" s="3" t="s">
        <v>479</v>
      </c>
      <c r="G2409" s="3" t="s">
        <v>319</v>
      </c>
      <c r="H2409" s="4">
        <v>3210508</v>
      </c>
      <c r="I2409" s="3" t="s">
        <v>663</v>
      </c>
      <c r="J2409" s="3" t="s">
        <v>280</v>
      </c>
      <c r="K2409" s="4">
        <v>3198103</v>
      </c>
    </row>
    <row r="2410" spans="2:11" s="3" customFormat="1" x14ac:dyDescent="0.3">
      <c r="B2410" s="44">
        <v>46032</v>
      </c>
      <c r="C2410" s="3" t="s">
        <v>416</v>
      </c>
      <c r="D2410" s="3" t="s">
        <v>493</v>
      </c>
      <c r="E2410" s="42"/>
      <c r="F2410" s="3" t="s">
        <v>479</v>
      </c>
      <c r="G2410" s="3" t="s">
        <v>211</v>
      </c>
      <c r="H2410" s="4">
        <v>3361204</v>
      </c>
      <c r="I2410" s="4" t="s">
        <v>676</v>
      </c>
      <c r="J2410" s="4" t="s">
        <v>214</v>
      </c>
      <c r="K2410" s="4">
        <v>3358805</v>
      </c>
    </row>
    <row r="2411" spans="2:11" s="3" customFormat="1" x14ac:dyDescent="0.3">
      <c r="B2411" s="44">
        <v>46032</v>
      </c>
      <c r="C2411" s="3" t="s">
        <v>416</v>
      </c>
      <c r="D2411" s="3" t="s">
        <v>593</v>
      </c>
      <c r="E2411" s="42"/>
      <c r="F2411" s="3" t="s">
        <v>479</v>
      </c>
      <c r="G2411" s="3" t="s">
        <v>628</v>
      </c>
      <c r="H2411" s="4" t="s">
        <v>642</v>
      </c>
      <c r="I2411" s="15" t="s">
        <v>570</v>
      </c>
      <c r="J2411" s="15" t="s">
        <v>570</v>
      </c>
      <c r="K2411" s="74" t="s">
        <v>556</v>
      </c>
    </row>
    <row r="2412" spans="2:11" s="3" customFormat="1" x14ac:dyDescent="0.3">
      <c r="B2412" s="44">
        <v>46032</v>
      </c>
      <c r="C2412" s="3" t="s">
        <v>416</v>
      </c>
      <c r="D2412" s="3" t="s">
        <v>63</v>
      </c>
      <c r="E2412" s="42"/>
      <c r="F2412" s="3" t="s">
        <v>658</v>
      </c>
      <c r="G2412" s="3" t="s">
        <v>366</v>
      </c>
      <c r="H2412" s="74">
        <v>3210404</v>
      </c>
      <c r="I2412" s="3" t="s">
        <v>697</v>
      </c>
      <c r="J2412" s="3" t="s">
        <v>448</v>
      </c>
      <c r="K2412" s="4">
        <v>3036808</v>
      </c>
    </row>
    <row r="2413" spans="2:11" s="3" customFormat="1" x14ac:dyDescent="0.3">
      <c r="B2413" s="44">
        <v>46032</v>
      </c>
      <c r="C2413" s="3" t="s">
        <v>416</v>
      </c>
      <c r="D2413" s="3" t="s">
        <v>486</v>
      </c>
      <c r="E2413" s="42"/>
      <c r="F2413" s="3" t="s">
        <v>480</v>
      </c>
      <c r="G2413" s="3" t="s">
        <v>406</v>
      </c>
      <c r="H2413" s="4">
        <v>3124501</v>
      </c>
      <c r="I2413" s="4" t="s">
        <v>651</v>
      </c>
      <c r="J2413" s="4" t="s">
        <v>97</v>
      </c>
      <c r="K2413" s="4">
        <v>3362005</v>
      </c>
    </row>
    <row r="2414" spans="2:11" s="3" customFormat="1" x14ac:dyDescent="0.3">
      <c r="B2414" s="44">
        <v>46032</v>
      </c>
      <c r="C2414" s="3" t="s">
        <v>416</v>
      </c>
      <c r="D2414" s="3" t="s">
        <v>493</v>
      </c>
      <c r="E2414" s="42"/>
      <c r="F2414" s="3" t="s">
        <v>480</v>
      </c>
      <c r="G2414" s="3" t="s">
        <v>423</v>
      </c>
      <c r="H2414" s="4">
        <v>3360403</v>
      </c>
      <c r="I2414" s="4" t="s">
        <v>476</v>
      </c>
      <c r="J2414" s="4" t="s">
        <v>170</v>
      </c>
      <c r="K2414" s="4">
        <v>3356703</v>
      </c>
    </row>
    <row r="2415" spans="2:11" s="3" customFormat="1" x14ac:dyDescent="0.3">
      <c r="B2415" s="44">
        <v>46032</v>
      </c>
      <c r="C2415" s="3" t="s">
        <v>416</v>
      </c>
      <c r="D2415" s="3" t="s">
        <v>497</v>
      </c>
      <c r="E2415" s="42"/>
      <c r="F2415" s="17" t="s">
        <v>480</v>
      </c>
      <c r="G2415" s="17" t="s">
        <v>428</v>
      </c>
      <c r="H2415" s="74">
        <v>3360309</v>
      </c>
      <c r="I2415" s="15" t="s">
        <v>471</v>
      </c>
      <c r="J2415" s="15" t="s">
        <v>240</v>
      </c>
      <c r="K2415" s="74">
        <v>3348403</v>
      </c>
    </row>
    <row r="2416" spans="2:11" s="3" customFormat="1" x14ac:dyDescent="0.3">
      <c r="B2416" s="44">
        <v>46032</v>
      </c>
      <c r="C2416" s="3" t="s">
        <v>416</v>
      </c>
      <c r="D2416" s="3" t="s">
        <v>490</v>
      </c>
      <c r="E2416" s="4"/>
      <c r="F2416" s="3" t="s">
        <v>660</v>
      </c>
      <c r="G2416" s="3" t="s">
        <v>137</v>
      </c>
      <c r="H2416" s="4">
        <v>3359908</v>
      </c>
      <c r="I2416" s="4" t="s">
        <v>480</v>
      </c>
      <c r="J2416" s="4" t="s">
        <v>420</v>
      </c>
      <c r="K2416" s="4">
        <v>3360101</v>
      </c>
    </row>
    <row r="2417" spans="2:11" s="3" customFormat="1" x14ac:dyDescent="0.3">
      <c r="B2417" s="44">
        <v>46032</v>
      </c>
      <c r="C2417" s="3" t="s">
        <v>416</v>
      </c>
      <c r="D2417" s="3" t="s">
        <v>62</v>
      </c>
      <c r="E2417" s="42"/>
      <c r="F2417" s="3" t="s">
        <v>660</v>
      </c>
      <c r="G2417" s="3" t="s">
        <v>443</v>
      </c>
      <c r="H2417" s="4">
        <v>3210008</v>
      </c>
      <c r="I2417" s="4" t="s">
        <v>476</v>
      </c>
      <c r="J2417" s="4" t="s">
        <v>323</v>
      </c>
      <c r="K2417" s="4">
        <v>3206506</v>
      </c>
    </row>
    <row r="2418" spans="2:11" s="3" customFormat="1" x14ac:dyDescent="0.3">
      <c r="B2418" s="44">
        <v>46032</v>
      </c>
      <c r="C2418" s="3" t="s">
        <v>416</v>
      </c>
      <c r="D2418" s="3" t="s">
        <v>497</v>
      </c>
      <c r="E2418" s="42"/>
      <c r="F2418" s="17" t="s">
        <v>660</v>
      </c>
      <c r="G2418" s="17" t="s">
        <v>212</v>
      </c>
      <c r="H2418" s="74">
        <v>3360007</v>
      </c>
      <c r="I2418" s="17" t="s">
        <v>657</v>
      </c>
      <c r="J2418" s="17" t="s">
        <v>213</v>
      </c>
      <c r="K2418" s="74">
        <v>3359502</v>
      </c>
    </row>
    <row r="2419" spans="2:11" s="3" customFormat="1" x14ac:dyDescent="0.3">
      <c r="B2419" s="44">
        <v>46032</v>
      </c>
      <c r="C2419" s="3" t="s">
        <v>416</v>
      </c>
      <c r="D2419" s="3" t="s">
        <v>493</v>
      </c>
      <c r="E2419" s="42"/>
      <c r="F2419" s="3" t="s">
        <v>657</v>
      </c>
      <c r="G2419" s="3" t="s">
        <v>167</v>
      </c>
      <c r="H2419" s="4">
        <v>3359804</v>
      </c>
      <c r="I2419" s="4" t="s">
        <v>476</v>
      </c>
      <c r="J2419" s="4" t="s">
        <v>169</v>
      </c>
      <c r="K2419" s="4">
        <v>3356609</v>
      </c>
    </row>
    <row r="2420" spans="2:11" s="3" customFormat="1" x14ac:dyDescent="0.3">
      <c r="B2420" s="44">
        <v>46032</v>
      </c>
      <c r="C2420" s="3" t="s">
        <v>416</v>
      </c>
      <c r="D2420" s="3" t="s">
        <v>500</v>
      </c>
      <c r="E2420" s="42"/>
      <c r="F2420" s="3" t="s">
        <v>657</v>
      </c>
      <c r="G2420" s="3" t="s">
        <v>574</v>
      </c>
      <c r="H2420" s="4">
        <v>3359606</v>
      </c>
      <c r="I2420" s="4" t="s">
        <v>479</v>
      </c>
      <c r="J2420" s="4" t="s">
        <v>232</v>
      </c>
      <c r="K2420" s="4">
        <v>3360507</v>
      </c>
    </row>
    <row r="2421" spans="2:11" s="3" customFormat="1" x14ac:dyDescent="0.3">
      <c r="B2421" s="44">
        <v>46032</v>
      </c>
      <c r="C2421" s="3" t="s">
        <v>416</v>
      </c>
      <c r="D2421" s="3" t="s">
        <v>57</v>
      </c>
      <c r="E2421" s="42"/>
      <c r="F2421" s="3" t="s">
        <v>667</v>
      </c>
      <c r="G2421" s="3" t="s">
        <v>257</v>
      </c>
      <c r="H2421" s="4">
        <v>3209805</v>
      </c>
      <c r="I2421" s="74" t="s">
        <v>694</v>
      </c>
      <c r="J2421" s="74" t="s">
        <v>276</v>
      </c>
      <c r="K2421" s="74">
        <v>3201709</v>
      </c>
    </row>
    <row r="2422" spans="2:11" s="3" customFormat="1" x14ac:dyDescent="0.3">
      <c r="B2422" s="44">
        <v>46032</v>
      </c>
      <c r="C2422" s="3" t="s">
        <v>416</v>
      </c>
      <c r="D2422" s="3" t="s">
        <v>60</v>
      </c>
      <c r="E2422" s="42"/>
      <c r="F2422" s="3" t="s">
        <v>667</v>
      </c>
      <c r="G2422" s="3" t="s">
        <v>294</v>
      </c>
      <c r="H2422" s="4">
        <v>3209409</v>
      </c>
      <c r="I2422" s="3" t="s">
        <v>695</v>
      </c>
      <c r="J2422" s="3" t="s">
        <v>296</v>
      </c>
      <c r="K2422" s="4">
        <v>3203905</v>
      </c>
    </row>
    <row r="2423" spans="2:11" s="3" customFormat="1" x14ac:dyDescent="0.3">
      <c r="B2423" s="44">
        <v>46032</v>
      </c>
      <c r="C2423" s="3" t="s">
        <v>416</v>
      </c>
      <c r="D2423" s="3" t="s">
        <v>56</v>
      </c>
      <c r="E2423" s="42"/>
      <c r="F2423" s="73" t="s">
        <v>671</v>
      </c>
      <c r="G2423" s="73" t="s">
        <v>247</v>
      </c>
      <c r="H2423" s="4">
        <v>3034102</v>
      </c>
      <c r="I2423" s="4" t="s">
        <v>696</v>
      </c>
      <c r="J2423" s="4" t="s">
        <v>261</v>
      </c>
      <c r="K2423" s="4">
        <v>3202302</v>
      </c>
    </row>
    <row r="2424" spans="2:11" s="3" customFormat="1" x14ac:dyDescent="0.3">
      <c r="B2424" s="44">
        <v>46032</v>
      </c>
      <c r="C2424" s="3" t="s">
        <v>416</v>
      </c>
      <c r="D2424" s="3" t="s">
        <v>486</v>
      </c>
      <c r="E2424" s="42"/>
      <c r="F2424" s="3" t="s">
        <v>671</v>
      </c>
      <c r="G2424" s="3" t="s">
        <v>108</v>
      </c>
      <c r="H2424" s="4">
        <v>3359700</v>
      </c>
      <c r="I2424" s="4" t="s">
        <v>645</v>
      </c>
      <c r="J2424" s="4" t="s">
        <v>104</v>
      </c>
      <c r="K2424" s="4">
        <v>3036308</v>
      </c>
    </row>
    <row r="2425" spans="2:11" s="3" customFormat="1" x14ac:dyDescent="0.3">
      <c r="B2425" s="44">
        <v>46032</v>
      </c>
      <c r="C2425" s="3" t="s">
        <v>416</v>
      </c>
      <c r="D2425" s="3" t="s">
        <v>496</v>
      </c>
      <c r="E2425" s="42"/>
      <c r="F2425" s="3" t="s">
        <v>671</v>
      </c>
      <c r="G2425" s="3" t="s">
        <v>203</v>
      </c>
      <c r="H2425" s="4">
        <v>3359304</v>
      </c>
      <c r="I2425" s="4" t="s">
        <v>687</v>
      </c>
      <c r="J2425" s="4" t="s">
        <v>207</v>
      </c>
      <c r="K2425" s="4">
        <v>3346801</v>
      </c>
    </row>
    <row r="2426" spans="2:11" s="3" customFormat="1" x14ac:dyDescent="0.3">
      <c r="B2426" s="44">
        <v>46032</v>
      </c>
      <c r="C2426" s="3" t="s">
        <v>416</v>
      </c>
      <c r="D2426" s="3" t="s">
        <v>496</v>
      </c>
      <c r="E2426" s="42"/>
      <c r="F2426" s="3" t="s">
        <v>671</v>
      </c>
      <c r="G2426" s="3" t="s">
        <v>227</v>
      </c>
      <c r="H2426" s="4">
        <v>3359408</v>
      </c>
      <c r="I2426" s="3" t="s">
        <v>650</v>
      </c>
      <c r="J2426" s="3" t="s">
        <v>205</v>
      </c>
      <c r="K2426" s="74">
        <v>3351906</v>
      </c>
    </row>
    <row r="2427" spans="2:11" s="3" customFormat="1" x14ac:dyDescent="0.3">
      <c r="B2427" s="44">
        <v>46032</v>
      </c>
      <c r="C2427" s="3" t="s">
        <v>416</v>
      </c>
      <c r="D2427" s="3" t="s">
        <v>58</v>
      </c>
      <c r="E2427" s="42"/>
      <c r="F2427" s="3" t="s">
        <v>659</v>
      </c>
      <c r="G2427" s="3" t="s">
        <v>265</v>
      </c>
      <c r="H2427" s="4">
        <v>3208702</v>
      </c>
      <c r="I2427" s="3" t="s">
        <v>721</v>
      </c>
      <c r="J2427" s="3" t="s">
        <v>271</v>
      </c>
      <c r="K2427" s="32">
        <v>3194701</v>
      </c>
    </row>
    <row r="2428" spans="2:11" s="3" customFormat="1" x14ac:dyDescent="0.3">
      <c r="B2428" s="44">
        <v>46032</v>
      </c>
      <c r="C2428" s="3" t="s">
        <v>416</v>
      </c>
      <c r="D2428" s="3" t="s">
        <v>61</v>
      </c>
      <c r="E2428" s="42"/>
      <c r="F2428" s="106" t="s">
        <v>659</v>
      </c>
      <c r="G2428" s="106" t="s">
        <v>367</v>
      </c>
      <c r="H2428" s="106">
        <v>3208806</v>
      </c>
      <c r="I2428" s="4" t="s">
        <v>658</v>
      </c>
      <c r="J2428" s="4" t="s">
        <v>301</v>
      </c>
      <c r="K2428" s="4">
        <v>3210300</v>
      </c>
    </row>
    <row r="2429" spans="2:11" s="3" customFormat="1" x14ac:dyDescent="0.3">
      <c r="B2429" s="44">
        <v>46032</v>
      </c>
      <c r="C2429" s="3" t="s">
        <v>416</v>
      </c>
      <c r="D2429" s="3" t="s">
        <v>66</v>
      </c>
      <c r="E2429" s="42"/>
      <c r="F2429" s="104" t="s">
        <v>659</v>
      </c>
      <c r="G2429" s="104" t="s">
        <v>602</v>
      </c>
      <c r="H2429" s="74">
        <v>4023001</v>
      </c>
      <c r="I2429" s="3" t="s">
        <v>684</v>
      </c>
      <c r="J2429" s="3" t="s">
        <v>608</v>
      </c>
      <c r="K2429" s="74">
        <v>3819107</v>
      </c>
    </row>
    <row r="2430" spans="2:11" s="3" customFormat="1" x14ac:dyDescent="0.3">
      <c r="B2430" s="44">
        <v>46032</v>
      </c>
      <c r="C2430" s="3" t="s">
        <v>416</v>
      </c>
      <c r="D2430" s="3" t="s">
        <v>486</v>
      </c>
      <c r="E2430" s="42"/>
      <c r="F2430" s="3" t="s">
        <v>676</v>
      </c>
      <c r="G2430" s="3" t="s">
        <v>109</v>
      </c>
      <c r="H2430" s="4">
        <v>3067701</v>
      </c>
      <c r="I2430" s="3" t="s">
        <v>682</v>
      </c>
      <c r="J2430" s="3" t="s">
        <v>559</v>
      </c>
      <c r="K2430" s="4">
        <v>3969200</v>
      </c>
    </row>
    <row r="2431" spans="2:11" s="3" customFormat="1" x14ac:dyDescent="0.3">
      <c r="B2431" s="44">
        <v>46032</v>
      </c>
      <c r="C2431" s="3" t="s">
        <v>416</v>
      </c>
      <c r="D2431" s="3" t="s">
        <v>590</v>
      </c>
      <c r="E2431" s="42"/>
      <c r="F2431" s="3" t="s">
        <v>676</v>
      </c>
      <c r="G2431" s="3" t="s">
        <v>285</v>
      </c>
      <c r="H2431" s="4">
        <v>3208504</v>
      </c>
      <c r="I2431" s="4" t="s">
        <v>471</v>
      </c>
      <c r="J2431" s="4" t="s">
        <v>291</v>
      </c>
      <c r="K2431" s="4">
        <v>3196709</v>
      </c>
    </row>
    <row r="2432" spans="2:11" s="3" customFormat="1" x14ac:dyDescent="0.3">
      <c r="B2432" s="44">
        <v>46032</v>
      </c>
      <c r="C2432" s="3" t="s">
        <v>416</v>
      </c>
      <c r="D2432" s="3" t="s">
        <v>500</v>
      </c>
      <c r="E2432" s="42"/>
      <c r="F2432" s="3" t="s">
        <v>676</v>
      </c>
      <c r="G2432" s="3" t="s">
        <v>577</v>
      </c>
      <c r="H2432" s="4" t="s">
        <v>556</v>
      </c>
      <c r="I2432" s="4" t="s">
        <v>672</v>
      </c>
      <c r="J2432" s="4" t="s">
        <v>187</v>
      </c>
      <c r="K2432" s="4">
        <v>3354101</v>
      </c>
    </row>
    <row r="2433" spans="2:11" s="3" customFormat="1" x14ac:dyDescent="0.3">
      <c r="B2433" s="44">
        <v>46032</v>
      </c>
      <c r="C2433" s="3" t="s">
        <v>416</v>
      </c>
      <c r="D2433" s="3" t="s">
        <v>488</v>
      </c>
      <c r="E2433" s="42"/>
      <c r="F2433" s="3" t="s">
        <v>680</v>
      </c>
      <c r="G2433" s="3" t="s">
        <v>117</v>
      </c>
      <c r="H2433" s="4">
        <v>3359002</v>
      </c>
      <c r="I2433" s="3" t="s">
        <v>690</v>
      </c>
      <c r="J2433" s="3" t="s">
        <v>118</v>
      </c>
      <c r="K2433" s="4">
        <v>3356005</v>
      </c>
    </row>
    <row r="2434" spans="2:11" s="3" customFormat="1" x14ac:dyDescent="0.3">
      <c r="B2434" s="44">
        <v>46032</v>
      </c>
      <c r="C2434" s="3" t="s">
        <v>416</v>
      </c>
      <c r="D2434" s="3" t="s">
        <v>61</v>
      </c>
      <c r="E2434" s="42"/>
      <c r="F2434" s="73" t="s">
        <v>680</v>
      </c>
      <c r="G2434" s="73" t="s">
        <v>302</v>
      </c>
      <c r="H2434" s="4">
        <v>3208400</v>
      </c>
      <c r="I2434" s="4" t="s">
        <v>477</v>
      </c>
      <c r="J2434" s="4" t="s">
        <v>308</v>
      </c>
      <c r="K2434" s="4">
        <v>3199300</v>
      </c>
    </row>
    <row r="2435" spans="2:11" s="3" customFormat="1" x14ac:dyDescent="0.3">
      <c r="B2435" s="44">
        <v>46032</v>
      </c>
      <c r="C2435" s="3" t="s">
        <v>416</v>
      </c>
      <c r="D2435" s="3" t="s">
        <v>66</v>
      </c>
      <c r="E2435" s="42"/>
      <c r="F2435" s="104" t="s">
        <v>680</v>
      </c>
      <c r="G2435" s="104" t="s">
        <v>603</v>
      </c>
      <c r="H2435" s="74">
        <v>3945400</v>
      </c>
      <c r="I2435" s="3" t="s">
        <v>478</v>
      </c>
      <c r="J2435" s="3" t="s">
        <v>604</v>
      </c>
      <c r="K2435" s="74">
        <v>3205507</v>
      </c>
    </row>
    <row r="2436" spans="2:11" s="3" customFormat="1" x14ac:dyDescent="0.3">
      <c r="B2436" s="44">
        <v>46032</v>
      </c>
      <c r="C2436" s="3" t="s">
        <v>416</v>
      </c>
      <c r="D2436" s="3" t="s">
        <v>59</v>
      </c>
      <c r="E2436" s="42"/>
      <c r="F2436" s="3" t="s">
        <v>652</v>
      </c>
      <c r="G2436" s="3" t="s">
        <v>313</v>
      </c>
      <c r="H2436" s="4">
        <v>3207901</v>
      </c>
      <c r="I2436" s="4" t="s">
        <v>687</v>
      </c>
      <c r="J2436" s="4" t="s">
        <v>283</v>
      </c>
      <c r="K2436" s="4">
        <v>3194107</v>
      </c>
    </row>
    <row r="2437" spans="2:11" s="3" customFormat="1" x14ac:dyDescent="0.3">
      <c r="B2437" s="44">
        <v>46032</v>
      </c>
      <c r="C2437" s="3" t="s">
        <v>416</v>
      </c>
      <c r="D2437" s="3" t="s">
        <v>496</v>
      </c>
      <c r="E2437" s="42"/>
      <c r="F2437" s="3" t="s">
        <v>652</v>
      </c>
      <c r="G2437" s="3" t="s">
        <v>229</v>
      </c>
      <c r="H2437" s="4">
        <v>3358409</v>
      </c>
      <c r="I2437" s="3" t="s">
        <v>716</v>
      </c>
      <c r="J2437" s="3" t="s">
        <v>427</v>
      </c>
      <c r="K2437" s="4">
        <v>3351500</v>
      </c>
    </row>
    <row r="2438" spans="2:11" s="3" customFormat="1" x14ac:dyDescent="0.3">
      <c r="B2438" s="44">
        <v>46032</v>
      </c>
      <c r="C2438" s="3" t="s">
        <v>416</v>
      </c>
      <c r="D2438" s="3" t="s">
        <v>68</v>
      </c>
      <c r="E2438" s="42"/>
      <c r="F2438" s="3" t="s">
        <v>652</v>
      </c>
      <c r="G2438" s="3" t="s">
        <v>625</v>
      </c>
      <c r="H2438" s="4">
        <v>3899803</v>
      </c>
      <c r="I2438" s="4" t="s">
        <v>651</v>
      </c>
      <c r="J2438" s="4" t="s">
        <v>387</v>
      </c>
      <c r="K2438" s="4">
        <v>3211403</v>
      </c>
    </row>
    <row r="2439" spans="2:11" s="3" customFormat="1" x14ac:dyDescent="0.3">
      <c r="B2439" s="44">
        <v>46032</v>
      </c>
      <c r="C2439" s="3" t="s">
        <v>416</v>
      </c>
      <c r="D2439" s="3" t="s">
        <v>504</v>
      </c>
      <c r="E2439" s="42"/>
      <c r="F2439" s="3" t="s">
        <v>662</v>
      </c>
      <c r="G2439" s="3" t="s">
        <v>99</v>
      </c>
      <c r="H2439" s="4">
        <v>3125604</v>
      </c>
      <c r="I2439" s="4" t="s">
        <v>694</v>
      </c>
      <c r="J2439" s="4" t="s">
        <v>112</v>
      </c>
      <c r="K2439" s="4">
        <v>3353602</v>
      </c>
    </row>
    <row r="2440" spans="2:11" s="3" customFormat="1" x14ac:dyDescent="0.3">
      <c r="B2440" s="44">
        <v>46032</v>
      </c>
      <c r="C2440" s="3" t="s">
        <v>416</v>
      </c>
      <c r="D2440" s="3" t="s">
        <v>59</v>
      </c>
      <c r="E2440" s="42"/>
      <c r="F2440" s="3" t="s">
        <v>662</v>
      </c>
      <c r="G2440" s="3" t="s">
        <v>314</v>
      </c>
      <c r="H2440" s="4">
        <v>3208004</v>
      </c>
      <c r="I2440" s="3" t="s">
        <v>661</v>
      </c>
      <c r="J2440" s="3" t="s">
        <v>641</v>
      </c>
      <c r="K2440" s="4">
        <v>3055707</v>
      </c>
    </row>
    <row r="2441" spans="2:11" s="3" customFormat="1" x14ac:dyDescent="0.3">
      <c r="B2441" s="44">
        <v>46032</v>
      </c>
      <c r="C2441" s="3" t="s">
        <v>416</v>
      </c>
      <c r="D2441" s="3" t="s">
        <v>494</v>
      </c>
      <c r="E2441" s="42"/>
      <c r="F2441" s="3" t="s">
        <v>662</v>
      </c>
      <c r="G2441" s="3" t="s">
        <v>218</v>
      </c>
      <c r="H2441" s="4">
        <v>3358201</v>
      </c>
      <c r="I2441" s="4" t="s">
        <v>472</v>
      </c>
      <c r="J2441" s="4" t="s">
        <v>186</v>
      </c>
      <c r="K2441" s="4">
        <v>3357702</v>
      </c>
    </row>
    <row r="2442" spans="2:11" s="3" customFormat="1" x14ac:dyDescent="0.3">
      <c r="B2442" s="44">
        <v>46032</v>
      </c>
      <c r="C2442" s="3" t="s">
        <v>416</v>
      </c>
      <c r="D2442" s="3" t="s">
        <v>67</v>
      </c>
      <c r="E2442" s="42"/>
      <c r="F2442" s="3" t="s">
        <v>662</v>
      </c>
      <c r="G2442" s="3" t="s">
        <v>373</v>
      </c>
      <c r="H2442" s="4">
        <v>3207807</v>
      </c>
      <c r="I2442" s="4" t="s">
        <v>717</v>
      </c>
      <c r="J2442" s="4" t="s">
        <v>435</v>
      </c>
      <c r="K2442" s="4">
        <v>3195200</v>
      </c>
    </row>
    <row r="2443" spans="2:11" s="3" customFormat="1" x14ac:dyDescent="0.3">
      <c r="B2443" s="44">
        <v>46032</v>
      </c>
      <c r="C2443" s="3" t="s">
        <v>416</v>
      </c>
      <c r="D2443" s="3" t="s">
        <v>592</v>
      </c>
      <c r="E2443" s="42"/>
      <c r="F2443" s="3" t="s">
        <v>662</v>
      </c>
      <c r="G2443" s="3" t="s">
        <v>634</v>
      </c>
      <c r="H2443" s="74">
        <v>4023105</v>
      </c>
      <c r="I2443" s="3" t="s">
        <v>670</v>
      </c>
      <c r="J2443" s="3" t="s">
        <v>636</v>
      </c>
      <c r="K2443" s="74">
        <v>3195502</v>
      </c>
    </row>
    <row r="2444" spans="2:11" s="3" customFormat="1" x14ac:dyDescent="0.3">
      <c r="B2444" s="44">
        <v>46032</v>
      </c>
      <c r="C2444" s="3" t="s">
        <v>416</v>
      </c>
      <c r="D2444" s="3" t="s">
        <v>60</v>
      </c>
      <c r="E2444" s="42"/>
      <c r="F2444" s="3" t="s">
        <v>707</v>
      </c>
      <c r="G2444" s="3" t="s">
        <v>295</v>
      </c>
      <c r="H2444" s="4">
        <v>3207505</v>
      </c>
      <c r="I2444" s="3" t="s">
        <v>473</v>
      </c>
      <c r="J2444" s="3" t="s">
        <v>446</v>
      </c>
      <c r="K2444" s="32">
        <v>3204206</v>
      </c>
    </row>
    <row r="2445" spans="2:11" s="3" customFormat="1" x14ac:dyDescent="0.3">
      <c r="B2445" s="44">
        <v>46032</v>
      </c>
      <c r="C2445" s="3" t="s">
        <v>416</v>
      </c>
      <c r="D2445" s="3" t="s">
        <v>504</v>
      </c>
      <c r="E2445" s="42"/>
      <c r="F2445" s="3" t="s">
        <v>472</v>
      </c>
      <c r="G2445" s="3" t="s">
        <v>11</v>
      </c>
      <c r="H2445" s="4">
        <v>3034800</v>
      </c>
      <c r="I2445" s="4" t="s">
        <v>480</v>
      </c>
      <c r="J2445" s="4" t="s">
        <v>505</v>
      </c>
      <c r="K2445" s="4">
        <v>3033207</v>
      </c>
    </row>
    <row r="2446" spans="2:11" s="3" customFormat="1" x14ac:dyDescent="0.3">
      <c r="B2446" s="44">
        <v>46032</v>
      </c>
      <c r="C2446" s="3" t="s">
        <v>416</v>
      </c>
      <c r="D2446" s="3" t="s">
        <v>490</v>
      </c>
      <c r="E2446" s="4"/>
      <c r="F2446" s="3" t="s">
        <v>472</v>
      </c>
      <c r="G2446" s="3" t="s">
        <v>140</v>
      </c>
      <c r="H2446" s="4">
        <v>3357900</v>
      </c>
      <c r="I2446" s="4" t="s">
        <v>676</v>
      </c>
      <c r="J2446" s="4" t="s">
        <v>138</v>
      </c>
      <c r="K2446" s="4">
        <v>3067805</v>
      </c>
    </row>
    <row r="2447" spans="2:11" s="3" customFormat="1" x14ac:dyDescent="0.3">
      <c r="B2447" s="44">
        <v>46032</v>
      </c>
      <c r="C2447" s="3" t="s">
        <v>416</v>
      </c>
      <c r="D2447" s="3" t="s">
        <v>67</v>
      </c>
      <c r="E2447" s="42"/>
      <c r="F2447" s="3" t="s">
        <v>472</v>
      </c>
      <c r="G2447" s="3" t="s">
        <v>338</v>
      </c>
      <c r="H2447" s="4">
        <v>3207307</v>
      </c>
      <c r="I2447" s="4" t="s">
        <v>672</v>
      </c>
      <c r="J2447" s="4" t="s">
        <v>375</v>
      </c>
      <c r="K2447" s="4">
        <v>3069209</v>
      </c>
    </row>
    <row r="2448" spans="2:11" s="3" customFormat="1" x14ac:dyDescent="0.3">
      <c r="B2448" s="44">
        <v>46032</v>
      </c>
      <c r="C2448" s="3" t="s">
        <v>416</v>
      </c>
      <c r="D2448" s="3" t="s">
        <v>67</v>
      </c>
      <c r="E2448" s="42"/>
      <c r="F2448" s="3" t="s">
        <v>472</v>
      </c>
      <c r="G2448" s="3" t="s">
        <v>374</v>
      </c>
      <c r="H2448" s="4">
        <v>3207203</v>
      </c>
      <c r="I2448" s="3" t="s">
        <v>570</v>
      </c>
      <c r="J2448" s="3" t="s">
        <v>570</v>
      </c>
      <c r="K2448" s="4" t="s">
        <v>556</v>
      </c>
    </row>
    <row r="2449" spans="2:11" s="3" customFormat="1" x14ac:dyDescent="0.3">
      <c r="B2449" s="44">
        <v>46032</v>
      </c>
      <c r="C2449" s="3" t="s">
        <v>416</v>
      </c>
      <c r="D2449" s="3" t="s">
        <v>68</v>
      </c>
      <c r="E2449" s="42"/>
      <c r="F2449" s="3" t="s">
        <v>665</v>
      </c>
      <c r="G2449" s="3" t="s">
        <v>457</v>
      </c>
      <c r="H2449" s="4">
        <v>3818806</v>
      </c>
      <c r="I2449" s="15" t="s">
        <v>664</v>
      </c>
      <c r="J2449" s="15" t="s">
        <v>388</v>
      </c>
      <c r="K2449" s="74">
        <v>3165306</v>
      </c>
    </row>
    <row r="2450" spans="2:11" s="3" customFormat="1" x14ac:dyDescent="0.3">
      <c r="B2450" s="44">
        <v>46032</v>
      </c>
      <c r="C2450" s="3" t="s">
        <v>416</v>
      </c>
      <c r="D2450" s="3" t="s">
        <v>68</v>
      </c>
      <c r="E2450" s="42"/>
      <c r="F2450" s="3" t="s">
        <v>665</v>
      </c>
      <c r="G2450" s="3" t="s">
        <v>627</v>
      </c>
      <c r="H2450" s="4" t="s">
        <v>638</v>
      </c>
      <c r="I2450" s="4" t="s">
        <v>671</v>
      </c>
      <c r="J2450" s="4" t="s">
        <v>389</v>
      </c>
      <c r="K2450" s="4">
        <v>3209201</v>
      </c>
    </row>
    <row r="2451" spans="2:11" s="3" customFormat="1" x14ac:dyDescent="0.3">
      <c r="B2451" s="44">
        <v>46032</v>
      </c>
      <c r="C2451" s="3" t="s">
        <v>416</v>
      </c>
      <c r="D2451" s="3" t="s">
        <v>57</v>
      </c>
      <c r="E2451" s="42"/>
      <c r="F2451" s="3" t="s">
        <v>693</v>
      </c>
      <c r="G2451" s="3" t="s">
        <v>258</v>
      </c>
      <c r="H2451" s="4">
        <v>3207109</v>
      </c>
      <c r="I2451" s="4" t="s">
        <v>647</v>
      </c>
      <c r="J2451" s="4" t="s">
        <v>282</v>
      </c>
      <c r="K2451" s="4">
        <v>3193900</v>
      </c>
    </row>
    <row r="2452" spans="2:11" s="3" customFormat="1" x14ac:dyDescent="0.3">
      <c r="B2452" s="44">
        <v>46032</v>
      </c>
      <c r="C2452" s="3" t="s">
        <v>416</v>
      </c>
      <c r="D2452" s="3" t="s">
        <v>590</v>
      </c>
      <c r="E2452" s="42"/>
      <c r="F2452" s="3" t="s">
        <v>693</v>
      </c>
      <c r="G2452" s="3" t="s">
        <v>322</v>
      </c>
      <c r="H2452" s="4">
        <v>3207005</v>
      </c>
      <c r="I2452" s="4" t="s">
        <v>650</v>
      </c>
      <c r="J2452" s="4" t="s">
        <v>277</v>
      </c>
      <c r="K2452" s="4">
        <v>3088400</v>
      </c>
    </row>
    <row r="2453" spans="2:11" s="3" customFormat="1" x14ac:dyDescent="0.3">
      <c r="B2453" s="44">
        <v>46032</v>
      </c>
      <c r="C2453" s="3" t="s">
        <v>416</v>
      </c>
      <c r="D2453" s="3" t="s">
        <v>489</v>
      </c>
      <c r="E2453" s="4"/>
      <c r="F2453" s="4" t="s">
        <v>476</v>
      </c>
      <c r="G2453" s="4" t="s">
        <v>128</v>
      </c>
      <c r="H2453" s="4">
        <v>3357202</v>
      </c>
      <c r="I2453" s="3" t="s">
        <v>678</v>
      </c>
      <c r="J2453" s="3" t="s">
        <v>131</v>
      </c>
      <c r="K2453" s="4">
        <v>3350605</v>
      </c>
    </row>
    <row r="2454" spans="2:11" s="3" customFormat="1" x14ac:dyDescent="0.3">
      <c r="B2454" s="44">
        <v>46032</v>
      </c>
      <c r="C2454" s="3" t="s">
        <v>416</v>
      </c>
      <c r="D2454" s="3" t="s">
        <v>59</v>
      </c>
      <c r="E2454" s="42"/>
      <c r="F2454" s="3" t="s">
        <v>476</v>
      </c>
      <c r="G2454" s="3" t="s">
        <v>274</v>
      </c>
      <c r="H2454" s="4">
        <v>3206902</v>
      </c>
      <c r="I2454" s="4" t="s">
        <v>653</v>
      </c>
      <c r="J2454" s="4" t="s">
        <v>272</v>
      </c>
      <c r="K2454" s="4">
        <v>3211205</v>
      </c>
    </row>
    <row r="2455" spans="2:11" s="3" customFormat="1" x14ac:dyDescent="0.3">
      <c r="B2455" s="44">
        <v>46032</v>
      </c>
      <c r="C2455" s="3" t="s">
        <v>416</v>
      </c>
      <c r="D2455" s="3" t="s">
        <v>490</v>
      </c>
      <c r="E2455" s="4"/>
      <c r="F2455" s="3" t="s">
        <v>476</v>
      </c>
      <c r="G2455" s="3" t="s">
        <v>168</v>
      </c>
      <c r="H2455" s="4">
        <v>3356505</v>
      </c>
      <c r="I2455" s="4" t="s">
        <v>475</v>
      </c>
      <c r="J2455" s="4" t="s">
        <v>125</v>
      </c>
      <c r="K2455" s="4">
        <v>3362807</v>
      </c>
    </row>
    <row r="2456" spans="2:11" s="3" customFormat="1" x14ac:dyDescent="0.3">
      <c r="B2456" s="44">
        <v>46032</v>
      </c>
      <c r="C2456" s="3" t="s">
        <v>416</v>
      </c>
      <c r="D2456" s="3" t="s">
        <v>65</v>
      </c>
      <c r="E2456" s="42"/>
      <c r="F2456" s="3" t="s">
        <v>476</v>
      </c>
      <c r="G2456" s="3" t="s">
        <v>358</v>
      </c>
      <c r="H2456" s="4">
        <v>3206402</v>
      </c>
      <c r="I2456" s="4" t="s">
        <v>693</v>
      </c>
      <c r="J2456" s="4" t="s">
        <v>357</v>
      </c>
      <c r="K2456" s="4">
        <v>3206704</v>
      </c>
    </row>
    <row r="2457" spans="2:11" s="3" customFormat="1" x14ac:dyDescent="0.3">
      <c r="B2457" s="44">
        <v>46032</v>
      </c>
      <c r="C2457" s="3" t="s">
        <v>416</v>
      </c>
      <c r="D2457" s="3" t="s">
        <v>500</v>
      </c>
      <c r="E2457" s="42"/>
      <c r="F2457" s="3" t="s">
        <v>476</v>
      </c>
      <c r="G2457" s="3" t="s">
        <v>575</v>
      </c>
      <c r="H2457" s="4">
        <v>3900005</v>
      </c>
      <c r="I2457" s="4" t="s">
        <v>679</v>
      </c>
      <c r="J2457" s="4" t="s">
        <v>466</v>
      </c>
      <c r="K2457" s="4">
        <v>3346707</v>
      </c>
    </row>
    <row r="2458" spans="2:11" s="3" customFormat="1" x14ac:dyDescent="0.3">
      <c r="B2458" s="44">
        <v>46032</v>
      </c>
      <c r="C2458" s="3" t="s">
        <v>416</v>
      </c>
      <c r="D2458" s="3" t="s">
        <v>492</v>
      </c>
      <c r="E2458" s="42"/>
      <c r="F2458" s="3" t="s">
        <v>666</v>
      </c>
      <c r="G2458" s="3" t="s">
        <v>158</v>
      </c>
      <c r="H2458" s="4">
        <v>3356901</v>
      </c>
      <c r="I2458" s="4" t="s">
        <v>652</v>
      </c>
      <c r="J2458" s="4" t="s">
        <v>157</v>
      </c>
      <c r="K2458" s="4">
        <v>3358503</v>
      </c>
    </row>
    <row r="2459" spans="2:11" s="3" customFormat="1" x14ac:dyDescent="0.3">
      <c r="B2459" s="44">
        <v>46032</v>
      </c>
      <c r="C2459" s="3" t="s">
        <v>416</v>
      </c>
      <c r="D2459" s="3" t="s">
        <v>610</v>
      </c>
      <c r="E2459" s="42"/>
      <c r="F2459" s="3" t="s">
        <v>666</v>
      </c>
      <c r="G2459" s="3" t="s">
        <v>348</v>
      </c>
      <c r="H2459" s="4">
        <v>3205903</v>
      </c>
      <c r="I2459" s="4" t="s">
        <v>685</v>
      </c>
      <c r="J2459" s="4" t="s">
        <v>351</v>
      </c>
      <c r="K2459" s="4">
        <v>3201001</v>
      </c>
    </row>
    <row r="2460" spans="2:11" s="3" customFormat="1" x14ac:dyDescent="0.3">
      <c r="B2460" s="44">
        <v>46032</v>
      </c>
      <c r="C2460" s="3" t="s">
        <v>416</v>
      </c>
      <c r="D2460" s="3" t="s">
        <v>495</v>
      </c>
      <c r="E2460" s="42"/>
      <c r="F2460" s="3" t="s">
        <v>666</v>
      </c>
      <c r="G2460" s="3" t="s">
        <v>192</v>
      </c>
      <c r="H2460" s="53">
        <v>3357004</v>
      </c>
      <c r="I2460" s="3" t="s">
        <v>570</v>
      </c>
      <c r="J2460" s="3" t="s">
        <v>570</v>
      </c>
      <c r="K2460" s="4" t="s">
        <v>556</v>
      </c>
    </row>
    <row r="2461" spans="2:11" s="3" customFormat="1" x14ac:dyDescent="0.3">
      <c r="B2461" s="44">
        <v>46032</v>
      </c>
      <c r="C2461" s="3" t="s">
        <v>416</v>
      </c>
      <c r="D2461" s="3" t="s">
        <v>495</v>
      </c>
      <c r="E2461" s="42"/>
      <c r="F2461" s="3" t="s">
        <v>666</v>
      </c>
      <c r="G2461" s="3" t="s">
        <v>193</v>
      </c>
      <c r="H2461" s="4">
        <v>3357108</v>
      </c>
      <c r="I2461" s="3" t="s">
        <v>682</v>
      </c>
      <c r="J2461" s="3" t="s">
        <v>568</v>
      </c>
      <c r="K2461" s="4">
        <v>3969908</v>
      </c>
    </row>
    <row r="2462" spans="2:11" s="3" customFormat="1" x14ac:dyDescent="0.3">
      <c r="B2462" s="44">
        <v>46032</v>
      </c>
      <c r="C2462" s="3" t="s">
        <v>416</v>
      </c>
      <c r="D2462" s="3" t="s">
        <v>57</v>
      </c>
      <c r="E2462" s="42"/>
      <c r="F2462" s="73" t="s">
        <v>478</v>
      </c>
      <c r="G2462" s="73" t="s">
        <v>260</v>
      </c>
      <c r="H2462" s="15">
        <v>3205705</v>
      </c>
      <c r="I2462" s="32" t="s">
        <v>476</v>
      </c>
      <c r="J2462" s="32" t="s">
        <v>249</v>
      </c>
      <c r="K2462" s="15">
        <v>3038202</v>
      </c>
    </row>
    <row r="2463" spans="2:11" s="3" customFormat="1" x14ac:dyDescent="0.3">
      <c r="B2463" s="44">
        <v>46032</v>
      </c>
      <c r="C2463" s="3" t="s">
        <v>416</v>
      </c>
      <c r="D2463" s="3" t="s">
        <v>58</v>
      </c>
      <c r="E2463" s="42"/>
      <c r="F2463" s="32" t="s">
        <v>478</v>
      </c>
      <c r="G2463" s="32" t="s">
        <v>267</v>
      </c>
      <c r="H2463" s="15">
        <v>3205205</v>
      </c>
      <c r="I2463" s="3" t="s">
        <v>712</v>
      </c>
      <c r="J2463" s="3" t="s">
        <v>270</v>
      </c>
      <c r="K2463" s="4">
        <v>3069605</v>
      </c>
    </row>
    <row r="2464" spans="2:11" s="3" customFormat="1" x14ac:dyDescent="0.3">
      <c r="B2464" s="44">
        <v>46032</v>
      </c>
      <c r="C2464" s="3" t="s">
        <v>416</v>
      </c>
      <c r="D2464" s="3" t="s">
        <v>56</v>
      </c>
      <c r="E2464" s="42"/>
      <c r="F2464" s="3" t="s">
        <v>690</v>
      </c>
      <c r="G2464" s="3" t="s">
        <v>250</v>
      </c>
      <c r="H2464" s="4">
        <v>3070100</v>
      </c>
      <c r="I2464" s="4" t="s">
        <v>472</v>
      </c>
      <c r="J2464" s="4" t="s">
        <v>248</v>
      </c>
      <c r="K2464" s="4">
        <v>3207609</v>
      </c>
    </row>
    <row r="2465" spans="2:11" s="3" customFormat="1" x14ac:dyDescent="0.3">
      <c r="B2465" s="44">
        <v>46032</v>
      </c>
      <c r="C2465" s="3" t="s">
        <v>416</v>
      </c>
      <c r="D2465" s="3" t="s">
        <v>61</v>
      </c>
      <c r="E2465" s="42"/>
      <c r="F2465" s="3" t="s">
        <v>690</v>
      </c>
      <c r="G2465" s="3" t="s">
        <v>304</v>
      </c>
      <c r="H2465" s="4">
        <v>3204404</v>
      </c>
      <c r="I2465" s="4" t="s">
        <v>477</v>
      </c>
      <c r="J2465" s="4" t="s">
        <v>332</v>
      </c>
      <c r="K2465" s="4">
        <v>3199206</v>
      </c>
    </row>
    <row r="2466" spans="2:11" s="3" customFormat="1" x14ac:dyDescent="0.3">
      <c r="B2466" s="44">
        <v>46032</v>
      </c>
      <c r="C2466" s="3" t="s">
        <v>416</v>
      </c>
      <c r="D2466" s="3" t="s">
        <v>66</v>
      </c>
      <c r="E2466" s="42"/>
      <c r="F2466" s="3" t="s">
        <v>690</v>
      </c>
      <c r="G2466" s="3" t="s">
        <v>605</v>
      </c>
      <c r="H2466" s="74">
        <v>3900109</v>
      </c>
      <c r="I2466" s="3" t="s">
        <v>709</v>
      </c>
      <c r="J2466" s="3" t="s">
        <v>607</v>
      </c>
      <c r="K2466" s="4">
        <v>3596309</v>
      </c>
    </row>
    <row r="2467" spans="2:11" s="3" customFormat="1" x14ac:dyDescent="0.3">
      <c r="B2467" s="44">
        <v>46032</v>
      </c>
      <c r="C2467" s="3" t="s">
        <v>416</v>
      </c>
      <c r="D2467" s="3" t="s">
        <v>65</v>
      </c>
      <c r="E2467" s="42"/>
      <c r="F2467" s="3" t="s">
        <v>718</v>
      </c>
      <c r="G2467" s="3" t="s">
        <v>359</v>
      </c>
      <c r="H2467" s="4">
        <v>3204602</v>
      </c>
      <c r="I2467" s="15" t="s">
        <v>691</v>
      </c>
      <c r="J2467" s="15" t="s">
        <v>327</v>
      </c>
      <c r="K2467" s="74">
        <v>3198603</v>
      </c>
    </row>
    <row r="2468" spans="2:11" s="3" customFormat="1" x14ac:dyDescent="0.3">
      <c r="B2468" s="44">
        <v>46032</v>
      </c>
      <c r="C2468" s="3" t="s">
        <v>416</v>
      </c>
      <c r="D2468" s="3" t="s">
        <v>57</v>
      </c>
      <c r="E2468" s="42"/>
      <c r="F2468" s="3" t="s">
        <v>682</v>
      </c>
      <c r="G2468" s="3" t="s">
        <v>584</v>
      </c>
      <c r="H2468" s="4">
        <v>3069303</v>
      </c>
      <c r="I2468" s="4" t="s">
        <v>680</v>
      </c>
      <c r="J2468" s="4" t="s">
        <v>266</v>
      </c>
      <c r="K2468" s="4">
        <v>3208306</v>
      </c>
    </row>
    <row r="2469" spans="2:11" s="3" customFormat="1" x14ac:dyDescent="0.3">
      <c r="B2469" s="44">
        <v>46032</v>
      </c>
      <c r="C2469" s="3" t="s">
        <v>416</v>
      </c>
      <c r="D2469" s="3" t="s">
        <v>489</v>
      </c>
      <c r="E2469" s="4"/>
      <c r="F2469" s="4" t="s">
        <v>682</v>
      </c>
      <c r="G2469" s="4" t="s">
        <v>564</v>
      </c>
      <c r="H2469" s="4">
        <v>3969804</v>
      </c>
      <c r="I2469" s="4" t="s">
        <v>685</v>
      </c>
      <c r="J2469" s="4" t="s">
        <v>160</v>
      </c>
      <c r="K2469" s="4">
        <v>3353008</v>
      </c>
    </row>
    <row r="2470" spans="2:11" s="3" customFormat="1" x14ac:dyDescent="0.3">
      <c r="B2470" s="44">
        <v>46032</v>
      </c>
      <c r="C2470" s="3" t="s">
        <v>416</v>
      </c>
      <c r="D2470" s="3" t="s">
        <v>610</v>
      </c>
      <c r="E2470" s="42"/>
      <c r="F2470" s="3" t="s">
        <v>682</v>
      </c>
      <c r="G2470" s="3" t="s">
        <v>611</v>
      </c>
      <c r="H2470" s="4">
        <v>3204800</v>
      </c>
      <c r="I2470" s="4" t="s">
        <v>716</v>
      </c>
      <c r="J2470" s="4" t="s">
        <v>433</v>
      </c>
      <c r="K2470" s="4">
        <v>3198905</v>
      </c>
    </row>
    <row r="2471" spans="2:11" s="3" customFormat="1" x14ac:dyDescent="0.3">
      <c r="B2471" s="44">
        <v>46032</v>
      </c>
      <c r="C2471" s="3" t="s">
        <v>416</v>
      </c>
      <c r="D2471" s="3" t="s">
        <v>592</v>
      </c>
      <c r="E2471" s="42"/>
      <c r="F2471" s="3" t="s">
        <v>682</v>
      </c>
      <c r="G2471" s="3" t="s">
        <v>635</v>
      </c>
      <c r="H2471" s="74">
        <v>3969700</v>
      </c>
      <c r="I2471" s="3" t="s">
        <v>647</v>
      </c>
      <c r="J2471" s="3" t="s">
        <v>405</v>
      </c>
      <c r="K2471" s="74">
        <v>3901108</v>
      </c>
    </row>
    <row r="2472" spans="2:11" s="3" customFormat="1" x14ac:dyDescent="0.3">
      <c r="B2472" s="44">
        <v>46032</v>
      </c>
      <c r="C2472" s="3" t="s">
        <v>416</v>
      </c>
      <c r="D2472" s="3" t="s">
        <v>493</v>
      </c>
      <c r="E2472" s="42"/>
      <c r="F2472" s="3" t="s">
        <v>701</v>
      </c>
      <c r="G2472" s="3" t="s">
        <v>171</v>
      </c>
      <c r="H2472" s="4">
        <v>3355600</v>
      </c>
      <c r="I2472" s="4" t="s">
        <v>663</v>
      </c>
      <c r="J2472" s="4" t="s">
        <v>173</v>
      </c>
      <c r="K2472" s="4">
        <v>3349308</v>
      </c>
    </row>
    <row r="2473" spans="2:11" s="3" customFormat="1" x14ac:dyDescent="0.3">
      <c r="B2473" s="44">
        <v>46032</v>
      </c>
      <c r="C2473" s="3" t="s">
        <v>416</v>
      </c>
      <c r="D2473" s="3" t="s">
        <v>62</v>
      </c>
      <c r="E2473" s="42"/>
      <c r="F2473" s="3" t="s">
        <v>701</v>
      </c>
      <c r="G2473" s="3" t="s">
        <v>360</v>
      </c>
      <c r="H2473" s="4">
        <v>3203801</v>
      </c>
      <c r="I2473" s="4" t="s">
        <v>700</v>
      </c>
      <c r="J2473" s="4" t="s">
        <v>442</v>
      </c>
      <c r="K2473" s="4">
        <v>3205007</v>
      </c>
    </row>
    <row r="2474" spans="2:11" s="3" customFormat="1" x14ac:dyDescent="0.3">
      <c r="B2474" s="44">
        <v>46032</v>
      </c>
      <c r="C2474" s="3" t="s">
        <v>416</v>
      </c>
      <c r="D2474" s="3" t="s">
        <v>488</v>
      </c>
      <c r="E2474" s="42"/>
      <c r="F2474" s="3" t="s">
        <v>702</v>
      </c>
      <c r="G2474" s="3" t="s">
        <v>119</v>
      </c>
      <c r="H2474" s="4">
        <v>3067909</v>
      </c>
      <c r="I2474" s="4" t="s">
        <v>684</v>
      </c>
      <c r="J2474" s="4" t="s">
        <v>121</v>
      </c>
      <c r="K2474" s="4">
        <v>3354309</v>
      </c>
    </row>
    <row r="2475" spans="2:11" s="3" customFormat="1" x14ac:dyDescent="0.3">
      <c r="B2475" s="44">
        <v>46032</v>
      </c>
      <c r="C2475" s="3" t="s">
        <v>416</v>
      </c>
      <c r="D2475" s="3" t="s">
        <v>58</v>
      </c>
      <c r="E2475" s="42"/>
      <c r="F2475" s="3" t="s">
        <v>702</v>
      </c>
      <c r="G2475" s="3" t="s">
        <v>447</v>
      </c>
      <c r="H2475" s="4">
        <v>3055207</v>
      </c>
      <c r="I2475" s="3" t="s">
        <v>683</v>
      </c>
      <c r="J2475" s="3" t="s">
        <v>305</v>
      </c>
      <c r="K2475" s="32">
        <v>3202906</v>
      </c>
    </row>
    <row r="2476" spans="2:11" s="3" customFormat="1" x14ac:dyDescent="0.3">
      <c r="B2476" s="44">
        <v>46032</v>
      </c>
      <c r="C2476" s="3" t="s">
        <v>416</v>
      </c>
      <c r="D2476" s="3" t="s">
        <v>487</v>
      </c>
      <c r="E2476" s="4"/>
      <c r="F2476" s="3" t="s">
        <v>695</v>
      </c>
      <c r="G2476" s="3" t="s">
        <v>101</v>
      </c>
      <c r="H2476" s="4">
        <v>3067305</v>
      </c>
      <c r="I2476" s="4" t="s">
        <v>721</v>
      </c>
      <c r="J2476" s="4" t="s">
        <v>124</v>
      </c>
      <c r="K2476" s="4">
        <v>3267501</v>
      </c>
    </row>
    <row r="2477" spans="2:11" s="3" customFormat="1" x14ac:dyDescent="0.3">
      <c r="B2477" s="44">
        <v>46032</v>
      </c>
      <c r="C2477" s="3" t="s">
        <v>416</v>
      </c>
      <c r="D2477" s="3" t="s">
        <v>491</v>
      </c>
      <c r="E2477" s="42"/>
      <c r="F2477" s="3" t="s">
        <v>695</v>
      </c>
      <c r="G2477" s="3" t="s">
        <v>148</v>
      </c>
      <c r="H2477" s="4">
        <v>3355402</v>
      </c>
      <c r="I2477" s="3" t="s">
        <v>478</v>
      </c>
      <c r="J2477" s="3" t="s">
        <v>463</v>
      </c>
      <c r="K2477" s="74">
        <v>3125500</v>
      </c>
    </row>
    <row r="2478" spans="2:11" s="3" customFormat="1" x14ac:dyDescent="0.3">
      <c r="B2478" s="44">
        <v>46032</v>
      </c>
      <c r="C2478" s="3" t="s">
        <v>416</v>
      </c>
      <c r="D2478" s="3" t="s">
        <v>488</v>
      </c>
      <c r="E2478" s="42"/>
      <c r="F2478" s="3" t="s">
        <v>704</v>
      </c>
      <c r="G2478" s="3" t="s">
        <v>120</v>
      </c>
      <c r="H2478" s="4">
        <v>3355506</v>
      </c>
      <c r="I2478" s="4" t="s">
        <v>645</v>
      </c>
      <c r="J2478" s="4" t="s">
        <v>151</v>
      </c>
      <c r="K2478" s="4">
        <v>3351208</v>
      </c>
    </row>
    <row r="2479" spans="2:11" s="3" customFormat="1" x14ac:dyDescent="0.3">
      <c r="B2479" s="44">
        <v>46032</v>
      </c>
      <c r="C2479" s="3" t="s">
        <v>416</v>
      </c>
      <c r="D2479" s="3" t="s">
        <v>494</v>
      </c>
      <c r="E2479" s="42"/>
      <c r="F2479" s="3" t="s">
        <v>708</v>
      </c>
      <c r="G2479" s="3" t="s">
        <v>220</v>
      </c>
      <c r="H2479" s="4">
        <v>3354809</v>
      </c>
      <c r="I2479" s="4" t="s">
        <v>708</v>
      </c>
      <c r="J2479" s="4" t="s">
        <v>141</v>
      </c>
      <c r="K2479" s="4">
        <v>3125802</v>
      </c>
    </row>
    <row r="2480" spans="2:11" s="3" customFormat="1" x14ac:dyDescent="0.3">
      <c r="B2480" s="44">
        <v>46032</v>
      </c>
      <c r="C2480" s="3" t="s">
        <v>416</v>
      </c>
      <c r="D2480" s="3" t="s">
        <v>488</v>
      </c>
      <c r="E2480" s="42"/>
      <c r="F2480" s="3" t="s">
        <v>703</v>
      </c>
      <c r="G2480" s="3" t="s">
        <v>560</v>
      </c>
      <c r="H2480" s="4" t="s">
        <v>562</v>
      </c>
      <c r="I2480" s="4" t="s">
        <v>695</v>
      </c>
      <c r="J2480" s="4" t="s">
        <v>147</v>
      </c>
      <c r="K2480" s="4">
        <v>3067409</v>
      </c>
    </row>
    <row r="2481" spans="2:11" s="3" customFormat="1" x14ac:dyDescent="0.3">
      <c r="B2481" s="44">
        <v>46032</v>
      </c>
      <c r="C2481" s="3" t="s">
        <v>416</v>
      </c>
      <c r="D2481" s="3" t="s">
        <v>57</v>
      </c>
      <c r="E2481" s="42"/>
      <c r="F2481" s="15" t="s">
        <v>703</v>
      </c>
      <c r="G2481" s="15" t="s">
        <v>585</v>
      </c>
      <c r="H2481" s="74" t="s">
        <v>556</v>
      </c>
      <c r="I2481" s="32" t="s">
        <v>709</v>
      </c>
      <c r="J2481" s="32" t="s">
        <v>268</v>
      </c>
      <c r="K2481" s="15">
        <v>3203103</v>
      </c>
    </row>
    <row r="2482" spans="2:11" s="3" customFormat="1" x14ac:dyDescent="0.3">
      <c r="B2482" s="44">
        <v>46032</v>
      </c>
      <c r="C2482" s="3" t="s">
        <v>416</v>
      </c>
      <c r="D2482" s="3" t="s">
        <v>58</v>
      </c>
      <c r="E2482" s="42"/>
      <c r="F2482" s="3" t="s">
        <v>703</v>
      </c>
      <c r="G2482" s="3" t="s">
        <v>586</v>
      </c>
      <c r="H2482" s="4" t="s">
        <v>588</v>
      </c>
      <c r="I2482" s="3" t="s">
        <v>704</v>
      </c>
      <c r="J2482" s="3" t="s">
        <v>297</v>
      </c>
      <c r="K2482" s="32">
        <v>3204008</v>
      </c>
    </row>
    <row r="2483" spans="2:11" s="3" customFormat="1" x14ac:dyDescent="0.3">
      <c r="B2483" s="44">
        <v>46032</v>
      </c>
      <c r="C2483" s="3" t="s">
        <v>416</v>
      </c>
      <c r="D2483" s="3" t="s">
        <v>61</v>
      </c>
      <c r="E2483" s="42"/>
      <c r="F2483" s="3" t="s">
        <v>703</v>
      </c>
      <c r="G2483" s="3" t="s">
        <v>596</v>
      </c>
      <c r="H2483" s="4" t="s">
        <v>556</v>
      </c>
      <c r="I2483" s="3" t="s">
        <v>645</v>
      </c>
      <c r="J2483" s="3" t="s">
        <v>309</v>
      </c>
      <c r="K2483" s="4">
        <v>3082104</v>
      </c>
    </row>
    <row r="2484" spans="2:11" s="3" customFormat="1" x14ac:dyDescent="0.3">
      <c r="B2484" s="44">
        <v>46032</v>
      </c>
      <c r="C2484" s="3" t="s">
        <v>416</v>
      </c>
      <c r="D2484" s="3" t="s">
        <v>487</v>
      </c>
      <c r="E2484" s="4"/>
      <c r="F2484" s="3" t="s">
        <v>709</v>
      </c>
      <c r="G2484" s="3" t="s">
        <v>111</v>
      </c>
      <c r="H2484" s="4">
        <v>3354601</v>
      </c>
      <c r="I2484" s="4" t="s">
        <v>471</v>
      </c>
      <c r="J2484" s="4" t="s">
        <v>133</v>
      </c>
      <c r="K2484" s="4">
        <v>3348705</v>
      </c>
    </row>
    <row r="2485" spans="2:11" s="3" customFormat="1" x14ac:dyDescent="0.3">
      <c r="B2485" s="44">
        <v>46032</v>
      </c>
      <c r="C2485" s="3" t="s">
        <v>416</v>
      </c>
      <c r="D2485" s="3" t="s">
        <v>61</v>
      </c>
      <c r="E2485" s="42"/>
      <c r="F2485" s="3" t="s">
        <v>684</v>
      </c>
      <c r="G2485" s="3" t="s">
        <v>306</v>
      </c>
      <c r="H2485" s="4">
        <v>3202604</v>
      </c>
      <c r="I2485" s="4" t="s">
        <v>720</v>
      </c>
      <c r="J2485" s="4" t="s">
        <v>335</v>
      </c>
      <c r="K2485" s="4">
        <v>3194201</v>
      </c>
    </row>
    <row r="2486" spans="2:11" s="3" customFormat="1" x14ac:dyDescent="0.3">
      <c r="B2486" s="44">
        <v>46032</v>
      </c>
      <c r="C2486" s="3" t="s">
        <v>416</v>
      </c>
      <c r="D2486" s="3" t="s">
        <v>491</v>
      </c>
      <c r="E2486" s="42"/>
      <c r="F2486" s="3" t="s">
        <v>684</v>
      </c>
      <c r="G2486" s="3" t="s">
        <v>149</v>
      </c>
      <c r="H2486" s="4">
        <v>3354507</v>
      </c>
      <c r="I2486" s="4" t="s">
        <v>709</v>
      </c>
      <c r="J2486" s="4" t="s">
        <v>566</v>
      </c>
      <c r="K2486" s="4">
        <v>3560703</v>
      </c>
    </row>
    <row r="2487" spans="2:11" s="3" customFormat="1" x14ac:dyDescent="0.3">
      <c r="B2487" s="44">
        <v>46032</v>
      </c>
      <c r="C2487" s="3" t="s">
        <v>416</v>
      </c>
      <c r="D2487" s="3" t="s">
        <v>63</v>
      </c>
      <c r="E2487" s="42"/>
      <c r="F2487" s="3" t="s">
        <v>684</v>
      </c>
      <c r="G2487" s="3" t="s">
        <v>369</v>
      </c>
      <c r="H2487" s="74">
        <v>3202708</v>
      </c>
      <c r="I2487" s="3" t="s">
        <v>680</v>
      </c>
      <c r="J2487" s="3" t="s">
        <v>329</v>
      </c>
      <c r="K2487" s="74">
        <v>3208108</v>
      </c>
    </row>
    <row r="2488" spans="2:11" s="3" customFormat="1" x14ac:dyDescent="0.3">
      <c r="B2488" s="44">
        <v>46032</v>
      </c>
      <c r="C2488" s="3" t="s">
        <v>416</v>
      </c>
      <c r="D2488" s="3" t="s">
        <v>491</v>
      </c>
      <c r="E2488" s="42"/>
      <c r="F2488" s="104" t="s">
        <v>684</v>
      </c>
      <c r="G2488" s="104" t="s">
        <v>182</v>
      </c>
      <c r="H2488" s="53">
        <v>3900203</v>
      </c>
      <c r="I2488" s="4" t="s">
        <v>680</v>
      </c>
      <c r="J2488" s="4" t="s">
        <v>177</v>
      </c>
      <c r="K2488" s="4">
        <v>3899709</v>
      </c>
    </row>
    <row r="2489" spans="2:11" s="3" customFormat="1" x14ac:dyDescent="0.3">
      <c r="B2489" s="44">
        <v>46032</v>
      </c>
      <c r="C2489" s="3" t="s">
        <v>416</v>
      </c>
      <c r="D2489" s="3" t="s">
        <v>56</v>
      </c>
      <c r="E2489" s="42"/>
      <c r="F2489" s="3" t="s">
        <v>646</v>
      </c>
      <c r="G2489" s="3" t="s">
        <v>251</v>
      </c>
      <c r="H2489" s="4">
        <v>3036704</v>
      </c>
      <c r="I2489" s="4" t="s">
        <v>661</v>
      </c>
      <c r="J2489" s="4" t="s">
        <v>439</v>
      </c>
      <c r="K2489" s="4">
        <v>3023701</v>
      </c>
    </row>
    <row r="2490" spans="2:11" s="3" customFormat="1" x14ac:dyDescent="0.3">
      <c r="B2490" s="44">
        <v>46032</v>
      </c>
      <c r="C2490" s="3" t="s">
        <v>416</v>
      </c>
      <c r="D2490" s="3" t="s">
        <v>492</v>
      </c>
      <c r="E2490" s="42"/>
      <c r="F2490" s="3" t="s">
        <v>646</v>
      </c>
      <c r="G2490" s="3" t="s">
        <v>159</v>
      </c>
      <c r="H2490" s="4">
        <v>3354403</v>
      </c>
      <c r="I2490" s="4" t="s">
        <v>646</v>
      </c>
      <c r="J2490" s="4" t="s">
        <v>194</v>
      </c>
      <c r="K2490" s="4">
        <v>3354205</v>
      </c>
    </row>
    <row r="2491" spans="2:11" s="3" customFormat="1" x14ac:dyDescent="0.3">
      <c r="B2491" s="44">
        <v>46032</v>
      </c>
      <c r="C2491" s="3" t="s">
        <v>416</v>
      </c>
      <c r="D2491" s="3" t="s">
        <v>64</v>
      </c>
      <c r="E2491" s="42">
        <v>4370907</v>
      </c>
      <c r="F2491" s="3" t="s">
        <v>646</v>
      </c>
      <c r="G2491" s="3" t="s">
        <v>349</v>
      </c>
      <c r="H2491" s="4">
        <v>3202500</v>
      </c>
      <c r="I2491" s="4" t="s">
        <v>475</v>
      </c>
      <c r="J2491" s="4" t="s">
        <v>310</v>
      </c>
      <c r="K2491" s="4">
        <v>3212402</v>
      </c>
    </row>
    <row r="2492" spans="2:11" s="3" customFormat="1" x14ac:dyDescent="0.3">
      <c r="B2492" s="44">
        <v>46032</v>
      </c>
      <c r="C2492" s="3" t="s">
        <v>416</v>
      </c>
      <c r="D2492" s="4" t="s">
        <v>614</v>
      </c>
      <c r="E2492" s="42"/>
      <c r="F2492" s="3" t="s">
        <v>646</v>
      </c>
      <c r="G2492" s="3" t="s">
        <v>380</v>
      </c>
      <c r="H2492" s="4">
        <v>3202208</v>
      </c>
      <c r="I2492" s="4" t="s">
        <v>666</v>
      </c>
      <c r="J2492" s="4" t="s">
        <v>453</v>
      </c>
      <c r="K2492" s="4">
        <v>3206006</v>
      </c>
    </row>
    <row r="2493" spans="2:11" s="3" customFormat="1" x14ac:dyDescent="0.3">
      <c r="B2493" s="44">
        <v>46032</v>
      </c>
      <c r="C2493" s="3" t="s">
        <v>416</v>
      </c>
      <c r="D2493" s="3" t="s">
        <v>495</v>
      </c>
      <c r="E2493" s="42"/>
      <c r="F2493" s="3" t="s">
        <v>646</v>
      </c>
      <c r="G2493" s="3" t="s">
        <v>195</v>
      </c>
      <c r="H2493" s="74">
        <v>3361600</v>
      </c>
      <c r="I2493" s="3" t="s">
        <v>712</v>
      </c>
      <c r="J2493" s="3" t="s">
        <v>164</v>
      </c>
      <c r="K2493" s="4">
        <v>3349402</v>
      </c>
    </row>
    <row r="2494" spans="2:11" s="3" customFormat="1" x14ac:dyDescent="0.3">
      <c r="B2494" s="44">
        <v>46032</v>
      </c>
      <c r="C2494" s="3" t="s">
        <v>416</v>
      </c>
      <c r="D2494" s="3" t="s">
        <v>61</v>
      </c>
      <c r="E2494" s="42"/>
      <c r="F2494" s="3" t="s">
        <v>696</v>
      </c>
      <c r="G2494" s="3" t="s">
        <v>307</v>
      </c>
      <c r="H2494" s="4">
        <v>3201907</v>
      </c>
      <c r="I2494" s="4" t="s">
        <v>478</v>
      </c>
      <c r="J2494" s="4" t="s">
        <v>330</v>
      </c>
      <c r="K2494" s="4">
        <v>3205309</v>
      </c>
    </row>
    <row r="2495" spans="2:11" s="3" customFormat="1" x14ac:dyDescent="0.3">
      <c r="B2495" s="44">
        <v>46032</v>
      </c>
      <c r="C2495" s="3" t="s">
        <v>416</v>
      </c>
      <c r="D2495" s="3" t="s">
        <v>66</v>
      </c>
      <c r="E2495" s="42"/>
      <c r="F2495" s="3" t="s">
        <v>696</v>
      </c>
      <c r="G2495" s="3" t="s">
        <v>609</v>
      </c>
      <c r="H2495" s="74">
        <v>3900401</v>
      </c>
      <c r="I2495" s="3" t="s">
        <v>703</v>
      </c>
      <c r="J2495" s="3" t="s">
        <v>606</v>
      </c>
      <c r="K2495" s="74" t="s">
        <v>588</v>
      </c>
    </row>
    <row r="2496" spans="2:11" s="3" customFormat="1" x14ac:dyDescent="0.3">
      <c r="B2496" s="44">
        <v>46032</v>
      </c>
      <c r="C2496" s="3" t="s">
        <v>416</v>
      </c>
      <c r="D2496" s="3" t="s">
        <v>489</v>
      </c>
      <c r="E2496" s="4"/>
      <c r="F2496" s="3" t="s">
        <v>672</v>
      </c>
      <c r="G2496" s="3" t="s">
        <v>129</v>
      </c>
      <c r="H2496" s="4">
        <v>3067503</v>
      </c>
      <c r="I2496" s="3" t="s">
        <v>671</v>
      </c>
      <c r="J2496" s="3" t="s">
        <v>156</v>
      </c>
      <c r="K2496" s="4">
        <v>3359200</v>
      </c>
    </row>
    <row r="2497" spans="2:11" s="3" customFormat="1" x14ac:dyDescent="0.3">
      <c r="B2497" s="44">
        <v>46032</v>
      </c>
      <c r="C2497" s="3" t="s">
        <v>416</v>
      </c>
      <c r="D2497" s="3" t="s">
        <v>56</v>
      </c>
      <c r="E2497" s="42"/>
      <c r="F2497" s="106" t="s">
        <v>672</v>
      </c>
      <c r="G2497" s="106" t="s">
        <v>252</v>
      </c>
      <c r="H2497" s="106">
        <v>3070204</v>
      </c>
      <c r="I2497" s="4" t="s">
        <v>688</v>
      </c>
      <c r="J2497" s="4" t="s">
        <v>264</v>
      </c>
      <c r="K2497" s="4">
        <v>3055603</v>
      </c>
    </row>
    <row r="2498" spans="2:11" s="3" customFormat="1" x14ac:dyDescent="0.3">
      <c r="B2498" s="44">
        <v>46032</v>
      </c>
      <c r="C2498" s="3" t="s">
        <v>416</v>
      </c>
      <c r="D2498" s="3" t="s">
        <v>58</v>
      </c>
      <c r="E2498" s="42"/>
      <c r="F2498" s="3" t="s">
        <v>697</v>
      </c>
      <c r="G2498" s="3" t="s">
        <v>262</v>
      </c>
      <c r="H2498" s="4">
        <v>3055405</v>
      </c>
      <c r="I2498" s="3" t="s">
        <v>690</v>
      </c>
      <c r="J2498" s="3" t="s">
        <v>303</v>
      </c>
      <c r="K2498" s="4">
        <v>3205101</v>
      </c>
    </row>
    <row r="2499" spans="2:11" s="3" customFormat="1" x14ac:dyDescent="0.3">
      <c r="B2499" s="44">
        <v>46032</v>
      </c>
      <c r="C2499" s="3" t="s">
        <v>416</v>
      </c>
      <c r="D2499" s="3" t="s">
        <v>491</v>
      </c>
      <c r="E2499" s="42"/>
      <c r="F2499" s="3" t="s">
        <v>697</v>
      </c>
      <c r="G2499" s="3" t="s">
        <v>150</v>
      </c>
      <c r="H2499" s="4">
        <v>3353706</v>
      </c>
      <c r="I2499" s="4" t="s">
        <v>645</v>
      </c>
      <c r="J2499" s="4" t="s">
        <v>464</v>
      </c>
      <c r="K2499" s="4">
        <v>3351406</v>
      </c>
    </row>
    <row r="2500" spans="2:11" s="3" customFormat="1" x14ac:dyDescent="0.3">
      <c r="B2500" s="44">
        <v>46032</v>
      </c>
      <c r="C2500" s="3" t="s">
        <v>416</v>
      </c>
      <c r="D2500" s="3" t="s">
        <v>62</v>
      </c>
      <c r="E2500" s="42"/>
      <c r="F2500" s="3" t="s">
        <v>694</v>
      </c>
      <c r="G2500" s="3" t="s">
        <v>340</v>
      </c>
      <c r="H2500" s="4">
        <v>3201803</v>
      </c>
      <c r="I2500" s="4" t="s">
        <v>476</v>
      </c>
      <c r="J2500" s="4" t="s">
        <v>287</v>
      </c>
      <c r="K2500" s="4">
        <v>3206600</v>
      </c>
    </row>
    <row r="2501" spans="2:11" s="3" customFormat="1" x14ac:dyDescent="0.3">
      <c r="B2501" s="44">
        <v>46032</v>
      </c>
      <c r="C2501" s="3" t="s">
        <v>416</v>
      </c>
      <c r="D2501" s="3" t="s">
        <v>494</v>
      </c>
      <c r="E2501" s="42"/>
      <c r="F2501" s="3" t="s">
        <v>694</v>
      </c>
      <c r="G2501" s="3" t="s">
        <v>221</v>
      </c>
      <c r="H2501" s="4">
        <v>3353404</v>
      </c>
      <c r="I2501" s="3" t="s">
        <v>694</v>
      </c>
      <c r="J2501" s="3" t="s">
        <v>188</v>
      </c>
      <c r="K2501" s="4">
        <v>3353508</v>
      </c>
    </row>
    <row r="2502" spans="2:11" s="3" customFormat="1" x14ac:dyDescent="0.3">
      <c r="B2502" s="44">
        <v>46032</v>
      </c>
      <c r="C2502" s="3" t="s">
        <v>416</v>
      </c>
      <c r="D2502" s="3" t="s">
        <v>593</v>
      </c>
      <c r="E2502" s="42"/>
      <c r="F2502" s="3" t="s">
        <v>694</v>
      </c>
      <c r="G2502" s="3" t="s">
        <v>632</v>
      </c>
      <c r="H2502" s="4">
        <v>4023303</v>
      </c>
      <c r="I2502" s="4" t="s">
        <v>693</v>
      </c>
      <c r="J2502" s="4" t="s">
        <v>629</v>
      </c>
      <c r="K2502" s="4">
        <v>3961708</v>
      </c>
    </row>
    <row r="2503" spans="2:11" s="3" customFormat="1" x14ac:dyDescent="0.3">
      <c r="B2503" s="44">
        <v>46032</v>
      </c>
      <c r="C2503" s="3" t="s">
        <v>416</v>
      </c>
      <c r="D2503" s="3" t="s">
        <v>62</v>
      </c>
      <c r="E2503" s="42"/>
      <c r="F2503" s="4" t="s">
        <v>677</v>
      </c>
      <c r="G2503" s="4" t="s">
        <v>324</v>
      </c>
      <c r="H2503" s="4">
        <v>3201605</v>
      </c>
      <c r="I2503" s="3" t="s">
        <v>676</v>
      </c>
      <c r="J2503" s="3" t="s">
        <v>286</v>
      </c>
      <c r="K2503" s="4">
        <v>3019605</v>
      </c>
    </row>
    <row r="2504" spans="2:11" s="3" customFormat="1" x14ac:dyDescent="0.3">
      <c r="B2504" s="44">
        <v>46032</v>
      </c>
      <c r="C2504" s="3" t="s">
        <v>416</v>
      </c>
      <c r="D2504" s="3" t="s">
        <v>59</v>
      </c>
      <c r="E2504" s="42"/>
      <c r="F2504" s="3" t="s">
        <v>655</v>
      </c>
      <c r="G2504" s="3" t="s">
        <v>288</v>
      </c>
      <c r="H2504" s="4">
        <v>3200908</v>
      </c>
      <c r="I2504" s="4" t="s">
        <v>479</v>
      </c>
      <c r="J2504" s="4" t="s">
        <v>273</v>
      </c>
      <c r="K2504" s="4">
        <v>3211007</v>
      </c>
    </row>
    <row r="2505" spans="2:11" s="3" customFormat="1" x14ac:dyDescent="0.3">
      <c r="B2505" s="44">
        <v>46032</v>
      </c>
      <c r="C2505" s="3" t="s">
        <v>416</v>
      </c>
      <c r="D2505" s="3" t="s">
        <v>610</v>
      </c>
      <c r="E2505" s="42"/>
      <c r="F2505" s="3" t="s">
        <v>711</v>
      </c>
      <c r="G2505" s="3" t="s">
        <v>381</v>
      </c>
      <c r="H2505" s="4">
        <v>3201209</v>
      </c>
      <c r="I2505" s="4" t="s">
        <v>646</v>
      </c>
      <c r="J2505" s="4" t="s">
        <v>350</v>
      </c>
      <c r="K2505" s="4">
        <v>3202802</v>
      </c>
    </row>
    <row r="2506" spans="2:11" s="3" customFormat="1" x14ac:dyDescent="0.3">
      <c r="B2506" s="44">
        <v>46032</v>
      </c>
      <c r="C2506" s="3" t="s">
        <v>416</v>
      </c>
      <c r="D2506" s="3" t="s">
        <v>610</v>
      </c>
      <c r="E2506" s="42"/>
      <c r="F2506" s="3" t="s">
        <v>685</v>
      </c>
      <c r="G2506" s="3" t="s">
        <v>382</v>
      </c>
      <c r="H2506" s="4">
        <v>3200804</v>
      </c>
      <c r="I2506" s="4" t="s">
        <v>652</v>
      </c>
      <c r="J2506" s="4" t="s">
        <v>347</v>
      </c>
      <c r="K2506" s="4">
        <v>3818504</v>
      </c>
    </row>
    <row r="2507" spans="2:11" s="3" customFormat="1" x14ac:dyDescent="0.3">
      <c r="B2507" s="44">
        <v>46032</v>
      </c>
      <c r="C2507" s="3" t="s">
        <v>416</v>
      </c>
      <c r="D2507" s="3" t="s">
        <v>495</v>
      </c>
      <c r="E2507" s="42"/>
      <c r="F2507" s="3" t="s">
        <v>685</v>
      </c>
      <c r="G2507" s="3" t="s">
        <v>197</v>
      </c>
      <c r="H2507" s="4">
        <v>3353300</v>
      </c>
      <c r="I2507" s="3" t="s">
        <v>673</v>
      </c>
      <c r="J2507" s="3" t="s">
        <v>200</v>
      </c>
      <c r="K2507" s="53">
        <v>3901004</v>
      </c>
    </row>
    <row r="2508" spans="2:11" s="3" customFormat="1" x14ac:dyDescent="0.3">
      <c r="B2508" s="44">
        <v>46032</v>
      </c>
      <c r="C2508" s="3" t="s">
        <v>416</v>
      </c>
      <c r="D2508" s="3" t="s">
        <v>486</v>
      </c>
      <c r="E2508" s="42"/>
      <c r="F2508" s="3" t="s">
        <v>474</v>
      </c>
      <c r="G2508" s="3" t="s">
        <v>103</v>
      </c>
      <c r="H2508" s="4">
        <v>3353206</v>
      </c>
      <c r="I2508" s="4" t="s">
        <v>646</v>
      </c>
      <c r="J2508" s="4" t="s">
        <v>102</v>
      </c>
      <c r="K2508" s="4">
        <v>3125406</v>
      </c>
    </row>
    <row r="2509" spans="2:11" s="3" customFormat="1" x14ac:dyDescent="0.3">
      <c r="B2509" s="44">
        <v>46032</v>
      </c>
      <c r="C2509" s="3" t="s">
        <v>416</v>
      </c>
      <c r="D2509" s="3" t="s">
        <v>489</v>
      </c>
      <c r="E2509" s="4"/>
      <c r="F2509" s="4" t="s">
        <v>474</v>
      </c>
      <c r="G2509" s="4" t="s">
        <v>130</v>
      </c>
      <c r="H2509" s="4">
        <v>3352405</v>
      </c>
      <c r="I2509" s="3" t="s">
        <v>662</v>
      </c>
      <c r="J2509" s="3" t="s">
        <v>139</v>
      </c>
      <c r="K2509" s="4">
        <v>3358305</v>
      </c>
    </row>
    <row r="2510" spans="2:11" s="3" customFormat="1" x14ac:dyDescent="0.3">
      <c r="B2510" s="44">
        <v>46032</v>
      </c>
      <c r="C2510" s="3" t="s">
        <v>416</v>
      </c>
      <c r="D2510" s="3" t="s">
        <v>610</v>
      </c>
      <c r="E2510" s="42"/>
      <c r="F2510" s="3" t="s">
        <v>474</v>
      </c>
      <c r="G2510" s="3" t="s">
        <v>458</v>
      </c>
      <c r="H2510" s="4">
        <v>3200304</v>
      </c>
      <c r="I2510" s="4" t="s">
        <v>675</v>
      </c>
      <c r="J2510" s="4" t="s">
        <v>450</v>
      </c>
      <c r="K2510" s="4">
        <v>3198405</v>
      </c>
    </row>
    <row r="2511" spans="2:11" s="3" customFormat="1" x14ac:dyDescent="0.3">
      <c r="B2511" s="44">
        <v>46032</v>
      </c>
      <c r="C2511" s="3" t="s">
        <v>416</v>
      </c>
      <c r="D2511" s="3" t="s">
        <v>492</v>
      </c>
      <c r="E2511" s="42"/>
      <c r="F2511" s="3" t="s">
        <v>474</v>
      </c>
      <c r="G2511" s="3" t="s">
        <v>161</v>
      </c>
      <c r="H2511" s="4">
        <v>3352509</v>
      </c>
      <c r="I2511" s="4" t="s">
        <v>673</v>
      </c>
      <c r="J2511" s="4" t="s">
        <v>134</v>
      </c>
      <c r="K2511" s="4">
        <v>3347102</v>
      </c>
    </row>
    <row r="2512" spans="2:11" s="3" customFormat="1" x14ac:dyDescent="0.3">
      <c r="B2512" s="44">
        <v>46032</v>
      </c>
      <c r="C2512" s="3" t="s">
        <v>416</v>
      </c>
      <c r="D2512" s="3" t="s">
        <v>68</v>
      </c>
      <c r="E2512" s="42"/>
      <c r="F2512" s="3" t="s">
        <v>474</v>
      </c>
      <c r="G2512" s="3" t="s">
        <v>383</v>
      </c>
      <c r="H2512" s="4">
        <v>3200502</v>
      </c>
      <c r="I2512" s="4" t="s">
        <v>570</v>
      </c>
      <c r="J2512" s="4" t="s">
        <v>570</v>
      </c>
      <c r="K2512" s="4" t="s">
        <v>556</v>
      </c>
    </row>
    <row r="2513" spans="2:11" s="3" customFormat="1" x14ac:dyDescent="0.3">
      <c r="B2513" s="44">
        <v>46032</v>
      </c>
      <c r="C2513" s="3" t="s">
        <v>416</v>
      </c>
      <c r="D2513" s="3" t="s">
        <v>492</v>
      </c>
      <c r="E2513" s="42"/>
      <c r="F2513" s="3" t="s">
        <v>714</v>
      </c>
      <c r="G2513" s="3" t="s">
        <v>162</v>
      </c>
      <c r="H2513" s="4">
        <v>3348903</v>
      </c>
      <c r="I2513" s="4" t="s">
        <v>670</v>
      </c>
      <c r="J2513" s="4" t="s">
        <v>145</v>
      </c>
      <c r="K2513" s="4">
        <v>3347404</v>
      </c>
    </row>
    <row r="2514" spans="2:11" s="3" customFormat="1" x14ac:dyDescent="0.3">
      <c r="B2514" s="44">
        <v>46032</v>
      </c>
      <c r="C2514" s="3" t="s">
        <v>416</v>
      </c>
      <c r="D2514" s="3" t="s">
        <v>610</v>
      </c>
      <c r="E2514" s="42"/>
      <c r="F2514" s="3" t="s">
        <v>650</v>
      </c>
      <c r="G2514" s="3" t="s">
        <v>353</v>
      </c>
      <c r="H2514" s="4">
        <v>3200200</v>
      </c>
      <c r="I2514" s="4" t="s">
        <v>714</v>
      </c>
      <c r="J2514" s="4" t="s">
        <v>352</v>
      </c>
      <c r="K2514" s="4">
        <v>3197208</v>
      </c>
    </row>
    <row r="2515" spans="2:11" s="3" customFormat="1" x14ac:dyDescent="0.3">
      <c r="B2515" s="44">
        <v>46032</v>
      </c>
      <c r="C2515" s="3" t="s">
        <v>416</v>
      </c>
      <c r="D2515" s="3" t="s">
        <v>68</v>
      </c>
      <c r="E2515" s="42"/>
      <c r="F2515" s="3" t="s">
        <v>650</v>
      </c>
      <c r="G2515" s="3" t="s">
        <v>390</v>
      </c>
      <c r="H2515" s="4">
        <v>3544509</v>
      </c>
      <c r="I2515" s="4" t="s">
        <v>649</v>
      </c>
      <c r="J2515" s="4" t="s">
        <v>456</v>
      </c>
      <c r="K2515" s="4">
        <v>3545602</v>
      </c>
    </row>
    <row r="2516" spans="2:11" s="3" customFormat="1" x14ac:dyDescent="0.3">
      <c r="B2516" s="44">
        <v>46032</v>
      </c>
      <c r="C2516" s="3" t="s">
        <v>416</v>
      </c>
      <c r="D2516" s="3" t="s">
        <v>65</v>
      </c>
      <c r="E2516" s="42"/>
      <c r="F2516" s="3" t="s">
        <v>656</v>
      </c>
      <c r="G2516" s="3" t="s">
        <v>326</v>
      </c>
      <c r="H2516" s="4">
        <v>3199904</v>
      </c>
      <c r="I2516" s="4" t="s">
        <v>479</v>
      </c>
      <c r="J2516" s="4" t="s">
        <v>320</v>
      </c>
      <c r="K2516" s="4">
        <v>3210602</v>
      </c>
    </row>
    <row r="2517" spans="2:11" s="3" customFormat="1" x14ac:dyDescent="0.3">
      <c r="B2517" s="44">
        <v>46032</v>
      </c>
      <c r="C2517" s="3" t="s">
        <v>416</v>
      </c>
      <c r="D2517" s="3" t="s">
        <v>59</v>
      </c>
      <c r="E2517" s="42"/>
      <c r="F2517" s="3" t="s">
        <v>710</v>
      </c>
      <c r="G2517" s="3" t="s">
        <v>279</v>
      </c>
      <c r="H2517" s="4">
        <v>3199706</v>
      </c>
      <c r="I2517" s="4" t="s">
        <v>646</v>
      </c>
      <c r="J2517" s="4" t="s">
        <v>275</v>
      </c>
      <c r="K2517" s="4">
        <v>3202406</v>
      </c>
    </row>
    <row r="2518" spans="2:11" s="3" customFormat="1" x14ac:dyDescent="0.3">
      <c r="B2518" s="44">
        <v>46032</v>
      </c>
      <c r="C2518" s="3" t="s">
        <v>416</v>
      </c>
      <c r="D2518" s="3" t="s">
        <v>64</v>
      </c>
      <c r="E2518" s="42">
        <v>4370907</v>
      </c>
      <c r="F2518" s="3" t="s">
        <v>710</v>
      </c>
      <c r="G2518" s="3" t="s">
        <v>354</v>
      </c>
      <c r="H2518" s="4">
        <v>3199404</v>
      </c>
      <c r="I2518" s="4" t="s">
        <v>717</v>
      </c>
      <c r="J2518" s="4" t="s">
        <v>432</v>
      </c>
      <c r="K2518" s="4">
        <v>3195106</v>
      </c>
    </row>
    <row r="2519" spans="2:11" s="3" customFormat="1" x14ac:dyDescent="0.3">
      <c r="B2519" s="44">
        <v>46032</v>
      </c>
      <c r="C2519" s="3" t="s">
        <v>416</v>
      </c>
      <c r="D2519" s="3" t="s">
        <v>496</v>
      </c>
      <c r="E2519" s="42"/>
      <c r="F2519" s="3" t="s">
        <v>710</v>
      </c>
      <c r="G2519" s="3" t="s">
        <v>462</v>
      </c>
      <c r="H2519" s="4">
        <v>3352207</v>
      </c>
      <c r="I2519" s="4" t="s">
        <v>710</v>
      </c>
      <c r="J2519" s="4" t="s">
        <v>206</v>
      </c>
      <c r="K2519" s="4">
        <v>3352103</v>
      </c>
    </row>
    <row r="2520" spans="2:11" s="3" customFormat="1" x14ac:dyDescent="0.3">
      <c r="B2520" s="44">
        <v>46032</v>
      </c>
      <c r="C2520" s="3" t="s">
        <v>416</v>
      </c>
      <c r="D2520" s="3" t="s">
        <v>58</v>
      </c>
      <c r="E2520" s="42"/>
      <c r="F2520" s="3" t="s">
        <v>706</v>
      </c>
      <c r="G2520" s="3" t="s">
        <v>269</v>
      </c>
      <c r="H2520" s="4">
        <v>3069407</v>
      </c>
      <c r="I2520" s="3" t="s">
        <v>698</v>
      </c>
      <c r="J2520" s="3" t="s">
        <v>587</v>
      </c>
      <c r="K2520" s="32" t="s">
        <v>563</v>
      </c>
    </row>
    <row r="2521" spans="2:11" s="3" customFormat="1" x14ac:dyDescent="0.3">
      <c r="B2521" s="44">
        <v>46032</v>
      </c>
      <c r="C2521" s="3" t="s">
        <v>416</v>
      </c>
      <c r="D2521" s="3" t="s">
        <v>60</v>
      </c>
      <c r="E2521" s="42"/>
      <c r="F2521" s="3" t="s">
        <v>706</v>
      </c>
      <c r="G2521" s="3" t="s">
        <v>299</v>
      </c>
      <c r="H2521" s="4">
        <v>3199102</v>
      </c>
      <c r="I2521" s="3" t="s">
        <v>473</v>
      </c>
      <c r="J2521" s="3" t="s">
        <v>298</v>
      </c>
      <c r="K2521" s="32">
        <v>3817807</v>
      </c>
    </row>
    <row r="2522" spans="2:11" s="3" customFormat="1" x14ac:dyDescent="0.3">
      <c r="B2522" s="44">
        <v>46032</v>
      </c>
      <c r="C2522" s="3" t="s">
        <v>416</v>
      </c>
      <c r="D2522" s="3" t="s">
        <v>504</v>
      </c>
      <c r="E2522" s="42"/>
      <c r="F2522" s="3" t="s">
        <v>645</v>
      </c>
      <c r="G2522" s="3" t="s">
        <v>37</v>
      </c>
      <c r="H2522" s="4">
        <v>3029903</v>
      </c>
      <c r="I2522" s="4" t="s">
        <v>671</v>
      </c>
      <c r="J2522" s="4" t="s">
        <v>8</v>
      </c>
      <c r="K2522" s="4">
        <v>3034008</v>
      </c>
    </row>
    <row r="2523" spans="2:11" s="3" customFormat="1" x14ac:dyDescent="0.3">
      <c r="B2523" s="44">
        <v>46032</v>
      </c>
      <c r="C2523" s="3" t="s">
        <v>416</v>
      </c>
      <c r="D2523" s="3" t="s">
        <v>57</v>
      </c>
      <c r="E2523" s="42"/>
      <c r="F2523" s="3" t="s">
        <v>645</v>
      </c>
      <c r="G2523" s="3" t="s">
        <v>263</v>
      </c>
      <c r="H2523" s="4">
        <v>3198707</v>
      </c>
      <c r="I2523" s="4" t="s">
        <v>666</v>
      </c>
      <c r="J2523" s="4" t="s">
        <v>259</v>
      </c>
      <c r="K2523" s="4">
        <v>3205809</v>
      </c>
    </row>
    <row r="2524" spans="2:11" s="3" customFormat="1" x14ac:dyDescent="0.3">
      <c r="B2524" s="44">
        <v>46032</v>
      </c>
      <c r="C2524" s="3" t="s">
        <v>416</v>
      </c>
      <c r="D2524" s="3" t="s">
        <v>487</v>
      </c>
      <c r="E2524" s="4"/>
      <c r="F2524" s="4" t="s">
        <v>645</v>
      </c>
      <c r="G2524" s="4" t="s">
        <v>114</v>
      </c>
      <c r="H2524" s="4">
        <v>3351000</v>
      </c>
      <c r="I2524" s="3" t="s">
        <v>475</v>
      </c>
      <c r="J2524" s="3" t="s">
        <v>96</v>
      </c>
      <c r="K2524" s="4">
        <v>3067107</v>
      </c>
    </row>
    <row r="2525" spans="2:11" s="3" customFormat="1" x14ac:dyDescent="0.3">
      <c r="B2525" s="44">
        <v>46032</v>
      </c>
      <c r="C2525" s="3" t="s">
        <v>416</v>
      </c>
      <c r="D2525" s="3" t="s">
        <v>63</v>
      </c>
      <c r="E2525" s="42"/>
      <c r="F2525" s="104" t="s">
        <v>645</v>
      </c>
      <c r="G2525" s="104" t="s">
        <v>333</v>
      </c>
      <c r="H2525" s="74">
        <v>3198801</v>
      </c>
      <c r="I2525" s="3" t="s">
        <v>478</v>
      </c>
      <c r="J2525" s="3" t="s">
        <v>331</v>
      </c>
      <c r="K2525" s="74">
        <v>3205403</v>
      </c>
    </row>
    <row r="2526" spans="2:11" s="3" customFormat="1" x14ac:dyDescent="0.3">
      <c r="B2526" s="44">
        <v>46032</v>
      </c>
      <c r="C2526" s="3" t="s">
        <v>416</v>
      </c>
      <c r="D2526" s="3" t="s">
        <v>488</v>
      </c>
      <c r="E2526" s="42"/>
      <c r="F2526" s="3" t="s">
        <v>645</v>
      </c>
      <c r="G2526" s="3" t="s">
        <v>123</v>
      </c>
      <c r="H2526" s="4">
        <v>3351104</v>
      </c>
      <c r="I2526" s="4" t="s">
        <v>697</v>
      </c>
      <c r="J2526" s="4" t="s">
        <v>122</v>
      </c>
      <c r="K2526" s="4">
        <v>3353800</v>
      </c>
    </row>
    <row r="2527" spans="2:11" s="3" customFormat="1" x14ac:dyDescent="0.3">
      <c r="B2527" s="44">
        <v>46032</v>
      </c>
      <c r="C2527" s="3" t="s">
        <v>416</v>
      </c>
      <c r="D2527" s="3" t="s">
        <v>491</v>
      </c>
      <c r="E2527" s="42"/>
      <c r="F2527" s="3" t="s">
        <v>645</v>
      </c>
      <c r="G2527" s="3" t="s">
        <v>152</v>
      </c>
      <c r="H2527" s="4">
        <v>3351302</v>
      </c>
      <c r="I2527" s="4" t="s">
        <v>702</v>
      </c>
      <c r="J2527" s="4" t="s">
        <v>180</v>
      </c>
      <c r="K2527" s="4">
        <v>3355308</v>
      </c>
    </row>
    <row r="2528" spans="2:11" s="3" customFormat="1" x14ac:dyDescent="0.3">
      <c r="B2528" s="44">
        <v>46032</v>
      </c>
      <c r="C2528" s="3" t="s">
        <v>416</v>
      </c>
      <c r="D2528" s="3" t="s">
        <v>65</v>
      </c>
      <c r="E2528" s="42"/>
      <c r="F2528" s="3" t="s">
        <v>678</v>
      </c>
      <c r="G2528" s="3" t="s">
        <v>452</v>
      </c>
      <c r="H2528" s="4">
        <v>3198207</v>
      </c>
      <c r="I2528" s="4" t="s">
        <v>676</v>
      </c>
      <c r="J2528" s="4" t="s">
        <v>356</v>
      </c>
      <c r="K2528" s="4">
        <v>3208608</v>
      </c>
    </row>
    <row r="2529" spans="2:11" s="3" customFormat="1" x14ac:dyDescent="0.3">
      <c r="B2529" s="44">
        <v>46032</v>
      </c>
      <c r="C2529" s="3" t="s">
        <v>416</v>
      </c>
      <c r="D2529" s="3" t="s">
        <v>497</v>
      </c>
      <c r="E2529" s="42"/>
      <c r="F2529" s="3" t="s">
        <v>678</v>
      </c>
      <c r="G2529" s="3" t="s">
        <v>172</v>
      </c>
      <c r="H2529" s="74">
        <v>3350709</v>
      </c>
      <c r="I2529" s="17" t="s">
        <v>476</v>
      </c>
      <c r="J2529" s="17" t="s">
        <v>234</v>
      </c>
      <c r="K2529" s="74">
        <v>3356807</v>
      </c>
    </row>
    <row r="2530" spans="2:11" s="3" customFormat="1" x14ac:dyDescent="0.3">
      <c r="B2530" s="44">
        <v>46032</v>
      </c>
      <c r="C2530" s="3" t="s">
        <v>416</v>
      </c>
      <c r="D2530" s="3" t="s">
        <v>496</v>
      </c>
      <c r="E2530" s="42"/>
      <c r="F2530" s="3" t="s">
        <v>675</v>
      </c>
      <c r="G2530" s="3" t="s">
        <v>198</v>
      </c>
      <c r="H2530" s="4">
        <v>3350803</v>
      </c>
      <c r="I2530" s="4" t="s">
        <v>474</v>
      </c>
      <c r="J2530" s="4" t="s">
        <v>426</v>
      </c>
      <c r="K2530" s="4">
        <v>3352603</v>
      </c>
    </row>
    <row r="2531" spans="2:11" s="3" customFormat="1" x14ac:dyDescent="0.3">
      <c r="B2531" s="44">
        <v>46032</v>
      </c>
      <c r="C2531" s="3" t="s">
        <v>416</v>
      </c>
      <c r="D2531" s="4" t="s">
        <v>614</v>
      </c>
      <c r="E2531" s="42"/>
      <c r="F2531" s="3" t="s">
        <v>675</v>
      </c>
      <c r="G2531" s="3" t="s">
        <v>403</v>
      </c>
      <c r="H2531" s="4">
        <v>3198509</v>
      </c>
      <c r="I2531" s="4" t="s">
        <v>674</v>
      </c>
      <c r="J2531" s="4" t="s">
        <v>346</v>
      </c>
      <c r="K2531" s="4">
        <v>3208900</v>
      </c>
    </row>
    <row r="2532" spans="2:11" s="3" customFormat="1" x14ac:dyDescent="0.3">
      <c r="B2532" s="44">
        <v>46032</v>
      </c>
      <c r="C2532" s="3" t="s">
        <v>416</v>
      </c>
      <c r="D2532" s="3" t="s">
        <v>590</v>
      </c>
      <c r="E2532" s="42"/>
      <c r="F2532" s="3" t="s">
        <v>691</v>
      </c>
      <c r="G2532" s="3" t="s">
        <v>289</v>
      </c>
      <c r="H2532" s="4">
        <v>3068804</v>
      </c>
      <c r="I2532" s="4" t="s">
        <v>472</v>
      </c>
      <c r="J2532" s="4" t="s">
        <v>315</v>
      </c>
      <c r="K2532" s="4">
        <v>3455307</v>
      </c>
    </row>
    <row r="2533" spans="2:11" s="3" customFormat="1" x14ac:dyDescent="0.3">
      <c r="B2533" s="44">
        <v>46032</v>
      </c>
      <c r="C2533" s="3" t="s">
        <v>416</v>
      </c>
      <c r="D2533" s="3" t="s">
        <v>500</v>
      </c>
      <c r="E2533" s="42"/>
      <c r="F2533" s="3" t="s">
        <v>691</v>
      </c>
      <c r="G2533" s="3" t="s">
        <v>238</v>
      </c>
      <c r="H2533" s="4">
        <v>3350105</v>
      </c>
      <c r="I2533" s="4" t="s">
        <v>663</v>
      </c>
      <c r="J2533" s="4" t="s">
        <v>239</v>
      </c>
      <c r="K2533" s="4">
        <v>3348809</v>
      </c>
    </row>
    <row r="2534" spans="2:11" s="3" customFormat="1" x14ac:dyDescent="0.3">
      <c r="B2534" s="44">
        <v>46032</v>
      </c>
      <c r="C2534" s="3" t="s">
        <v>416</v>
      </c>
      <c r="D2534" s="3" t="s">
        <v>494</v>
      </c>
      <c r="E2534" s="42"/>
      <c r="F2534" s="3" t="s">
        <v>689</v>
      </c>
      <c r="G2534" s="3" t="s">
        <v>189</v>
      </c>
      <c r="H2534" s="4">
        <v>3350209</v>
      </c>
      <c r="I2534" s="4" t="s">
        <v>662</v>
      </c>
      <c r="J2534" s="4" t="s">
        <v>242</v>
      </c>
      <c r="K2534" s="4">
        <v>3358107</v>
      </c>
    </row>
    <row r="2535" spans="2:11" s="3" customFormat="1" x14ac:dyDescent="0.3">
      <c r="B2535" s="44">
        <v>46032</v>
      </c>
      <c r="C2535" s="3" t="s">
        <v>416</v>
      </c>
      <c r="D2535" s="3" t="s">
        <v>67</v>
      </c>
      <c r="E2535" s="42"/>
      <c r="F2535" s="3" t="s">
        <v>689</v>
      </c>
      <c r="G2535" s="3" t="s">
        <v>341</v>
      </c>
      <c r="H2535" s="4">
        <v>3197708</v>
      </c>
      <c r="I2535" s="4" t="s">
        <v>708</v>
      </c>
      <c r="J2535" s="4" t="s">
        <v>339</v>
      </c>
      <c r="K2535" s="4">
        <v>3204300</v>
      </c>
    </row>
    <row r="2536" spans="2:11" s="3" customFormat="1" x14ac:dyDescent="0.3">
      <c r="B2536" s="44">
        <v>46032</v>
      </c>
      <c r="C2536" s="3" t="s">
        <v>416</v>
      </c>
      <c r="D2536" s="3" t="s">
        <v>60</v>
      </c>
      <c r="E2536" s="42"/>
      <c r="F2536" s="3" t="s">
        <v>668</v>
      </c>
      <c r="G2536" s="3" t="s">
        <v>431</v>
      </c>
      <c r="H2536" s="4">
        <v>3900703</v>
      </c>
      <c r="I2536" s="3" t="s">
        <v>667</v>
      </c>
      <c r="J2536" s="3" t="s">
        <v>444</v>
      </c>
      <c r="K2536" s="32">
        <v>3209909</v>
      </c>
    </row>
    <row r="2537" spans="2:11" s="3" customFormat="1" x14ac:dyDescent="0.3">
      <c r="B2537" s="44">
        <v>46032</v>
      </c>
      <c r="C2537" s="3" t="s">
        <v>416</v>
      </c>
      <c r="D2537" s="3" t="s">
        <v>497</v>
      </c>
      <c r="E2537" s="42"/>
      <c r="F2537" s="3" t="s">
        <v>654</v>
      </c>
      <c r="G2537" s="3" t="s">
        <v>216</v>
      </c>
      <c r="H2537" s="4">
        <v>3349808</v>
      </c>
      <c r="I2537" s="17" t="s">
        <v>653</v>
      </c>
      <c r="J2537" s="17" t="s">
        <v>208</v>
      </c>
      <c r="K2537" s="74">
        <v>3361308</v>
      </c>
    </row>
    <row r="2538" spans="2:11" s="3" customFormat="1" x14ac:dyDescent="0.3">
      <c r="B2538" s="44">
        <v>46032</v>
      </c>
      <c r="C2538" s="3" t="s">
        <v>416</v>
      </c>
      <c r="D2538" s="3" t="s">
        <v>500</v>
      </c>
      <c r="E2538" s="42"/>
      <c r="F2538" s="3" t="s">
        <v>654</v>
      </c>
      <c r="G2538" s="3" t="s">
        <v>576</v>
      </c>
      <c r="H2538" s="4">
        <v>4009003</v>
      </c>
      <c r="I2538" s="4" t="s">
        <v>701</v>
      </c>
      <c r="J2538" s="4" t="s">
        <v>236</v>
      </c>
      <c r="K2538" s="4">
        <v>3355704</v>
      </c>
    </row>
    <row r="2539" spans="2:11" s="3" customFormat="1" x14ac:dyDescent="0.3">
      <c r="B2539" s="44">
        <v>46032</v>
      </c>
      <c r="C2539" s="3" t="s">
        <v>416</v>
      </c>
      <c r="D2539" s="3" t="s">
        <v>489</v>
      </c>
      <c r="E2539" s="4"/>
      <c r="F2539" s="4" t="s">
        <v>712</v>
      </c>
      <c r="G2539" s="4" t="s">
        <v>132</v>
      </c>
      <c r="H2539" s="4">
        <v>3068304</v>
      </c>
      <c r="I2539" s="3" t="s">
        <v>650</v>
      </c>
      <c r="J2539" s="3" t="s">
        <v>163</v>
      </c>
      <c r="K2539" s="4">
        <v>3351802</v>
      </c>
    </row>
    <row r="2540" spans="2:11" s="3" customFormat="1" x14ac:dyDescent="0.3">
      <c r="B2540" s="44">
        <v>46032</v>
      </c>
      <c r="C2540" s="3" t="s">
        <v>416</v>
      </c>
      <c r="D2540" s="3" t="s">
        <v>63</v>
      </c>
      <c r="E2540" s="42"/>
      <c r="F2540" s="104" t="s">
        <v>712</v>
      </c>
      <c r="G2540" s="104" t="s">
        <v>334</v>
      </c>
      <c r="H2540" s="74">
        <v>3198009</v>
      </c>
      <c r="I2540" s="3" t="s">
        <v>683</v>
      </c>
      <c r="J2540" s="3" t="s">
        <v>368</v>
      </c>
      <c r="K2540" s="74">
        <v>3203009</v>
      </c>
    </row>
    <row r="2541" spans="2:11" s="3" customFormat="1" x14ac:dyDescent="0.3">
      <c r="B2541" s="44">
        <v>46032</v>
      </c>
      <c r="C2541" s="3" t="s">
        <v>416</v>
      </c>
      <c r="D2541" s="4" t="s">
        <v>614</v>
      </c>
      <c r="E2541" s="42"/>
      <c r="F2541" s="3" t="s">
        <v>713</v>
      </c>
      <c r="G2541" s="3" t="s">
        <v>386</v>
      </c>
      <c r="H2541" s="4">
        <v>3900807</v>
      </c>
      <c r="I2541" s="4" t="s">
        <v>710</v>
      </c>
      <c r="J2541" s="4" t="s">
        <v>384</v>
      </c>
      <c r="K2541" s="4">
        <v>3199508</v>
      </c>
    </row>
    <row r="2542" spans="2:11" s="3" customFormat="1" x14ac:dyDescent="0.3">
      <c r="B2542" s="44">
        <v>46032</v>
      </c>
      <c r="C2542" s="3" t="s">
        <v>416</v>
      </c>
      <c r="D2542" s="3" t="s">
        <v>495</v>
      </c>
      <c r="E2542" s="42"/>
      <c r="F2542" s="3" t="s">
        <v>713</v>
      </c>
      <c r="G2542" s="3" t="s">
        <v>199</v>
      </c>
      <c r="H2542" s="4">
        <v>3349100</v>
      </c>
      <c r="I2542" s="3" t="s">
        <v>685</v>
      </c>
      <c r="J2542" s="3" t="s">
        <v>196</v>
      </c>
      <c r="K2542" s="4">
        <v>3353102</v>
      </c>
    </row>
    <row r="2543" spans="2:11" s="3" customFormat="1" x14ac:dyDescent="0.3">
      <c r="B2543" s="44">
        <v>46032</v>
      </c>
      <c r="C2543" s="3" t="s">
        <v>416</v>
      </c>
      <c r="D2543" s="4" t="s">
        <v>614</v>
      </c>
      <c r="E2543" s="42"/>
      <c r="F2543" s="3" t="s">
        <v>713</v>
      </c>
      <c r="G2543" s="3" t="s">
        <v>623</v>
      </c>
      <c r="H2543" s="4">
        <v>3819305</v>
      </c>
      <c r="I2543" s="4" t="s">
        <v>710</v>
      </c>
      <c r="J2543" s="4" t="s">
        <v>385</v>
      </c>
      <c r="K2543" s="4">
        <v>3199602</v>
      </c>
    </row>
    <row r="2544" spans="2:11" s="3" customFormat="1" x14ac:dyDescent="0.3">
      <c r="B2544" s="44">
        <v>46032</v>
      </c>
      <c r="C2544" s="3" t="s">
        <v>416</v>
      </c>
      <c r="D2544" s="3" t="s">
        <v>487</v>
      </c>
      <c r="E2544" s="4"/>
      <c r="F2544" s="3" t="s">
        <v>663</v>
      </c>
      <c r="G2544" s="3" t="s">
        <v>419</v>
      </c>
      <c r="H2544" s="4">
        <v>3349204</v>
      </c>
      <c r="I2544" s="4" t="s">
        <v>692</v>
      </c>
      <c r="J2544" s="4" t="s">
        <v>115</v>
      </c>
      <c r="K2544" s="4">
        <v>3068106</v>
      </c>
    </row>
    <row r="2545" spans="2:11" s="3" customFormat="1" x14ac:dyDescent="0.3">
      <c r="B2545" s="44">
        <v>46032</v>
      </c>
      <c r="C2545" s="3" t="s">
        <v>416</v>
      </c>
      <c r="D2545" s="3" t="s">
        <v>65</v>
      </c>
      <c r="E2545" s="42"/>
      <c r="F2545" s="3" t="s">
        <v>663</v>
      </c>
      <c r="G2545" s="3" t="s">
        <v>290</v>
      </c>
      <c r="H2545" s="4">
        <v>3197500</v>
      </c>
      <c r="I2545" s="4" t="s">
        <v>655</v>
      </c>
      <c r="J2545" s="4" t="s">
        <v>325</v>
      </c>
      <c r="K2545" s="4">
        <v>3201501</v>
      </c>
    </row>
    <row r="2546" spans="2:11" s="3" customFormat="1" x14ac:dyDescent="0.3">
      <c r="B2546" s="44">
        <v>46032</v>
      </c>
      <c r="C2546" s="3" t="s">
        <v>416</v>
      </c>
      <c r="D2546" s="3" t="s">
        <v>593</v>
      </c>
      <c r="E2546" s="42"/>
      <c r="F2546" s="3" t="s">
        <v>663</v>
      </c>
      <c r="G2546" s="3" t="s">
        <v>396</v>
      </c>
      <c r="H2546" s="4">
        <v>3197104</v>
      </c>
      <c r="I2546" s="4" t="s">
        <v>661</v>
      </c>
      <c r="J2546" s="4" t="s">
        <v>640</v>
      </c>
      <c r="K2546" s="4">
        <v>3210102</v>
      </c>
    </row>
    <row r="2547" spans="2:11" s="3" customFormat="1" x14ac:dyDescent="0.3">
      <c r="B2547" s="44">
        <v>46032</v>
      </c>
      <c r="C2547" s="3" t="s">
        <v>416</v>
      </c>
      <c r="D2547" s="3" t="s">
        <v>504</v>
      </c>
      <c r="E2547" s="42"/>
      <c r="F2547" s="3" t="s">
        <v>471</v>
      </c>
      <c r="G2547" s="3" t="s">
        <v>14</v>
      </c>
      <c r="H2547" s="4">
        <v>3348601</v>
      </c>
      <c r="I2547" s="4" t="s">
        <v>476</v>
      </c>
      <c r="J2547" s="4" t="s">
        <v>100</v>
      </c>
      <c r="K2547" s="4">
        <v>3125302</v>
      </c>
    </row>
    <row r="2548" spans="2:11" s="3" customFormat="1" x14ac:dyDescent="0.3">
      <c r="B2548" s="44">
        <v>46032</v>
      </c>
      <c r="C2548" s="3" t="s">
        <v>416</v>
      </c>
      <c r="D2548" s="3" t="s">
        <v>56</v>
      </c>
      <c r="E2548" s="42"/>
      <c r="F2548" s="3" t="s">
        <v>471</v>
      </c>
      <c r="G2548" s="3" t="s">
        <v>254</v>
      </c>
      <c r="H2548" s="4">
        <v>3068908</v>
      </c>
      <c r="I2548" s="4" t="s">
        <v>471</v>
      </c>
      <c r="J2548" s="4" t="s">
        <v>441</v>
      </c>
      <c r="K2548" s="4">
        <v>3023409</v>
      </c>
    </row>
    <row r="2549" spans="2:11" s="3" customFormat="1" x14ac:dyDescent="0.3">
      <c r="B2549" s="44">
        <v>46032</v>
      </c>
      <c r="C2549" s="3" t="s">
        <v>416</v>
      </c>
      <c r="D2549" s="3" t="s">
        <v>493</v>
      </c>
      <c r="E2549" s="42"/>
      <c r="F2549" s="3" t="s">
        <v>471</v>
      </c>
      <c r="G2549" s="3" t="s">
        <v>174</v>
      </c>
      <c r="H2549" s="4">
        <v>3348101</v>
      </c>
      <c r="I2549" s="4" t="s">
        <v>471</v>
      </c>
      <c r="J2549" s="4" t="s">
        <v>217</v>
      </c>
      <c r="K2549" s="4">
        <v>3348309</v>
      </c>
    </row>
    <row r="2550" spans="2:11" s="3" customFormat="1" x14ac:dyDescent="0.3">
      <c r="B2550" s="44">
        <v>46032</v>
      </c>
      <c r="C2550" s="3" t="s">
        <v>416</v>
      </c>
      <c r="D2550" s="3" t="s">
        <v>62</v>
      </c>
      <c r="E2550" s="42"/>
      <c r="F2550" s="3" t="s">
        <v>471</v>
      </c>
      <c r="G2550" s="3" t="s">
        <v>328</v>
      </c>
      <c r="H2550" s="4">
        <v>3196803</v>
      </c>
      <c r="I2550" s="4" t="s">
        <v>679</v>
      </c>
      <c r="J2550" s="4" t="s">
        <v>292</v>
      </c>
      <c r="K2550" s="4">
        <v>3195304</v>
      </c>
    </row>
    <row r="2551" spans="2:11" s="3" customFormat="1" x14ac:dyDescent="0.3">
      <c r="B2551" s="44">
        <v>46032</v>
      </c>
      <c r="C2551" s="3" t="s">
        <v>416</v>
      </c>
      <c r="D2551" s="3" t="s">
        <v>493</v>
      </c>
      <c r="E2551" s="42"/>
      <c r="F2551" s="3" t="s">
        <v>471</v>
      </c>
      <c r="G2551" s="3" t="s">
        <v>190</v>
      </c>
      <c r="H2551" s="4">
        <v>3348205</v>
      </c>
      <c r="I2551" s="4" t="s">
        <v>479</v>
      </c>
      <c r="J2551" s="4" t="s">
        <v>210</v>
      </c>
      <c r="K2551" s="4">
        <v>3361100</v>
      </c>
    </row>
    <row r="2552" spans="2:11" s="3" customFormat="1" x14ac:dyDescent="0.3">
      <c r="B2552" s="44">
        <v>46032</v>
      </c>
      <c r="C2552" s="3" t="s">
        <v>416</v>
      </c>
      <c r="D2552" s="3" t="s">
        <v>65</v>
      </c>
      <c r="E2552" s="42"/>
      <c r="F2552" s="3" t="s">
        <v>471</v>
      </c>
      <c r="G2552" s="3" t="s">
        <v>363</v>
      </c>
      <c r="H2552" s="4">
        <v>3196907</v>
      </c>
      <c r="I2552" s="4" t="s">
        <v>653</v>
      </c>
      <c r="J2552" s="4" t="s">
        <v>451</v>
      </c>
      <c r="K2552" s="4">
        <v>3211309</v>
      </c>
    </row>
    <row r="2553" spans="2:11" s="3" customFormat="1" x14ac:dyDescent="0.3">
      <c r="B2553" s="44">
        <v>46032</v>
      </c>
      <c r="C2553" s="3" t="s">
        <v>416</v>
      </c>
      <c r="D2553" s="3" t="s">
        <v>500</v>
      </c>
      <c r="E2553" s="42"/>
      <c r="F2553" s="3" t="s">
        <v>471</v>
      </c>
      <c r="G2553" s="3" t="s">
        <v>467</v>
      </c>
      <c r="H2553" s="4">
        <v>3819409</v>
      </c>
      <c r="I2553" s="4" t="s">
        <v>479</v>
      </c>
      <c r="J2553" s="4" t="s">
        <v>465</v>
      </c>
      <c r="K2553" s="4">
        <v>3962207</v>
      </c>
    </row>
    <row r="2554" spans="2:11" s="3" customFormat="1" x14ac:dyDescent="0.3">
      <c r="B2554" s="44">
        <v>46032</v>
      </c>
      <c r="C2554" s="3" t="s">
        <v>416</v>
      </c>
      <c r="D2554" s="3" t="s">
        <v>64</v>
      </c>
      <c r="E2554" s="42">
        <v>4370907</v>
      </c>
      <c r="F2554" s="3" t="s">
        <v>692</v>
      </c>
      <c r="G2554" s="3" t="s">
        <v>342</v>
      </c>
      <c r="H2554" s="4">
        <v>3196501</v>
      </c>
      <c r="I2554" s="4" t="s">
        <v>672</v>
      </c>
      <c r="J2554" s="4" t="s">
        <v>316</v>
      </c>
      <c r="K2554" s="4">
        <v>3069105</v>
      </c>
    </row>
    <row r="2555" spans="2:11" s="3" customFormat="1" x14ac:dyDescent="0.3">
      <c r="B2555" s="44">
        <v>46032</v>
      </c>
      <c r="C2555" s="3" t="s">
        <v>416</v>
      </c>
      <c r="D2555" s="3" t="s">
        <v>494</v>
      </c>
      <c r="E2555" s="42"/>
      <c r="F2555" s="3" t="s">
        <v>692</v>
      </c>
      <c r="G2555" s="3" t="s">
        <v>144</v>
      </c>
      <c r="H2555" s="4">
        <v>3347904</v>
      </c>
      <c r="I2555" s="4" t="s">
        <v>472</v>
      </c>
      <c r="J2555" s="4" t="s">
        <v>185</v>
      </c>
      <c r="K2555" s="4">
        <v>3357806</v>
      </c>
    </row>
    <row r="2556" spans="2:11" s="3" customFormat="1" x14ac:dyDescent="0.3">
      <c r="B2556" s="44">
        <v>46032</v>
      </c>
      <c r="C2556" s="3" t="s">
        <v>416</v>
      </c>
      <c r="D2556" s="3" t="s">
        <v>491</v>
      </c>
      <c r="E2556" s="42"/>
      <c r="F2556" s="3" t="s">
        <v>698</v>
      </c>
      <c r="G2556" s="3" t="s">
        <v>567</v>
      </c>
      <c r="H2556" s="4" t="s">
        <v>556</v>
      </c>
      <c r="I2556" s="3" t="s">
        <v>690</v>
      </c>
      <c r="J2556" s="3" t="s">
        <v>179</v>
      </c>
      <c r="K2556" s="4">
        <v>3818900</v>
      </c>
    </row>
    <row r="2557" spans="2:11" s="3" customFormat="1" x14ac:dyDescent="0.3">
      <c r="B2557" s="44">
        <v>46032</v>
      </c>
      <c r="C2557" s="3" t="s">
        <v>416</v>
      </c>
      <c r="D2557" s="3" t="s">
        <v>60</v>
      </c>
      <c r="E2557" s="42"/>
      <c r="F2557" s="3" t="s">
        <v>698</v>
      </c>
      <c r="G2557" s="3" t="s">
        <v>595</v>
      </c>
      <c r="H2557" s="4" t="s">
        <v>563</v>
      </c>
      <c r="I2557" s="3" t="s">
        <v>721</v>
      </c>
      <c r="J2557" s="3" t="s">
        <v>300</v>
      </c>
      <c r="K2557" s="32">
        <v>3194805</v>
      </c>
    </row>
    <row r="2558" spans="2:11" s="3" customFormat="1" x14ac:dyDescent="0.3">
      <c r="B2558" s="44">
        <v>46032</v>
      </c>
      <c r="C2558" s="3" t="s">
        <v>416</v>
      </c>
      <c r="D2558" s="3" t="s">
        <v>590</v>
      </c>
      <c r="E2558" s="42"/>
      <c r="F2558" s="3" t="s">
        <v>699</v>
      </c>
      <c r="G2558" s="3" t="s">
        <v>594</v>
      </c>
      <c r="H2558" s="4">
        <v>3196407</v>
      </c>
      <c r="I2558" s="3" t="s">
        <v>474</v>
      </c>
      <c r="J2558" s="3" t="s">
        <v>317</v>
      </c>
      <c r="K2558" s="4">
        <v>3200700</v>
      </c>
    </row>
    <row r="2559" spans="2:11" s="3" customFormat="1" x14ac:dyDescent="0.3">
      <c r="B2559" s="44">
        <v>46032</v>
      </c>
      <c r="C2559" s="3" t="s">
        <v>416</v>
      </c>
      <c r="D2559" s="4" t="s">
        <v>614</v>
      </c>
      <c r="E2559" s="42"/>
      <c r="F2559" s="3" t="s">
        <v>699</v>
      </c>
      <c r="G2559" s="3" t="s">
        <v>624</v>
      </c>
      <c r="H2559" s="4">
        <v>3196105</v>
      </c>
      <c r="I2559" s="4" t="s">
        <v>682</v>
      </c>
      <c r="J2559" s="4" t="s">
        <v>622</v>
      </c>
      <c r="K2559" s="4">
        <v>3969502</v>
      </c>
    </row>
    <row r="2560" spans="2:11" s="3" customFormat="1" x14ac:dyDescent="0.3">
      <c r="B2560" s="44">
        <v>46032</v>
      </c>
      <c r="C2560" s="3" t="s">
        <v>416</v>
      </c>
      <c r="D2560" s="3" t="s">
        <v>486</v>
      </c>
      <c r="E2560" s="42"/>
      <c r="F2560" s="3" t="s">
        <v>681</v>
      </c>
      <c r="G2560" s="3" t="s">
        <v>105</v>
      </c>
      <c r="H2560" s="4">
        <v>3035809</v>
      </c>
      <c r="I2560" s="4" t="s">
        <v>680</v>
      </c>
      <c r="J2560" s="4" t="s">
        <v>98</v>
      </c>
      <c r="K2560" s="4">
        <v>3358909</v>
      </c>
    </row>
    <row r="2561" spans="2:11" s="3" customFormat="1" x14ac:dyDescent="0.3">
      <c r="B2561" s="44">
        <v>46032</v>
      </c>
      <c r="C2561" s="3" t="s">
        <v>416</v>
      </c>
      <c r="D2561" s="3" t="s">
        <v>59</v>
      </c>
      <c r="E2561" s="42"/>
      <c r="F2561" s="3" t="s">
        <v>681</v>
      </c>
      <c r="G2561" s="3" t="s">
        <v>281</v>
      </c>
      <c r="H2561" s="4">
        <v>3195700</v>
      </c>
      <c r="I2561" s="4" t="s">
        <v>656</v>
      </c>
      <c r="J2561" s="4" t="s">
        <v>278</v>
      </c>
      <c r="K2561" s="4">
        <v>3199800</v>
      </c>
    </row>
    <row r="2562" spans="2:11" s="3" customFormat="1" x14ac:dyDescent="0.3">
      <c r="B2562" s="44">
        <v>46032</v>
      </c>
      <c r="C2562" s="3" t="s">
        <v>416</v>
      </c>
      <c r="D2562" s="3" t="s">
        <v>497</v>
      </c>
      <c r="E2562" s="42"/>
      <c r="F2562" s="3" t="s">
        <v>681</v>
      </c>
      <c r="G2562" s="3" t="s">
        <v>175</v>
      </c>
      <c r="H2562" s="74">
        <v>3347800</v>
      </c>
      <c r="I2562" s="3" t="s">
        <v>654</v>
      </c>
      <c r="J2562" s="3" t="s">
        <v>438</v>
      </c>
      <c r="K2562" s="74">
        <v>3906207</v>
      </c>
    </row>
    <row r="2563" spans="2:11" s="3" customFormat="1" x14ac:dyDescent="0.3">
      <c r="B2563" s="44">
        <v>46032</v>
      </c>
      <c r="C2563" s="3" t="s">
        <v>416</v>
      </c>
      <c r="D2563" s="3" t="s">
        <v>593</v>
      </c>
      <c r="E2563" s="42"/>
      <c r="F2563" s="3" t="s">
        <v>681</v>
      </c>
      <c r="G2563" s="3" t="s">
        <v>397</v>
      </c>
      <c r="H2563" s="4">
        <v>3195908</v>
      </c>
      <c r="I2563" s="4" t="s">
        <v>476</v>
      </c>
      <c r="J2563" s="4" t="s">
        <v>630</v>
      </c>
      <c r="K2563" s="4">
        <v>3206308</v>
      </c>
    </row>
    <row r="2564" spans="2:11" s="3" customFormat="1" x14ac:dyDescent="0.3">
      <c r="B2564" s="44">
        <v>46032</v>
      </c>
      <c r="C2564" s="3" t="s">
        <v>416</v>
      </c>
      <c r="D2564" s="3" t="s">
        <v>64</v>
      </c>
      <c r="E2564" s="42">
        <v>4370907</v>
      </c>
      <c r="F2564" s="3" t="s">
        <v>670</v>
      </c>
      <c r="G2564" s="3" t="s">
        <v>343</v>
      </c>
      <c r="H2564" s="4">
        <v>3195606</v>
      </c>
      <c r="I2564" s="4" t="s">
        <v>669</v>
      </c>
      <c r="J2564" s="4" t="s">
        <v>337</v>
      </c>
      <c r="K2564" s="4">
        <v>3209305</v>
      </c>
    </row>
    <row r="2565" spans="2:11" s="3" customFormat="1" x14ac:dyDescent="0.3">
      <c r="B2565" s="44">
        <v>46032</v>
      </c>
      <c r="C2565" s="3" t="s">
        <v>416</v>
      </c>
      <c r="D2565" s="3" t="s">
        <v>495</v>
      </c>
      <c r="E2565" s="42"/>
      <c r="F2565" s="3" t="s">
        <v>670</v>
      </c>
      <c r="G2565" s="3" t="s">
        <v>224</v>
      </c>
      <c r="H2565" s="4">
        <v>3347008</v>
      </c>
      <c r="I2565" s="3" t="s">
        <v>699</v>
      </c>
      <c r="J2565" s="3" t="s">
        <v>569</v>
      </c>
      <c r="K2565" s="4">
        <v>3125708</v>
      </c>
    </row>
    <row r="2566" spans="2:11" s="3" customFormat="1" x14ac:dyDescent="0.3">
      <c r="B2566" s="44">
        <v>46032</v>
      </c>
      <c r="C2566" s="3" t="s">
        <v>416</v>
      </c>
      <c r="D2566" s="3" t="s">
        <v>486</v>
      </c>
      <c r="E2566" s="42"/>
      <c r="F2566" s="3" t="s">
        <v>673</v>
      </c>
      <c r="G2566" s="3" t="s">
        <v>106</v>
      </c>
      <c r="H2566" s="4">
        <v>3067607</v>
      </c>
      <c r="I2566" s="4" t="s">
        <v>652</v>
      </c>
      <c r="J2566" s="4" t="s">
        <v>110</v>
      </c>
      <c r="K2566" s="4">
        <v>3359106</v>
      </c>
    </row>
    <row r="2567" spans="2:11" s="3" customFormat="1" x14ac:dyDescent="0.3">
      <c r="B2567" s="44">
        <v>46032</v>
      </c>
      <c r="C2567" s="3" t="s">
        <v>416</v>
      </c>
      <c r="D2567" s="3" t="s">
        <v>64</v>
      </c>
      <c r="E2567" s="42">
        <v>4370907</v>
      </c>
      <c r="F2567" s="3" t="s">
        <v>673</v>
      </c>
      <c r="G2567" s="3" t="s">
        <v>355</v>
      </c>
      <c r="H2567" s="4">
        <v>3195002</v>
      </c>
      <c r="I2567" s="4" t="s">
        <v>671</v>
      </c>
      <c r="J2567" s="4" t="s">
        <v>312</v>
      </c>
      <c r="K2567" s="4">
        <v>3209107</v>
      </c>
    </row>
    <row r="2568" spans="2:11" s="3" customFormat="1" x14ac:dyDescent="0.3">
      <c r="B2568" s="44">
        <v>46032</v>
      </c>
      <c r="C2568" s="3" t="s">
        <v>416</v>
      </c>
      <c r="D2568" s="4" t="s">
        <v>614</v>
      </c>
      <c r="E2568" s="42"/>
      <c r="F2568" s="3" t="s">
        <v>673</v>
      </c>
      <c r="G2568" s="3" t="s">
        <v>455</v>
      </c>
      <c r="H2568" s="4">
        <v>3961604</v>
      </c>
      <c r="I2568" s="4" t="s">
        <v>714</v>
      </c>
      <c r="J2568" s="4" t="s">
        <v>454</v>
      </c>
      <c r="K2568" s="4">
        <v>3820300</v>
      </c>
    </row>
    <row r="2569" spans="2:11" s="3" customFormat="1" x14ac:dyDescent="0.3">
      <c r="B2569" s="44">
        <v>46032</v>
      </c>
      <c r="C2569" s="3" t="s">
        <v>416</v>
      </c>
      <c r="D2569" s="3" t="s">
        <v>490</v>
      </c>
      <c r="E2569" s="4"/>
      <c r="F2569" s="3" t="s">
        <v>717</v>
      </c>
      <c r="G2569" s="3" t="s">
        <v>425</v>
      </c>
      <c r="H2569" s="4">
        <v>3347206</v>
      </c>
      <c r="I2569" s="4" t="s">
        <v>691</v>
      </c>
      <c r="J2569" s="4" t="s">
        <v>142</v>
      </c>
      <c r="K2569" s="4">
        <v>3350501</v>
      </c>
    </row>
    <row r="2570" spans="2:11" s="3" customFormat="1" x14ac:dyDescent="0.3">
      <c r="B2570" s="44">
        <v>46032</v>
      </c>
      <c r="C2570" s="3" t="s">
        <v>416</v>
      </c>
      <c r="D2570" s="3" t="s">
        <v>489</v>
      </c>
      <c r="E2570" s="4"/>
      <c r="F2570" s="4" t="s">
        <v>679</v>
      </c>
      <c r="G2570" s="4" t="s">
        <v>135</v>
      </c>
      <c r="H2570" s="4">
        <v>3346603</v>
      </c>
      <c r="I2570" s="3" t="s">
        <v>688</v>
      </c>
      <c r="J2570" s="3" t="s">
        <v>10</v>
      </c>
      <c r="K2570" s="4">
        <v>3036204</v>
      </c>
    </row>
    <row r="2571" spans="2:11" s="3" customFormat="1" x14ac:dyDescent="0.3">
      <c r="B2571" s="44">
        <v>46032</v>
      </c>
      <c r="C2571" s="3" t="s">
        <v>416</v>
      </c>
      <c r="D2571" s="3" t="s">
        <v>593</v>
      </c>
      <c r="E2571" s="42"/>
      <c r="F2571" s="3" t="s">
        <v>679</v>
      </c>
      <c r="G2571" s="3" t="s">
        <v>633</v>
      </c>
      <c r="H2571" s="4">
        <v>3194607</v>
      </c>
      <c r="I2571" s="4" t="s">
        <v>676</v>
      </c>
      <c r="J2571" s="4" t="s">
        <v>639</v>
      </c>
      <c r="K2571" s="4">
        <v>3776805</v>
      </c>
    </row>
    <row r="2572" spans="2:11" s="3" customFormat="1" x14ac:dyDescent="0.3">
      <c r="B2572" s="44">
        <v>46032</v>
      </c>
      <c r="C2572" s="3" t="s">
        <v>416</v>
      </c>
      <c r="D2572" s="3" t="s">
        <v>64</v>
      </c>
      <c r="E2572" s="42">
        <v>4370907</v>
      </c>
      <c r="F2572" s="3" t="s">
        <v>688</v>
      </c>
      <c r="G2572" s="3" t="s">
        <v>318</v>
      </c>
      <c r="H2572" s="4">
        <v>3037401</v>
      </c>
      <c r="I2572" s="4" t="s">
        <v>662</v>
      </c>
      <c r="J2572" s="4" t="s">
        <v>372</v>
      </c>
      <c r="K2572" s="4">
        <v>3207703</v>
      </c>
    </row>
    <row r="2573" spans="2:11" s="3" customFormat="1" x14ac:dyDescent="0.3">
      <c r="B2573" s="44">
        <v>46032</v>
      </c>
      <c r="C2573" s="3" t="s">
        <v>416</v>
      </c>
      <c r="D2573" s="3" t="s">
        <v>67</v>
      </c>
      <c r="E2573" s="42"/>
      <c r="F2573" s="3" t="s">
        <v>688</v>
      </c>
      <c r="G2573" s="3" t="s">
        <v>344</v>
      </c>
      <c r="H2573" s="4">
        <v>3194909</v>
      </c>
      <c r="I2573" s="4" t="s">
        <v>715</v>
      </c>
      <c r="J2573" s="4" t="s">
        <v>377</v>
      </c>
      <c r="K2573" s="4">
        <v>3200106</v>
      </c>
    </row>
    <row r="2574" spans="2:11" s="3" customFormat="1" x14ac:dyDescent="0.3">
      <c r="B2574" s="44">
        <v>46032</v>
      </c>
      <c r="C2574" s="3" t="s">
        <v>416</v>
      </c>
      <c r="D2574" s="3" t="s">
        <v>488</v>
      </c>
      <c r="E2574" s="42"/>
      <c r="F2574" s="3" t="s">
        <v>720</v>
      </c>
      <c r="G2574" s="3" t="s">
        <v>153</v>
      </c>
      <c r="H2574" s="4">
        <v>3033405</v>
      </c>
      <c r="I2574" s="4" t="s">
        <v>698</v>
      </c>
      <c r="J2574" s="4" t="s">
        <v>561</v>
      </c>
      <c r="K2574" s="4" t="s">
        <v>563</v>
      </c>
    </row>
    <row r="2575" spans="2:11" s="3" customFormat="1" x14ac:dyDescent="0.3">
      <c r="B2575" s="44">
        <v>46032</v>
      </c>
      <c r="C2575" s="3" t="s">
        <v>416</v>
      </c>
      <c r="D2575" s="3" t="s">
        <v>487</v>
      </c>
      <c r="E2575" s="4"/>
      <c r="F2575" s="3" t="s">
        <v>647</v>
      </c>
      <c r="G2575" s="3" t="s">
        <v>116</v>
      </c>
      <c r="H2575" s="4">
        <v>3346009</v>
      </c>
      <c r="I2575" s="4" t="s">
        <v>710</v>
      </c>
      <c r="J2575" s="4" t="s">
        <v>113</v>
      </c>
      <c r="K2575" s="4">
        <v>3352009</v>
      </c>
    </row>
    <row r="2576" spans="2:11" s="3" customFormat="1" x14ac:dyDescent="0.3">
      <c r="B2576" s="44">
        <v>46032</v>
      </c>
      <c r="C2576" s="3" t="s">
        <v>416</v>
      </c>
      <c r="D2576" s="3" t="s">
        <v>67</v>
      </c>
      <c r="E2576" s="42"/>
      <c r="F2576" s="3" t="s">
        <v>647</v>
      </c>
      <c r="G2576" s="3" t="s">
        <v>345</v>
      </c>
      <c r="H2576" s="4">
        <v>3194003</v>
      </c>
      <c r="I2576" s="4" t="s">
        <v>475</v>
      </c>
      <c r="J2576" s="4" t="s">
        <v>336</v>
      </c>
      <c r="K2576" s="4">
        <v>3211809</v>
      </c>
    </row>
    <row r="2577" spans="2:13" s="3" customFormat="1" x14ac:dyDescent="0.3">
      <c r="B2577" s="44">
        <v>46032</v>
      </c>
      <c r="C2577" s="3" t="s">
        <v>416</v>
      </c>
      <c r="D2577" s="3" t="s">
        <v>68</v>
      </c>
      <c r="E2577" s="42"/>
      <c r="F2577" s="3" t="s">
        <v>687</v>
      </c>
      <c r="G2577" s="3" t="s">
        <v>391</v>
      </c>
      <c r="H2577" s="4">
        <v>3193806</v>
      </c>
      <c r="I2577" s="4" t="s">
        <v>686</v>
      </c>
      <c r="J2577" s="4" t="s">
        <v>626</v>
      </c>
      <c r="K2577" s="4" t="s">
        <v>637</v>
      </c>
    </row>
    <row r="2578" spans="2:13" s="3" customFormat="1" x14ac:dyDescent="0.3">
      <c r="B2578" s="44">
        <v>46039</v>
      </c>
      <c r="C2578" s="3" t="s">
        <v>416</v>
      </c>
      <c r="D2578" s="3" t="s">
        <v>487</v>
      </c>
      <c r="E2578" s="4"/>
      <c r="F2578" s="3" t="s">
        <v>475</v>
      </c>
      <c r="G2578" s="3" t="s">
        <v>96</v>
      </c>
      <c r="H2578" s="4">
        <v>3067107</v>
      </c>
      <c r="I2578" s="3" t="s">
        <v>663</v>
      </c>
      <c r="J2578" s="3" t="s">
        <v>419</v>
      </c>
      <c r="K2578" s="4">
        <v>3349204</v>
      </c>
    </row>
    <row r="2579" spans="2:13" s="3" customFormat="1" x14ac:dyDescent="0.3">
      <c r="B2579" s="44">
        <v>46039</v>
      </c>
      <c r="C2579" s="3" t="s">
        <v>416</v>
      </c>
      <c r="D2579" s="3" t="s">
        <v>490</v>
      </c>
      <c r="E2579" s="4"/>
      <c r="F2579" s="3" t="s">
        <v>475</v>
      </c>
      <c r="G2579" s="3" t="s">
        <v>125</v>
      </c>
      <c r="H2579" s="4">
        <v>3362807</v>
      </c>
      <c r="I2579" s="4" t="s">
        <v>472</v>
      </c>
      <c r="J2579" s="4" t="s">
        <v>140</v>
      </c>
      <c r="K2579" s="4">
        <v>3357900</v>
      </c>
    </row>
    <row r="2580" spans="2:13" s="3" customFormat="1" x14ac:dyDescent="0.3">
      <c r="B2580" s="44">
        <v>46039</v>
      </c>
      <c r="C2580" s="3" t="s">
        <v>416</v>
      </c>
      <c r="D2580" s="3" t="s">
        <v>64</v>
      </c>
      <c r="E2580" s="42">
        <v>4370907</v>
      </c>
      <c r="F2580" s="3" t="s">
        <v>475</v>
      </c>
      <c r="G2580" s="3" t="s">
        <v>310</v>
      </c>
      <c r="H2580" s="4">
        <v>3212402</v>
      </c>
      <c r="I2580" s="4" t="s">
        <v>692</v>
      </c>
      <c r="J2580" s="4" t="s">
        <v>342</v>
      </c>
      <c r="K2580" s="4">
        <v>3196501</v>
      </c>
    </row>
    <row r="2581" spans="2:13" s="3" customFormat="1" x14ac:dyDescent="0.3">
      <c r="B2581" s="44">
        <v>46039</v>
      </c>
      <c r="C2581" s="3" t="s">
        <v>416</v>
      </c>
      <c r="D2581" s="3" t="s">
        <v>67</v>
      </c>
      <c r="E2581" s="42"/>
      <c r="F2581" s="4" t="s">
        <v>475</v>
      </c>
      <c r="G2581" s="4" t="s">
        <v>336</v>
      </c>
      <c r="H2581" s="4">
        <v>3211809</v>
      </c>
      <c r="I2581" s="3" t="s">
        <v>689</v>
      </c>
      <c r="J2581" s="3" t="s">
        <v>341</v>
      </c>
      <c r="K2581" s="4">
        <v>3197708</v>
      </c>
    </row>
    <row r="2582" spans="2:13" s="3" customFormat="1" x14ac:dyDescent="0.3">
      <c r="B2582" s="44">
        <v>46039</v>
      </c>
      <c r="C2582" s="3" t="s">
        <v>416</v>
      </c>
      <c r="D2582" s="3" t="s">
        <v>70</v>
      </c>
      <c r="E2582" s="42"/>
      <c r="F2582" s="3" t="s">
        <v>475</v>
      </c>
      <c r="G2582" s="3" t="s">
        <v>370</v>
      </c>
      <c r="H2582" s="4">
        <v>3211903</v>
      </c>
      <c r="I2582" s="3" t="s">
        <v>717</v>
      </c>
      <c r="J2582" s="3" t="s">
        <v>434</v>
      </c>
      <c r="K2582" s="4">
        <v>3195408</v>
      </c>
    </row>
    <row r="2583" spans="2:13" s="3" customFormat="1" x14ac:dyDescent="0.3">
      <c r="B2583" s="44">
        <v>46039</v>
      </c>
      <c r="C2583" s="3" t="s">
        <v>416</v>
      </c>
      <c r="D2583" s="3" t="s">
        <v>492</v>
      </c>
      <c r="E2583" s="42"/>
      <c r="F2583" s="4" t="s">
        <v>648</v>
      </c>
      <c r="G2583" s="4" t="s">
        <v>201</v>
      </c>
      <c r="H2583" s="4">
        <v>3362203</v>
      </c>
      <c r="I2583" s="3" t="s">
        <v>666</v>
      </c>
      <c r="J2583" s="3" t="s">
        <v>158</v>
      </c>
      <c r="K2583" s="4">
        <v>3356901</v>
      </c>
    </row>
    <row r="2584" spans="2:13" s="3" customFormat="1" x14ac:dyDescent="0.3">
      <c r="B2584" s="44">
        <v>46039</v>
      </c>
      <c r="C2584" s="3" t="s">
        <v>416</v>
      </c>
      <c r="D2584" s="3" t="s">
        <v>68</v>
      </c>
      <c r="E2584" s="42"/>
      <c r="F2584" s="3" t="s">
        <v>649</v>
      </c>
      <c r="G2584" s="3" t="s">
        <v>456</v>
      </c>
      <c r="H2584" s="4">
        <v>3545602</v>
      </c>
      <c r="I2584" s="4" t="s">
        <v>652</v>
      </c>
      <c r="J2584" s="4" t="s">
        <v>625</v>
      </c>
      <c r="K2584" s="4">
        <v>3899803</v>
      </c>
    </row>
    <row r="2585" spans="2:13" s="3" customFormat="1" x14ac:dyDescent="0.3">
      <c r="B2585" s="44">
        <v>46039</v>
      </c>
      <c r="C2585" s="3" t="s">
        <v>416</v>
      </c>
      <c r="D2585" s="3" t="s">
        <v>486</v>
      </c>
      <c r="E2585" s="42"/>
      <c r="F2585" s="4" t="s">
        <v>651</v>
      </c>
      <c r="G2585" s="4" t="s">
        <v>97</v>
      </c>
      <c r="H2585" s="4">
        <v>3362005</v>
      </c>
      <c r="I2585" s="3" t="s">
        <v>673</v>
      </c>
      <c r="J2585" s="3" t="s">
        <v>106</v>
      </c>
      <c r="K2585" s="4">
        <v>3067607</v>
      </c>
    </row>
    <row r="2586" spans="2:13" s="3" customFormat="1" x14ac:dyDescent="0.3">
      <c r="B2586" s="44">
        <v>46039</v>
      </c>
      <c r="C2586" s="3" t="s">
        <v>416</v>
      </c>
      <c r="D2586" s="3" t="s">
        <v>68</v>
      </c>
      <c r="E2586" s="42"/>
      <c r="F2586" s="3" t="s">
        <v>651</v>
      </c>
      <c r="G2586" s="3" t="s">
        <v>387</v>
      </c>
      <c r="H2586" s="4">
        <v>3211403</v>
      </c>
      <c r="I2586" s="4" t="s">
        <v>687</v>
      </c>
      <c r="J2586" s="4" t="s">
        <v>391</v>
      </c>
      <c r="K2586" s="4">
        <v>3193806</v>
      </c>
    </row>
    <row r="2587" spans="2:13" s="3" customFormat="1" x14ac:dyDescent="0.3">
      <c r="B2587" s="44">
        <v>46039</v>
      </c>
      <c r="C2587" s="3" t="s">
        <v>416</v>
      </c>
      <c r="D2587" s="3" t="s">
        <v>499</v>
      </c>
      <c r="E2587" s="42"/>
      <c r="F2587" s="3" t="s">
        <v>651</v>
      </c>
      <c r="G2587" s="3" t="s">
        <v>226</v>
      </c>
      <c r="H2587" s="4">
        <v>3361902</v>
      </c>
      <c r="I2587" s="3" t="s">
        <v>687</v>
      </c>
      <c r="J2587" s="3" t="s">
        <v>231</v>
      </c>
      <c r="K2587" s="4">
        <v>3819503</v>
      </c>
      <c r="M2587" s="4"/>
    </row>
    <row r="2588" spans="2:13" s="3" customFormat="1" x14ac:dyDescent="0.3">
      <c r="B2588" s="44">
        <v>46039</v>
      </c>
      <c r="C2588" s="3" t="s">
        <v>416</v>
      </c>
      <c r="D2588" s="3" t="s">
        <v>59</v>
      </c>
      <c r="E2588" s="42"/>
      <c r="F2588" s="4" t="s">
        <v>653</v>
      </c>
      <c r="G2588" s="4" t="s">
        <v>272</v>
      </c>
      <c r="H2588" s="4">
        <v>3211205</v>
      </c>
      <c r="I2588" s="3" t="s">
        <v>652</v>
      </c>
      <c r="J2588" s="3" t="s">
        <v>313</v>
      </c>
      <c r="K2588" s="4">
        <v>3207901</v>
      </c>
    </row>
    <row r="2589" spans="2:13" s="3" customFormat="1" x14ac:dyDescent="0.3">
      <c r="B2589" s="44">
        <v>46039</v>
      </c>
      <c r="C2589" s="3" t="s">
        <v>416</v>
      </c>
      <c r="D2589" s="3" t="s">
        <v>497</v>
      </c>
      <c r="E2589" s="42"/>
      <c r="F2589" s="17" t="s">
        <v>653</v>
      </c>
      <c r="G2589" s="17" t="s">
        <v>208</v>
      </c>
      <c r="H2589" s="74">
        <v>3361308</v>
      </c>
      <c r="I2589" s="17" t="s">
        <v>480</v>
      </c>
      <c r="J2589" s="17" t="s">
        <v>428</v>
      </c>
      <c r="K2589" s="74">
        <v>3360309</v>
      </c>
    </row>
    <row r="2590" spans="2:13" s="3" customFormat="1" x14ac:dyDescent="0.3">
      <c r="B2590" s="44">
        <v>46039</v>
      </c>
      <c r="C2590" s="3" t="s">
        <v>416</v>
      </c>
      <c r="D2590" s="3" t="s">
        <v>65</v>
      </c>
      <c r="E2590" s="42"/>
      <c r="F2590" s="3" t="s">
        <v>653</v>
      </c>
      <c r="G2590" s="3" t="s">
        <v>451</v>
      </c>
      <c r="H2590" s="4">
        <v>3211309</v>
      </c>
      <c r="I2590" s="4" t="s">
        <v>718</v>
      </c>
      <c r="J2590" s="4" t="s">
        <v>359</v>
      </c>
      <c r="K2590" s="4">
        <v>3204602</v>
      </c>
    </row>
    <row r="2591" spans="2:13" s="3" customFormat="1" x14ac:dyDescent="0.3">
      <c r="B2591" s="44">
        <v>46039</v>
      </c>
      <c r="C2591" s="3" t="s">
        <v>416</v>
      </c>
      <c r="D2591" s="3" t="s">
        <v>59</v>
      </c>
      <c r="E2591" s="42"/>
      <c r="F2591" s="4" t="s">
        <v>479</v>
      </c>
      <c r="G2591" s="4" t="s">
        <v>273</v>
      </c>
      <c r="H2591" s="4">
        <v>3211007</v>
      </c>
      <c r="I2591" s="3" t="s">
        <v>681</v>
      </c>
      <c r="J2591" s="3" t="s">
        <v>281</v>
      </c>
      <c r="K2591" s="4">
        <v>3195700</v>
      </c>
    </row>
    <row r="2592" spans="2:13" s="3" customFormat="1" x14ac:dyDescent="0.3">
      <c r="B2592" s="44">
        <v>46039</v>
      </c>
      <c r="C2592" s="3" t="s">
        <v>416</v>
      </c>
      <c r="D2592" s="3" t="s">
        <v>490</v>
      </c>
      <c r="E2592" s="4"/>
      <c r="F2592" s="3" t="s">
        <v>479</v>
      </c>
      <c r="G2592" s="3" t="s">
        <v>136</v>
      </c>
      <c r="H2592" s="4">
        <v>3360903</v>
      </c>
      <c r="I2592" s="4" t="s">
        <v>717</v>
      </c>
      <c r="J2592" s="4" t="s">
        <v>425</v>
      </c>
      <c r="K2592" s="4">
        <v>3347206</v>
      </c>
    </row>
    <row r="2593" spans="2:11" s="3" customFormat="1" x14ac:dyDescent="0.3">
      <c r="B2593" s="44">
        <v>46039</v>
      </c>
      <c r="C2593" s="3" t="s">
        <v>416</v>
      </c>
      <c r="D2593" s="3" t="s">
        <v>493</v>
      </c>
      <c r="E2593" s="42"/>
      <c r="F2593" s="3" t="s">
        <v>479</v>
      </c>
      <c r="G2593" s="3" t="s">
        <v>210</v>
      </c>
      <c r="H2593" s="4">
        <v>3361100</v>
      </c>
      <c r="I2593" s="4" t="s">
        <v>480</v>
      </c>
      <c r="J2593" s="4" t="s">
        <v>423</v>
      </c>
      <c r="K2593" s="4">
        <v>3360403</v>
      </c>
    </row>
    <row r="2594" spans="2:11" s="3" customFormat="1" x14ac:dyDescent="0.3">
      <c r="B2594" s="44">
        <v>46039</v>
      </c>
      <c r="C2594" s="3" t="s">
        <v>416</v>
      </c>
      <c r="D2594" s="3" t="s">
        <v>65</v>
      </c>
      <c r="E2594" s="42"/>
      <c r="F2594" s="3" t="s">
        <v>479</v>
      </c>
      <c r="G2594" s="3" t="s">
        <v>320</v>
      </c>
      <c r="H2594" s="4">
        <v>3210602</v>
      </c>
      <c r="I2594" s="4" t="s">
        <v>678</v>
      </c>
      <c r="J2594" s="4" t="s">
        <v>452</v>
      </c>
      <c r="K2594" s="4">
        <v>3198207</v>
      </c>
    </row>
    <row r="2595" spans="2:11" s="3" customFormat="1" x14ac:dyDescent="0.3">
      <c r="B2595" s="44">
        <v>46039</v>
      </c>
      <c r="C2595" s="3" t="s">
        <v>416</v>
      </c>
      <c r="D2595" s="3" t="s">
        <v>500</v>
      </c>
      <c r="E2595" s="42"/>
      <c r="F2595" s="3" t="s">
        <v>479</v>
      </c>
      <c r="G2595" s="3" t="s">
        <v>232</v>
      </c>
      <c r="H2595" s="4">
        <v>3360507</v>
      </c>
      <c r="I2595" s="4" t="s">
        <v>676</v>
      </c>
      <c r="J2595" s="4" t="s">
        <v>577</v>
      </c>
      <c r="K2595" s="4" t="s">
        <v>556</v>
      </c>
    </row>
    <row r="2596" spans="2:11" s="3" customFormat="1" x14ac:dyDescent="0.3">
      <c r="B2596" s="44">
        <v>46039</v>
      </c>
      <c r="C2596" s="3" t="s">
        <v>416</v>
      </c>
      <c r="D2596" s="3" t="s">
        <v>500</v>
      </c>
      <c r="E2596" s="42"/>
      <c r="F2596" s="3" t="s">
        <v>479</v>
      </c>
      <c r="G2596" s="3" t="s">
        <v>465</v>
      </c>
      <c r="H2596" s="4">
        <v>3962207</v>
      </c>
      <c r="I2596" s="4" t="s">
        <v>657</v>
      </c>
      <c r="J2596" s="4" t="s">
        <v>574</v>
      </c>
      <c r="K2596" s="4">
        <v>3359606</v>
      </c>
    </row>
    <row r="2597" spans="2:11" s="3" customFormat="1" x14ac:dyDescent="0.3">
      <c r="B2597" s="44">
        <v>46039</v>
      </c>
      <c r="C2597" s="3" t="s">
        <v>416</v>
      </c>
      <c r="D2597" s="3" t="s">
        <v>61</v>
      </c>
      <c r="E2597" s="42"/>
      <c r="F2597" s="4" t="s">
        <v>658</v>
      </c>
      <c r="G2597" s="4" t="s">
        <v>301</v>
      </c>
      <c r="H2597" s="4">
        <v>3210300</v>
      </c>
      <c r="I2597" s="3" t="s">
        <v>703</v>
      </c>
      <c r="J2597" s="3" t="s">
        <v>596</v>
      </c>
      <c r="K2597" s="4" t="s">
        <v>556</v>
      </c>
    </row>
    <row r="2598" spans="2:11" s="3" customFormat="1" x14ac:dyDescent="0.3">
      <c r="B2598" s="44">
        <v>46039</v>
      </c>
      <c r="C2598" s="3" t="s">
        <v>416</v>
      </c>
      <c r="D2598" s="3" t="s">
        <v>504</v>
      </c>
      <c r="E2598" s="42"/>
      <c r="F2598" s="4" t="s">
        <v>480</v>
      </c>
      <c r="G2598" s="4" t="s">
        <v>505</v>
      </c>
      <c r="H2598" s="4">
        <v>3033207</v>
      </c>
      <c r="I2598" s="3" t="s">
        <v>475</v>
      </c>
      <c r="J2598" s="3" t="s">
        <v>15</v>
      </c>
      <c r="K2598" s="4">
        <v>3029601</v>
      </c>
    </row>
    <row r="2599" spans="2:11" s="3" customFormat="1" x14ac:dyDescent="0.3">
      <c r="B2599" s="44">
        <v>46039</v>
      </c>
      <c r="C2599" s="3" t="s">
        <v>416</v>
      </c>
      <c r="D2599" s="3" t="s">
        <v>490</v>
      </c>
      <c r="E2599" s="4"/>
      <c r="F2599" s="3" t="s">
        <v>480</v>
      </c>
      <c r="G2599" s="3" t="s">
        <v>420</v>
      </c>
      <c r="H2599" s="4">
        <v>3360101</v>
      </c>
      <c r="I2599" s="4" t="s">
        <v>479</v>
      </c>
      <c r="J2599" s="4" t="s">
        <v>166</v>
      </c>
      <c r="K2599" s="4">
        <v>3361006</v>
      </c>
    </row>
    <row r="2600" spans="2:11" s="3" customFormat="1" x14ac:dyDescent="0.3">
      <c r="B2600" s="44">
        <v>46039</v>
      </c>
      <c r="C2600" s="3" t="s">
        <v>416</v>
      </c>
      <c r="D2600" s="3" t="s">
        <v>56</v>
      </c>
      <c r="E2600" s="42"/>
      <c r="F2600" s="4" t="s">
        <v>661</v>
      </c>
      <c r="G2600" s="4" t="s">
        <v>439</v>
      </c>
      <c r="H2600" s="4">
        <v>3023701</v>
      </c>
      <c r="I2600" s="73" t="s">
        <v>671</v>
      </c>
      <c r="J2600" s="73" t="s">
        <v>247</v>
      </c>
      <c r="K2600" s="4">
        <v>3034102</v>
      </c>
    </row>
    <row r="2601" spans="2:11" x14ac:dyDescent="0.3">
      <c r="B2601" s="44">
        <v>46039</v>
      </c>
      <c r="C2601" s="3" t="s">
        <v>416</v>
      </c>
      <c r="D2601" s="3" t="s">
        <v>59</v>
      </c>
      <c r="E2601" s="42"/>
      <c r="F2601" s="4" t="s">
        <v>661</v>
      </c>
      <c r="G2601" s="4" t="s">
        <v>641</v>
      </c>
      <c r="H2601" s="4">
        <v>3055707</v>
      </c>
      <c r="I2601" s="3" t="s">
        <v>655</v>
      </c>
      <c r="J2601" s="3" t="s">
        <v>288</v>
      </c>
      <c r="K2601" s="4">
        <v>3200908</v>
      </c>
    </row>
    <row r="2602" spans="2:11" x14ac:dyDescent="0.3">
      <c r="B2602" s="44">
        <v>46039</v>
      </c>
      <c r="C2602" s="3" t="s">
        <v>416</v>
      </c>
      <c r="D2602" s="3" t="s">
        <v>593</v>
      </c>
      <c r="E2602" s="42"/>
      <c r="F2602" s="3" t="s">
        <v>661</v>
      </c>
      <c r="G2602" s="3" t="s">
        <v>640</v>
      </c>
      <c r="H2602" s="4">
        <v>3210102</v>
      </c>
      <c r="I2602" s="4" t="s">
        <v>479</v>
      </c>
      <c r="J2602" s="4" t="s">
        <v>628</v>
      </c>
      <c r="K2602" s="4" t="s">
        <v>642</v>
      </c>
    </row>
    <row r="2603" spans="2:11" x14ac:dyDescent="0.3">
      <c r="B2603" s="44">
        <v>46039</v>
      </c>
      <c r="C2603" s="3" t="s">
        <v>416</v>
      </c>
      <c r="D2603" s="3" t="s">
        <v>68</v>
      </c>
      <c r="E2603" s="42"/>
      <c r="F2603" s="15" t="s">
        <v>664</v>
      </c>
      <c r="G2603" s="15" t="s">
        <v>388</v>
      </c>
      <c r="H2603" s="74">
        <v>3165306</v>
      </c>
      <c r="I2603" s="4" t="s">
        <v>650</v>
      </c>
      <c r="J2603" s="4" t="s">
        <v>390</v>
      </c>
      <c r="K2603" s="4">
        <v>3544509</v>
      </c>
    </row>
    <row r="2604" spans="2:11" x14ac:dyDescent="0.3">
      <c r="B2604" s="44">
        <v>46039</v>
      </c>
      <c r="C2604" s="3" t="s">
        <v>416</v>
      </c>
      <c r="D2604" s="3" t="s">
        <v>487</v>
      </c>
      <c r="E2604" s="4"/>
      <c r="F2604" s="4" t="s">
        <v>657</v>
      </c>
      <c r="G2604" s="4" t="s">
        <v>107</v>
      </c>
      <c r="H2604" s="4">
        <v>3068408</v>
      </c>
      <c r="I2604" s="4" t="s">
        <v>645</v>
      </c>
      <c r="J2604" s="4" t="s">
        <v>114</v>
      </c>
      <c r="K2604" s="4">
        <v>3351000</v>
      </c>
    </row>
    <row r="2605" spans="2:11" x14ac:dyDescent="0.3">
      <c r="B2605" s="44">
        <v>46039</v>
      </c>
      <c r="C2605" s="3" t="s">
        <v>416</v>
      </c>
      <c r="D2605" s="3" t="s">
        <v>590</v>
      </c>
      <c r="E2605" s="42"/>
      <c r="F2605" s="4" t="s">
        <v>657</v>
      </c>
      <c r="G2605" s="4" t="s">
        <v>321</v>
      </c>
      <c r="H2605" s="4">
        <v>3209607</v>
      </c>
      <c r="I2605" s="3" t="s">
        <v>691</v>
      </c>
      <c r="J2605" s="3" t="s">
        <v>289</v>
      </c>
      <c r="K2605" s="4">
        <v>3068804</v>
      </c>
    </row>
    <row r="2606" spans="2:11" x14ac:dyDescent="0.3">
      <c r="B2606" s="44">
        <v>46039</v>
      </c>
      <c r="C2606" s="3" t="s">
        <v>416</v>
      </c>
      <c r="D2606" s="3" t="s">
        <v>497</v>
      </c>
      <c r="E2606" s="42"/>
      <c r="F2606" s="17" t="s">
        <v>657</v>
      </c>
      <c r="G2606" s="17" t="s">
        <v>213</v>
      </c>
      <c r="H2606" s="74">
        <v>3359502</v>
      </c>
      <c r="I2606" s="17" t="s">
        <v>476</v>
      </c>
      <c r="J2606" s="17" t="s">
        <v>234</v>
      </c>
      <c r="K2606" s="74">
        <v>3356807</v>
      </c>
    </row>
    <row r="2607" spans="2:11" x14ac:dyDescent="0.3">
      <c r="B2607" s="44">
        <v>46039</v>
      </c>
      <c r="C2607" s="3" t="s">
        <v>416</v>
      </c>
      <c r="D2607" s="3" t="s">
        <v>495</v>
      </c>
      <c r="E2607" s="42"/>
      <c r="F2607" s="3" t="s">
        <v>570</v>
      </c>
      <c r="G2607" s="3" t="s">
        <v>570</v>
      </c>
      <c r="H2607" s="4" t="s">
        <v>556</v>
      </c>
      <c r="I2607" s="3" t="s">
        <v>646</v>
      </c>
      <c r="J2607" s="3" t="s">
        <v>195</v>
      </c>
      <c r="K2607" s="74">
        <v>3361600</v>
      </c>
    </row>
    <row r="2608" spans="2:11" x14ac:dyDescent="0.3">
      <c r="B2608" s="44">
        <v>46039</v>
      </c>
      <c r="C2608" s="3" t="s">
        <v>416</v>
      </c>
      <c r="D2608" s="3" t="s">
        <v>67</v>
      </c>
      <c r="E2608" s="42"/>
      <c r="F2608" s="4" t="s">
        <v>570</v>
      </c>
      <c r="G2608" s="4" t="s">
        <v>570</v>
      </c>
      <c r="H2608" s="4" t="s">
        <v>556</v>
      </c>
      <c r="I2608" s="3" t="s">
        <v>688</v>
      </c>
      <c r="J2608" s="3" t="s">
        <v>344</v>
      </c>
      <c r="K2608" s="4">
        <v>3194909</v>
      </c>
    </row>
    <row r="2609" spans="2:14" x14ac:dyDescent="0.3">
      <c r="B2609" s="44">
        <v>46039</v>
      </c>
      <c r="C2609" s="3" t="s">
        <v>416</v>
      </c>
      <c r="D2609" s="3" t="s">
        <v>68</v>
      </c>
      <c r="E2609" s="42"/>
      <c r="F2609" s="3" t="s">
        <v>570</v>
      </c>
      <c r="G2609" s="3" t="s">
        <v>570</v>
      </c>
      <c r="H2609" s="4" t="s">
        <v>556</v>
      </c>
      <c r="I2609" s="4" t="s">
        <v>665</v>
      </c>
      <c r="J2609" s="4" t="s">
        <v>627</v>
      </c>
      <c r="K2609" s="4" t="s">
        <v>638</v>
      </c>
    </row>
    <row r="2610" spans="2:14" x14ac:dyDescent="0.3">
      <c r="B2610" s="44">
        <v>46039</v>
      </c>
      <c r="C2610" s="3" t="s">
        <v>416</v>
      </c>
      <c r="D2610" s="3" t="s">
        <v>593</v>
      </c>
      <c r="E2610" s="42"/>
      <c r="F2610" s="15" t="s">
        <v>570</v>
      </c>
      <c r="G2610" s="15" t="s">
        <v>570</v>
      </c>
      <c r="H2610" s="74" t="s">
        <v>556</v>
      </c>
      <c r="I2610" s="4" t="s">
        <v>653</v>
      </c>
      <c r="J2610" s="4" t="s">
        <v>459</v>
      </c>
      <c r="K2610" s="4">
        <v>3211101</v>
      </c>
    </row>
    <row r="2611" spans="2:14" x14ac:dyDescent="0.3">
      <c r="B2611" s="44">
        <v>46039</v>
      </c>
      <c r="C2611" s="3" t="s">
        <v>416</v>
      </c>
      <c r="D2611" s="3" t="s">
        <v>499</v>
      </c>
      <c r="E2611" s="42"/>
      <c r="F2611" s="3" t="s">
        <v>723</v>
      </c>
      <c r="G2611" s="3" t="s">
        <v>599</v>
      </c>
      <c r="H2611" s="4" t="s">
        <v>556</v>
      </c>
      <c r="I2611" s="3" t="s">
        <v>650</v>
      </c>
      <c r="J2611" s="3" t="s">
        <v>571</v>
      </c>
      <c r="K2611" s="4">
        <v>3900505</v>
      </c>
      <c r="M2611" s="3" t="s">
        <v>598</v>
      </c>
      <c r="N2611" s="3" t="s">
        <v>571</v>
      </c>
    </row>
    <row r="2612" spans="2:14" x14ac:dyDescent="0.3">
      <c r="B2612" s="44">
        <v>46039</v>
      </c>
      <c r="C2612" s="3" t="s">
        <v>416</v>
      </c>
      <c r="D2612" s="3" t="s">
        <v>60</v>
      </c>
      <c r="E2612" s="42"/>
      <c r="F2612" s="3" t="s">
        <v>667</v>
      </c>
      <c r="G2612" s="3" t="s">
        <v>444</v>
      </c>
      <c r="H2612" s="4">
        <v>3209909</v>
      </c>
      <c r="I2612" s="3" t="s">
        <v>667</v>
      </c>
      <c r="J2612" s="3" t="s">
        <v>294</v>
      </c>
      <c r="K2612" s="32">
        <v>3209409</v>
      </c>
    </row>
    <row r="2613" spans="2:14" x14ac:dyDescent="0.3">
      <c r="B2613" s="44">
        <v>46039</v>
      </c>
      <c r="C2613" s="3" t="s">
        <v>416</v>
      </c>
      <c r="D2613" s="3" t="s">
        <v>64</v>
      </c>
      <c r="E2613" s="42">
        <v>4370907</v>
      </c>
      <c r="F2613" s="3" t="s">
        <v>669</v>
      </c>
      <c r="G2613" s="3" t="s">
        <v>337</v>
      </c>
      <c r="H2613" s="4">
        <v>3209305</v>
      </c>
      <c r="I2613" s="4" t="s">
        <v>673</v>
      </c>
      <c r="J2613" s="4" t="s">
        <v>355</v>
      </c>
      <c r="K2613" s="4">
        <v>3195002</v>
      </c>
    </row>
    <row r="2614" spans="2:14" x14ac:dyDescent="0.3">
      <c r="B2614" s="44">
        <v>46039</v>
      </c>
      <c r="C2614" s="3" t="s">
        <v>416</v>
      </c>
      <c r="D2614" s="3" t="s">
        <v>504</v>
      </c>
      <c r="E2614" s="42"/>
      <c r="F2614" s="4" t="s">
        <v>671</v>
      </c>
      <c r="G2614" s="4" t="s">
        <v>8</v>
      </c>
      <c r="H2614" s="4">
        <v>3034008</v>
      </c>
      <c r="I2614" s="3" t="s">
        <v>472</v>
      </c>
      <c r="J2614" s="3" t="s">
        <v>11</v>
      </c>
      <c r="K2614" s="4">
        <v>3034800</v>
      </c>
    </row>
    <row r="2615" spans="2:14" x14ac:dyDescent="0.3">
      <c r="B2615" s="44">
        <v>46039</v>
      </c>
      <c r="C2615" s="3" t="s">
        <v>416</v>
      </c>
      <c r="D2615" s="3" t="s">
        <v>590</v>
      </c>
      <c r="E2615" s="42"/>
      <c r="F2615" s="4" t="s">
        <v>671</v>
      </c>
      <c r="G2615" s="4" t="s">
        <v>311</v>
      </c>
      <c r="H2615" s="4">
        <v>3209003</v>
      </c>
      <c r="I2615" s="3" t="s">
        <v>648</v>
      </c>
      <c r="J2615" s="3" t="s">
        <v>449</v>
      </c>
      <c r="K2615" s="4">
        <v>3961500</v>
      </c>
    </row>
    <row r="2616" spans="2:14" x14ac:dyDescent="0.3">
      <c r="B2616" s="44">
        <v>46039</v>
      </c>
      <c r="C2616" s="3" t="s">
        <v>416</v>
      </c>
      <c r="D2616" s="3" t="s">
        <v>489</v>
      </c>
      <c r="E2616" s="4"/>
      <c r="F2616" s="3" t="s">
        <v>671</v>
      </c>
      <c r="G2616" s="3" t="s">
        <v>156</v>
      </c>
      <c r="H2616" s="4">
        <v>3359200</v>
      </c>
      <c r="I2616" s="4" t="s">
        <v>682</v>
      </c>
      <c r="J2616" s="4" t="s">
        <v>564</v>
      </c>
      <c r="K2616" s="4">
        <v>3969804</v>
      </c>
    </row>
    <row r="2617" spans="2:14" x14ac:dyDescent="0.3">
      <c r="B2617" s="44">
        <v>46039</v>
      </c>
      <c r="C2617" s="3" t="s">
        <v>416</v>
      </c>
      <c r="D2617" s="3" t="s">
        <v>64</v>
      </c>
      <c r="E2617" s="42">
        <v>4370907</v>
      </c>
      <c r="F2617" s="3" t="s">
        <v>671</v>
      </c>
      <c r="G2617" s="3" t="s">
        <v>312</v>
      </c>
      <c r="H2617" s="4">
        <v>3209107</v>
      </c>
      <c r="I2617" s="4" t="s">
        <v>688</v>
      </c>
      <c r="J2617" s="4" t="s">
        <v>318</v>
      </c>
      <c r="K2617" s="4">
        <v>3037401</v>
      </c>
    </row>
    <row r="2618" spans="2:14" x14ac:dyDescent="0.3">
      <c r="B2618" s="44">
        <v>46039</v>
      </c>
      <c r="C2618" s="3" t="s">
        <v>416</v>
      </c>
      <c r="D2618" s="3" t="s">
        <v>68</v>
      </c>
      <c r="E2618" s="42"/>
      <c r="F2618" s="3" t="s">
        <v>671</v>
      </c>
      <c r="G2618" s="3" t="s">
        <v>389</v>
      </c>
      <c r="H2618" s="4">
        <v>3209201</v>
      </c>
      <c r="I2618" s="4" t="s">
        <v>665</v>
      </c>
      <c r="J2618" s="4" t="s">
        <v>457</v>
      </c>
      <c r="K2618" s="4">
        <v>3818806</v>
      </c>
    </row>
    <row r="2619" spans="2:14" x14ac:dyDescent="0.3">
      <c r="B2619" s="44">
        <v>46039</v>
      </c>
      <c r="C2619" s="3" t="s">
        <v>416</v>
      </c>
      <c r="D2619" s="4" t="s">
        <v>614</v>
      </c>
      <c r="E2619" s="42"/>
      <c r="F2619" s="3" t="s">
        <v>674</v>
      </c>
      <c r="G2619" s="3" t="s">
        <v>346</v>
      </c>
      <c r="H2619" s="4">
        <v>3208900</v>
      </c>
      <c r="I2619" s="4" t="s">
        <v>713</v>
      </c>
      <c r="J2619" s="4" t="s">
        <v>623</v>
      </c>
      <c r="K2619" s="4">
        <v>3819305</v>
      </c>
    </row>
    <row r="2620" spans="2:14" x14ac:dyDescent="0.3">
      <c r="B2620" s="44">
        <v>46039</v>
      </c>
      <c r="C2620" s="3" t="s">
        <v>416</v>
      </c>
      <c r="D2620" s="3" t="s">
        <v>490</v>
      </c>
      <c r="E2620" s="4"/>
      <c r="F2620" s="3" t="s">
        <v>676</v>
      </c>
      <c r="G2620" s="3" t="s">
        <v>138</v>
      </c>
      <c r="H2620" s="4">
        <v>3067805</v>
      </c>
      <c r="I2620" s="4" t="s">
        <v>653</v>
      </c>
      <c r="J2620" s="4" t="s">
        <v>126</v>
      </c>
      <c r="K2620" s="4">
        <v>3361402</v>
      </c>
    </row>
    <row r="2621" spans="2:14" x14ac:dyDescent="0.3">
      <c r="B2621" s="44">
        <v>46039</v>
      </c>
      <c r="C2621" s="3" t="s">
        <v>416</v>
      </c>
      <c r="D2621" s="3" t="s">
        <v>493</v>
      </c>
      <c r="E2621" s="42"/>
      <c r="F2621" s="3" t="s">
        <v>676</v>
      </c>
      <c r="G2621" s="3" t="s">
        <v>214</v>
      </c>
      <c r="H2621" s="4">
        <v>3358805</v>
      </c>
      <c r="I2621" s="4" t="s">
        <v>701</v>
      </c>
      <c r="J2621" s="4" t="s">
        <v>171</v>
      </c>
      <c r="K2621" s="4">
        <v>3355600</v>
      </c>
    </row>
    <row r="2622" spans="2:14" x14ac:dyDescent="0.3">
      <c r="B2622" s="44">
        <v>46039</v>
      </c>
      <c r="C2622" s="3" t="s">
        <v>416</v>
      </c>
      <c r="D2622" s="3" t="s">
        <v>65</v>
      </c>
      <c r="E2622" s="42"/>
      <c r="F2622" s="3" t="s">
        <v>676</v>
      </c>
      <c r="G2622" s="3" t="s">
        <v>356</v>
      </c>
      <c r="H2622" s="4">
        <v>3208608</v>
      </c>
      <c r="I2622" s="4" t="s">
        <v>663</v>
      </c>
      <c r="J2622" s="4" t="s">
        <v>290</v>
      </c>
      <c r="K2622" s="4">
        <v>3197500</v>
      </c>
    </row>
    <row r="2623" spans="2:14" x14ac:dyDescent="0.3">
      <c r="B2623" s="44">
        <v>46039</v>
      </c>
      <c r="C2623" s="3" t="s">
        <v>416</v>
      </c>
      <c r="D2623" s="3" t="s">
        <v>593</v>
      </c>
      <c r="E2623" s="42"/>
      <c r="F2623" s="3" t="s">
        <v>676</v>
      </c>
      <c r="G2623" s="3" t="s">
        <v>639</v>
      </c>
      <c r="H2623" s="4">
        <v>3776805</v>
      </c>
      <c r="I2623" s="4" t="s">
        <v>681</v>
      </c>
      <c r="J2623" s="4" t="s">
        <v>397</v>
      </c>
      <c r="K2623" s="4">
        <v>3195908</v>
      </c>
    </row>
    <row r="2624" spans="2:14" x14ac:dyDescent="0.3">
      <c r="B2624" s="44">
        <v>46039</v>
      </c>
      <c r="C2624" s="3" t="s">
        <v>416</v>
      </c>
      <c r="D2624" s="3" t="s">
        <v>486</v>
      </c>
      <c r="E2624" s="42"/>
      <c r="F2624" s="4" t="s">
        <v>680</v>
      </c>
      <c r="G2624" s="4" t="s">
        <v>98</v>
      </c>
      <c r="H2624" s="4">
        <v>3358909</v>
      </c>
      <c r="I2624" s="3" t="s">
        <v>474</v>
      </c>
      <c r="J2624" s="3" t="s">
        <v>103</v>
      </c>
      <c r="K2624" s="4">
        <v>3353206</v>
      </c>
    </row>
    <row r="2625" spans="2:14" x14ac:dyDescent="0.3">
      <c r="B2625" s="44">
        <v>46039</v>
      </c>
      <c r="C2625" s="3" t="s">
        <v>416</v>
      </c>
      <c r="D2625" s="3" t="s">
        <v>57</v>
      </c>
      <c r="E2625" s="42"/>
      <c r="F2625" s="4" t="s">
        <v>680</v>
      </c>
      <c r="G2625" s="4" t="s">
        <v>266</v>
      </c>
      <c r="H2625" s="4">
        <v>3208306</v>
      </c>
      <c r="I2625" s="15" t="s">
        <v>703</v>
      </c>
      <c r="J2625" s="15" t="s">
        <v>585</v>
      </c>
      <c r="K2625" s="74" t="s">
        <v>556</v>
      </c>
    </row>
    <row r="2626" spans="2:14" x14ac:dyDescent="0.3">
      <c r="B2626" s="44">
        <v>46039</v>
      </c>
      <c r="C2626" s="3" t="s">
        <v>416</v>
      </c>
      <c r="D2626" s="3" t="s">
        <v>63</v>
      </c>
      <c r="E2626" s="42"/>
      <c r="F2626" s="3" t="s">
        <v>680</v>
      </c>
      <c r="G2626" s="3" t="s">
        <v>329</v>
      </c>
      <c r="H2626" s="74">
        <v>3208108</v>
      </c>
      <c r="I2626" s="3" t="s">
        <v>658</v>
      </c>
      <c r="J2626" s="3" t="s">
        <v>366</v>
      </c>
      <c r="K2626" s="74">
        <v>3210404</v>
      </c>
    </row>
    <row r="2627" spans="2:14" x14ac:dyDescent="0.3">
      <c r="B2627" s="44">
        <v>46039</v>
      </c>
      <c r="C2627" s="3" t="s">
        <v>416</v>
      </c>
      <c r="D2627" s="3" t="s">
        <v>491</v>
      </c>
      <c r="E2627" s="42"/>
      <c r="F2627" s="4" t="s">
        <v>680</v>
      </c>
      <c r="G2627" s="4" t="s">
        <v>177</v>
      </c>
      <c r="H2627" s="4">
        <v>3899709</v>
      </c>
      <c r="I2627" s="3" t="s">
        <v>697</v>
      </c>
      <c r="J2627" s="3" t="s">
        <v>150</v>
      </c>
      <c r="K2627" s="4">
        <v>3353706</v>
      </c>
    </row>
    <row r="2628" spans="2:14" x14ac:dyDescent="0.3">
      <c r="B2628" s="44">
        <v>46039</v>
      </c>
      <c r="C2628" s="3" t="s">
        <v>416</v>
      </c>
      <c r="D2628" s="3" t="s">
        <v>486</v>
      </c>
      <c r="E2628" s="42"/>
      <c r="F2628" s="4" t="s">
        <v>652</v>
      </c>
      <c r="G2628" s="4" t="s">
        <v>110</v>
      </c>
      <c r="H2628" s="4">
        <v>3359106</v>
      </c>
      <c r="I2628" s="3" t="s">
        <v>671</v>
      </c>
      <c r="J2628" s="3" t="s">
        <v>108</v>
      </c>
      <c r="K2628" s="4">
        <v>3359700</v>
      </c>
    </row>
    <row r="2629" spans="2:14" x14ac:dyDescent="0.3">
      <c r="B2629" s="44">
        <v>46039</v>
      </c>
      <c r="C2629" s="3" t="s">
        <v>416</v>
      </c>
      <c r="D2629" s="3" t="s">
        <v>492</v>
      </c>
      <c r="E2629" s="42"/>
      <c r="F2629" s="4" t="s">
        <v>652</v>
      </c>
      <c r="G2629" s="4" t="s">
        <v>157</v>
      </c>
      <c r="H2629" s="4">
        <v>3358503</v>
      </c>
      <c r="I2629" s="3" t="s">
        <v>474</v>
      </c>
      <c r="J2629" s="3" t="s">
        <v>161</v>
      </c>
      <c r="K2629" s="4">
        <v>3352509</v>
      </c>
    </row>
    <row r="2630" spans="2:14" x14ac:dyDescent="0.3">
      <c r="B2630" s="44">
        <v>46039</v>
      </c>
      <c r="C2630" s="3" t="s">
        <v>416</v>
      </c>
      <c r="D2630" s="3" t="s">
        <v>610</v>
      </c>
      <c r="E2630" s="42"/>
      <c r="F2630" s="3" t="s">
        <v>652</v>
      </c>
      <c r="G2630" s="3" t="s">
        <v>347</v>
      </c>
      <c r="H2630" s="4">
        <v>3818504</v>
      </c>
      <c r="I2630" s="4" t="s">
        <v>711</v>
      </c>
      <c r="J2630" s="4" t="s">
        <v>381</v>
      </c>
      <c r="K2630" s="4">
        <v>3201209</v>
      </c>
    </row>
    <row r="2631" spans="2:14" x14ac:dyDescent="0.3">
      <c r="B2631" s="44">
        <v>46039</v>
      </c>
      <c r="C2631" s="3" t="s">
        <v>416</v>
      </c>
      <c r="D2631" s="3" t="s">
        <v>499</v>
      </c>
      <c r="E2631" s="42"/>
      <c r="F2631" s="3" t="s">
        <v>652</v>
      </c>
      <c r="G2631" s="3" t="s">
        <v>573</v>
      </c>
      <c r="H2631" s="4">
        <v>3818400</v>
      </c>
      <c r="I2631" s="3" t="s">
        <v>675</v>
      </c>
      <c r="J2631" s="3" t="s">
        <v>572</v>
      </c>
      <c r="K2631" s="53">
        <v>3350303</v>
      </c>
      <c r="M2631" s="4"/>
      <c r="N2631" s="4"/>
    </row>
    <row r="2632" spans="2:14" x14ac:dyDescent="0.3">
      <c r="B2632" s="44">
        <v>46039</v>
      </c>
      <c r="C2632" s="3" t="s">
        <v>416</v>
      </c>
      <c r="D2632" s="3" t="s">
        <v>68</v>
      </c>
      <c r="E2632" s="42"/>
      <c r="F2632" s="3" t="s">
        <v>686</v>
      </c>
      <c r="G2632" s="3" t="s">
        <v>626</v>
      </c>
      <c r="H2632" s="4" t="s">
        <v>637</v>
      </c>
      <c r="I2632" s="4" t="s">
        <v>474</v>
      </c>
      <c r="J2632" s="4" t="s">
        <v>383</v>
      </c>
      <c r="K2632" s="4">
        <v>3200502</v>
      </c>
    </row>
    <row r="2633" spans="2:14" x14ac:dyDescent="0.3">
      <c r="B2633" s="44">
        <v>46039</v>
      </c>
      <c r="C2633" s="3" t="s">
        <v>416</v>
      </c>
      <c r="D2633" s="3" t="s">
        <v>489</v>
      </c>
      <c r="E2633" s="4"/>
      <c r="F2633" s="3" t="s">
        <v>662</v>
      </c>
      <c r="G2633" s="3" t="s">
        <v>139</v>
      </c>
      <c r="H2633" s="4">
        <v>3358305</v>
      </c>
      <c r="I2633" s="3" t="s">
        <v>672</v>
      </c>
      <c r="J2633" s="3" t="s">
        <v>129</v>
      </c>
      <c r="K2633" s="4">
        <v>3067503</v>
      </c>
    </row>
    <row r="2634" spans="2:14" x14ac:dyDescent="0.3">
      <c r="B2634" s="44">
        <v>46039</v>
      </c>
      <c r="C2634" s="3" t="s">
        <v>416</v>
      </c>
      <c r="D2634" s="3" t="s">
        <v>64</v>
      </c>
      <c r="E2634" s="42">
        <v>4370907</v>
      </c>
      <c r="F2634" s="3" t="s">
        <v>662</v>
      </c>
      <c r="G2634" s="3" t="s">
        <v>372</v>
      </c>
      <c r="H2634" s="4">
        <v>3207703</v>
      </c>
      <c r="I2634" s="4" t="s">
        <v>710</v>
      </c>
      <c r="J2634" s="4" t="s">
        <v>354</v>
      </c>
      <c r="K2634" s="4">
        <v>3199404</v>
      </c>
    </row>
    <row r="2635" spans="2:14" x14ac:dyDescent="0.3">
      <c r="B2635" s="44">
        <v>46039</v>
      </c>
      <c r="C2635" s="3" t="s">
        <v>416</v>
      </c>
      <c r="D2635" s="3" t="s">
        <v>494</v>
      </c>
      <c r="E2635" s="42"/>
      <c r="F2635" s="4" t="s">
        <v>662</v>
      </c>
      <c r="G2635" s="4" t="s">
        <v>242</v>
      </c>
      <c r="H2635" s="4">
        <v>3358107</v>
      </c>
      <c r="I2635" s="3" t="s">
        <v>662</v>
      </c>
      <c r="J2635" s="3" t="s">
        <v>218</v>
      </c>
      <c r="K2635" s="4">
        <v>3358201</v>
      </c>
    </row>
    <row r="2636" spans="2:14" x14ac:dyDescent="0.3">
      <c r="B2636" s="44">
        <v>46039</v>
      </c>
      <c r="C2636" s="3" t="s">
        <v>416</v>
      </c>
      <c r="D2636" s="3" t="s">
        <v>70</v>
      </c>
      <c r="E2636" s="42"/>
      <c r="F2636" s="3" t="s">
        <v>662</v>
      </c>
      <c r="G2636" s="3" t="s">
        <v>399</v>
      </c>
      <c r="H2636" s="4">
        <v>3207401</v>
      </c>
      <c r="I2636" s="3" t="s">
        <v>672</v>
      </c>
      <c r="J2636" s="3" t="s">
        <v>401</v>
      </c>
      <c r="K2636" s="4">
        <v>3202000</v>
      </c>
    </row>
    <row r="2637" spans="2:14" x14ac:dyDescent="0.3">
      <c r="B2637" s="44">
        <v>46039</v>
      </c>
      <c r="C2637" s="3" t="s">
        <v>416</v>
      </c>
      <c r="D2637" s="3" t="s">
        <v>501</v>
      </c>
      <c r="E2637" s="42"/>
      <c r="F2637" s="3" t="s">
        <v>662</v>
      </c>
      <c r="G2637" s="3" t="s">
        <v>243</v>
      </c>
      <c r="H2637" s="4">
        <v>3899907</v>
      </c>
      <c r="I2637" s="3" t="s">
        <v>472</v>
      </c>
      <c r="J2637" s="3" t="s">
        <v>578</v>
      </c>
      <c r="K2637" s="4">
        <v>4022700</v>
      </c>
      <c r="M2637" s="4"/>
    </row>
    <row r="2638" spans="2:14" x14ac:dyDescent="0.3">
      <c r="B2638" s="44">
        <v>46039</v>
      </c>
      <c r="C2638" s="3" t="s">
        <v>416</v>
      </c>
      <c r="D2638" s="3" t="s">
        <v>592</v>
      </c>
      <c r="E2638" s="42"/>
      <c r="F2638" s="3" t="s">
        <v>662</v>
      </c>
      <c r="G2638" s="3" t="s">
        <v>634</v>
      </c>
      <c r="H2638" s="74">
        <v>4023105</v>
      </c>
      <c r="I2638" s="3" t="s">
        <v>475</v>
      </c>
      <c r="J2638" s="3" t="s">
        <v>398</v>
      </c>
      <c r="K2638" s="74">
        <v>3211601</v>
      </c>
    </row>
    <row r="2639" spans="2:14" x14ac:dyDescent="0.3">
      <c r="B2639" s="44">
        <v>46039</v>
      </c>
      <c r="C2639" s="3" t="s">
        <v>416</v>
      </c>
      <c r="D2639" s="3" t="s">
        <v>56</v>
      </c>
      <c r="E2639" s="42"/>
      <c r="F2639" s="4" t="s">
        <v>472</v>
      </c>
      <c r="G2639" s="4" t="s">
        <v>248</v>
      </c>
      <c r="H2639" s="4">
        <v>3207609</v>
      </c>
      <c r="I2639" s="106" t="s">
        <v>672</v>
      </c>
      <c r="J2639" s="106" t="s">
        <v>252</v>
      </c>
      <c r="K2639" s="106">
        <v>3070204</v>
      </c>
    </row>
    <row r="2640" spans="2:14" x14ac:dyDescent="0.3">
      <c r="B2640" s="44">
        <v>46039</v>
      </c>
      <c r="C2640" s="3" t="s">
        <v>416</v>
      </c>
      <c r="D2640" s="3" t="s">
        <v>590</v>
      </c>
      <c r="E2640" s="42"/>
      <c r="F2640" s="4" t="s">
        <v>472</v>
      </c>
      <c r="G2640" s="4" t="s">
        <v>315</v>
      </c>
      <c r="H2640" s="4">
        <v>3455307</v>
      </c>
      <c r="I2640" s="3" t="s">
        <v>676</v>
      </c>
      <c r="J2640" s="3" t="s">
        <v>285</v>
      </c>
      <c r="K2640" s="4">
        <v>3208504</v>
      </c>
    </row>
    <row r="2641" spans="2:11" x14ac:dyDescent="0.3">
      <c r="B2641" s="44">
        <v>46039</v>
      </c>
      <c r="C2641" s="3" t="s">
        <v>416</v>
      </c>
      <c r="D2641" s="3" t="s">
        <v>494</v>
      </c>
      <c r="E2641" s="42"/>
      <c r="F2641" s="4" t="s">
        <v>472</v>
      </c>
      <c r="G2641" s="4" t="s">
        <v>185</v>
      </c>
      <c r="H2641" s="4">
        <v>3357806</v>
      </c>
      <c r="I2641" s="3" t="s">
        <v>689</v>
      </c>
      <c r="J2641" s="3" t="s">
        <v>189</v>
      </c>
      <c r="K2641" s="4">
        <v>3350209</v>
      </c>
    </row>
    <row r="2642" spans="2:11" x14ac:dyDescent="0.3">
      <c r="B2642" s="44">
        <v>46039</v>
      </c>
      <c r="C2642" s="3" t="s">
        <v>416</v>
      </c>
      <c r="D2642" s="3" t="s">
        <v>494</v>
      </c>
      <c r="E2642" s="42"/>
      <c r="F2642" s="4" t="s">
        <v>472</v>
      </c>
      <c r="G2642" s="4" t="s">
        <v>186</v>
      </c>
      <c r="H2642" s="4">
        <v>3357702</v>
      </c>
      <c r="I2642" s="3" t="s">
        <v>708</v>
      </c>
      <c r="J2642" s="3" t="s">
        <v>220</v>
      </c>
      <c r="K2642" s="4">
        <v>3354809</v>
      </c>
    </row>
    <row r="2643" spans="2:11" x14ac:dyDescent="0.3">
      <c r="B2643" s="44">
        <v>46039</v>
      </c>
      <c r="C2643" s="3" t="s">
        <v>416</v>
      </c>
      <c r="D2643" s="3" t="s">
        <v>70</v>
      </c>
      <c r="E2643" s="42"/>
      <c r="F2643" s="3" t="s">
        <v>472</v>
      </c>
      <c r="G2643" s="3" t="s">
        <v>400</v>
      </c>
      <c r="H2643" s="4">
        <v>3818608</v>
      </c>
      <c r="I2643" s="3" t="s">
        <v>475</v>
      </c>
      <c r="J2643" s="3" t="s">
        <v>371</v>
      </c>
      <c r="K2643" s="53">
        <v>3212006</v>
      </c>
    </row>
    <row r="2644" spans="2:11" x14ac:dyDescent="0.3">
      <c r="B2644" s="44">
        <v>46039</v>
      </c>
      <c r="C2644" s="3" t="s">
        <v>416</v>
      </c>
      <c r="D2644" s="3" t="s">
        <v>498</v>
      </c>
      <c r="E2644" s="42"/>
      <c r="F2644" s="3" t="s">
        <v>472</v>
      </c>
      <c r="G2644" s="3" t="s">
        <v>244</v>
      </c>
      <c r="H2644" s="4">
        <v>3357504</v>
      </c>
      <c r="I2644" s="3" t="s">
        <v>694</v>
      </c>
      <c r="J2644" s="3" t="s">
        <v>245</v>
      </c>
      <c r="K2644" s="4">
        <v>3352905</v>
      </c>
    </row>
    <row r="2645" spans="2:11" x14ac:dyDescent="0.3">
      <c r="B2645" s="44">
        <v>46039</v>
      </c>
      <c r="C2645" s="3" t="s">
        <v>416</v>
      </c>
      <c r="D2645" s="3" t="s">
        <v>496</v>
      </c>
      <c r="E2645" s="42"/>
      <c r="F2645" s="4" t="s">
        <v>665</v>
      </c>
      <c r="G2645" s="4" t="s">
        <v>204</v>
      </c>
      <c r="H2645" s="4">
        <v>3357400</v>
      </c>
      <c r="I2645" s="3" t="s">
        <v>652</v>
      </c>
      <c r="J2645" s="3" t="s">
        <v>229</v>
      </c>
      <c r="K2645" s="4">
        <v>3358409</v>
      </c>
    </row>
    <row r="2646" spans="2:11" x14ac:dyDescent="0.3">
      <c r="B2646" s="44">
        <v>46039</v>
      </c>
      <c r="C2646" s="3" t="s">
        <v>416</v>
      </c>
      <c r="D2646" s="3" t="s">
        <v>65</v>
      </c>
      <c r="E2646" s="42"/>
      <c r="F2646" s="3" t="s">
        <v>693</v>
      </c>
      <c r="G2646" s="3" t="s">
        <v>357</v>
      </c>
      <c r="H2646" s="4">
        <v>3206704</v>
      </c>
      <c r="I2646" s="4" t="s">
        <v>471</v>
      </c>
      <c r="J2646" s="4" t="s">
        <v>363</v>
      </c>
      <c r="K2646" s="4">
        <v>3196907</v>
      </c>
    </row>
    <row r="2647" spans="2:11" x14ac:dyDescent="0.3">
      <c r="B2647" s="44">
        <v>46039</v>
      </c>
      <c r="C2647" s="3" t="s">
        <v>416</v>
      </c>
      <c r="D2647" s="3" t="s">
        <v>593</v>
      </c>
      <c r="E2647" s="42"/>
      <c r="F2647" s="3" t="s">
        <v>693</v>
      </c>
      <c r="G2647" s="3" t="s">
        <v>629</v>
      </c>
      <c r="H2647" s="4">
        <v>3961708</v>
      </c>
      <c r="I2647" s="4" t="s">
        <v>679</v>
      </c>
      <c r="J2647" s="4" t="s">
        <v>633</v>
      </c>
      <c r="K2647" s="4">
        <v>3194607</v>
      </c>
    </row>
    <row r="2648" spans="2:11" x14ac:dyDescent="0.3">
      <c r="B2648" s="44">
        <v>46039</v>
      </c>
      <c r="C2648" s="3" t="s">
        <v>416</v>
      </c>
      <c r="D2648" s="3" t="s">
        <v>504</v>
      </c>
      <c r="E2648" s="42"/>
      <c r="F2648" s="4" t="s">
        <v>476</v>
      </c>
      <c r="G2648" s="4" t="s">
        <v>100</v>
      </c>
      <c r="H2648" s="4">
        <v>3125302</v>
      </c>
      <c r="I2648" s="3" t="s">
        <v>645</v>
      </c>
      <c r="J2648" s="3" t="s">
        <v>37</v>
      </c>
      <c r="K2648" s="4">
        <v>3029903</v>
      </c>
    </row>
    <row r="2649" spans="2:11" x14ac:dyDescent="0.3">
      <c r="B2649" s="44">
        <v>46039</v>
      </c>
      <c r="C2649" s="3" t="s">
        <v>416</v>
      </c>
      <c r="D2649" s="3" t="s">
        <v>57</v>
      </c>
      <c r="E2649" s="42"/>
      <c r="F2649" s="32" t="s">
        <v>476</v>
      </c>
      <c r="G2649" s="32" t="s">
        <v>249</v>
      </c>
      <c r="H2649" s="15">
        <v>3038202</v>
      </c>
      <c r="I2649" s="3" t="s">
        <v>693</v>
      </c>
      <c r="J2649" s="3" t="s">
        <v>258</v>
      </c>
      <c r="K2649" s="4">
        <v>3207109</v>
      </c>
    </row>
    <row r="2650" spans="2:11" x14ac:dyDescent="0.3">
      <c r="B2650" s="44">
        <v>46039</v>
      </c>
      <c r="C2650" s="3" t="s">
        <v>416</v>
      </c>
      <c r="D2650" s="3" t="s">
        <v>62</v>
      </c>
      <c r="E2650" s="42"/>
      <c r="F2650" s="4" t="s">
        <v>476</v>
      </c>
      <c r="G2650" s="4" t="s">
        <v>287</v>
      </c>
      <c r="H2650" s="4">
        <v>3206600</v>
      </c>
      <c r="I2650" s="3" t="s">
        <v>660</v>
      </c>
      <c r="J2650" s="3" t="s">
        <v>443</v>
      </c>
      <c r="K2650" s="4">
        <v>3210008</v>
      </c>
    </row>
    <row r="2651" spans="2:11" x14ac:dyDescent="0.3">
      <c r="B2651" s="44">
        <v>46039</v>
      </c>
      <c r="C2651" s="3" t="s">
        <v>416</v>
      </c>
      <c r="D2651" s="3" t="s">
        <v>493</v>
      </c>
      <c r="E2651" s="42"/>
      <c r="F2651" s="3" t="s">
        <v>476</v>
      </c>
      <c r="G2651" s="3" t="s">
        <v>169</v>
      </c>
      <c r="H2651" s="4">
        <v>3356609</v>
      </c>
      <c r="I2651" s="4" t="s">
        <v>471</v>
      </c>
      <c r="J2651" s="4" t="s">
        <v>174</v>
      </c>
      <c r="K2651" s="4">
        <v>3348101</v>
      </c>
    </row>
    <row r="2652" spans="2:11" x14ac:dyDescent="0.3">
      <c r="B2652" s="44">
        <v>46039</v>
      </c>
      <c r="C2652" s="3" t="s">
        <v>416</v>
      </c>
      <c r="D2652" s="3" t="s">
        <v>62</v>
      </c>
      <c r="E2652" s="42"/>
      <c r="F2652" s="4" t="s">
        <v>476</v>
      </c>
      <c r="G2652" s="4" t="s">
        <v>323</v>
      </c>
      <c r="H2652" s="4">
        <v>3206506</v>
      </c>
      <c r="I2652" s="3" t="s">
        <v>701</v>
      </c>
      <c r="J2652" s="3" t="s">
        <v>360</v>
      </c>
      <c r="K2652" s="4">
        <v>3203801</v>
      </c>
    </row>
    <row r="2653" spans="2:11" x14ac:dyDescent="0.3">
      <c r="B2653" s="44">
        <v>46039</v>
      </c>
      <c r="C2653" s="3" t="s">
        <v>416</v>
      </c>
      <c r="D2653" s="3" t="s">
        <v>493</v>
      </c>
      <c r="E2653" s="42"/>
      <c r="F2653" s="3" t="s">
        <v>476</v>
      </c>
      <c r="G2653" s="3" t="s">
        <v>170</v>
      </c>
      <c r="H2653" s="4">
        <v>3356703</v>
      </c>
      <c r="I2653" s="4" t="s">
        <v>657</v>
      </c>
      <c r="J2653" s="4" t="s">
        <v>167</v>
      </c>
      <c r="K2653" s="4">
        <v>3359804</v>
      </c>
    </row>
    <row r="2654" spans="2:11" x14ac:dyDescent="0.3">
      <c r="B2654" s="44">
        <v>46039</v>
      </c>
      <c r="C2654" s="3" t="s">
        <v>416</v>
      </c>
      <c r="D2654" s="3" t="s">
        <v>593</v>
      </c>
      <c r="E2654" s="42"/>
      <c r="F2654" s="3" t="s">
        <v>476</v>
      </c>
      <c r="G2654" s="3" t="s">
        <v>630</v>
      </c>
      <c r="H2654" s="4">
        <v>3206308</v>
      </c>
      <c r="I2654" s="4" t="s">
        <v>663</v>
      </c>
      <c r="J2654" s="4" t="s">
        <v>396</v>
      </c>
      <c r="K2654" s="4">
        <v>3197104</v>
      </c>
    </row>
    <row r="2655" spans="2:11" x14ac:dyDescent="0.3">
      <c r="B2655" s="44">
        <v>46039</v>
      </c>
      <c r="C2655" s="3" t="s">
        <v>416</v>
      </c>
      <c r="D2655" s="3" t="s">
        <v>504</v>
      </c>
      <c r="E2655" s="42"/>
      <c r="F2655" s="4" t="s">
        <v>666</v>
      </c>
      <c r="G2655" s="4" t="s">
        <v>12</v>
      </c>
      <c r="H2655" s="4">
        <v>3034206</v>
      </c>
      <c r="I2655" s="3" t="s">
        <v>479</v>
      </c>
      <c r="J2655" s="3" t="s">
        <v>9</v>
      </c>
      <c r="K2655" s="4">
        <v>3033405</v>
      </c>
    </row>
    <row r="2656" spans="2:11" x14ac:dyDescent="0.3">
      <c r="B2656" s="44">
        <v>46039</v>
      </c>
      <c r="C2656" s="3" t="s">
        <v>416</v>
      </c>
      <c r="D2656" s="3" t="s">
        <v>57</v>
      </c>
      <c r="E2656" s="42"/>
      <c r="F2656" s="4" t="s">
        <v>666</v>
      </c>
      <c r="G2656" s="4" t="s">
        <v>259</v>
      </c>
      <c r="H2656" s="4">
        <v>3205809</v>
      </c>
      <c r="I2656" s="73" t="s">
        <v>478</v>
      </c>
      <c r="J2656" s="73" t="s">
        <v>260</v>
      </c>
      <c r="K2656" s="15">
        <v>3205705</v>
      </c>
    </row>
    <row r="2657" spans="2:11" x14ac:dyDescent="0.3">
      <c r="B2657" s="44">
        <v>46039</v>
      </c>
      <c r="C2657" s="3" t="s">
        <v>416</v>
      </c>
      <c r="D2657" s="4" t="s">
        <v>614</v>
      </c>
      <c r="E2657" s="42"/>
      <c r="F2657" s="3" t="s">
        <v>666</v>
      </c>
      <c r="G2657" s="3" t="s">
        <v>453</v>
      </c>
      <c r="H2657" s="4">
        <v>3206006</v>
      </c>
      <c r="I2657" s="4" t="s">
        <v>675</v>
      </c>
      <c r="J2657" s="4" t="s">
        <v>403</v>
      </c>
      <c r="K2657" s="4">
        <v>3198509</v>
      </c>
    </row>
    <row r="2658" spans="2:11" x14ac:dyDescent="0.3">
      <c r="B2658" s="44">
        <v>46039</v>
      </c>
      <c r="C2658" s="3" t="s">
        <v>416</v>
      </c>
      <c r="D2658" s="3" t="s">
        <v>491</v>
      </c>
      <c r="E2658" s="42"/>
      <c r="F2658" s="3" t="s">
        <v>478</v>
      </c>
      <c r="G2658" s="3" t="s">
        <v>463</v>
      </c>
      <c r="H2658" s="74">
        <v>3125500</v>
      </c>
      <c r="I2658" s="3" t="s">
        <v>698</v>
      </c>
      <c r="J2658" s="3" t="s">
        <v>567</v>
      </c>
      <c r="K2658" s="4" t="s">
        <v>556</v>
      </c>
    </row>
    <row r="2659" spans="2:11" x14ac:dyDescent="0.3">
      <c r="B2659" s="44">
        <v>46039</v>
      </c>
      <c r="C2659" s="3" t="s">
        <v>416</v>
      </c>
      <c r="D2659" s="3" t="s">
        <v>61</v>
      </c>
      <c r="E2659" s="42"/>
      <c r="F2659" s="4" t="s">
        <v>478</v>
      </c>
      <c r="G2659" s="4" t="s">
        <v>330</v>
      </c>
      <c r="H2659" s="4">
        <v>3205309</v>
      </c>
      <c r="I2659" s="3" t="s">
        <v>684</v>
      </c>
      <c r="J2659" s="3" t="s">
        <v>306</v>
      </c>
      <c r="K2659" s="4">
        <v>3202604</v>
      </c>
    </row>
    <row r="2660" spans="2:11" x14ac:dyDescent="0.3">
      <c r="B2660" s="44">
        <v>46039</v>
      </c>
      <c r="C2660" s="3" t="s">
        <v>416</v>
      </c>
      <c r="D2660" s="3" t="s">
        <v>63</v>
      </c>
      <c r="E2660" s="42"/>
      <c r="F2660" s="3" t="s">
        <v>478</v>
      </c>
      <c r="G2660" s="3" t="s">
        <v>331</v>
      </c>
      <c r="H2660" s="74">
        <v>3205403</v>
      </c>
      <c r="I2660" s="104" t="s">
        <v>712</v>
      </c>
      <c r="J2660" s="104" t="s">
        <v>334</v>
      </c>
      <c r="K2660" s="74">
        <v>3198009</v>
      </c>
    </row>
    <row r="2661" spans="2:11" x14ac:dyDescent="0.3">
      <c r="B2661" s="44">
        <v>46039</v>
      </c>
      <c r="C2661" s="3" t="s">
        <v>416</v>
      </c>
      <c r="D2661" s="3" t="s">
        <v>66</v>
      </c>
      <c r="E2661" s="42"/>
      <c r="F2661" s="3" t="s">
        <v>478</v>
      </c>
      <c r="G2661" s="3" t="s">
        <v>604</v>
      </c>
      <c r="H2661" s="74">
        <v>3205507</v>
      </c>
      <c r="I2661" s="3" t="s">
        <v>696</v>
      </c>
      <c r="J2661" s="3" t="s">
        <v>609</v>
      </c>
      <c r="K2661" s="74">
        <v>3900401</v>
      </c>
    </row>
    <row r="2662" spans="2:11" x14ac:dyDescent="0.3">
      <c r="B2662" s="44">
        <v>46039</v>
      </c>
      <c r="C2662" s="3" t="s">
        <v>416</v>
      </c>
      <c r="D2662" s="3" t="s">
        <v>488</v>
      </c>
      <c r="E2662" s="42"/>
      <c r="F2662" s="4" t="s">
        <v>690</v>
      </c>
      <c r="G2662" s="4" t="s">
        <v>118</v>
      </c>
      <c r="H2662" s="4">
        <v>3356005</v>
      </c>
      <c r="I2662" s="3" t="s">
        <v>720</v>
      </c>
      <c r="J2662" s="3" t="s">
        <v>153</v>
      </c>
      <c r="K2662" s="4">
        <v>3033405</v>
      </c>
    </row>
    <row r="2663" spans="2:11" x14ac:dyDescent="0.3">
      <c r="B2663" s="44">
        <v>46039</v>
      </c>
      <c r="C2663" s="3" t="s">
        <v>416</v>
      </c>
      <c r="D2663" s="3" t="s">
        <v>58</v>
      </c>
      <c r="E2663" s="42"/>
      <c r="F2663" s="3" t="s">
        <v>690</v>
      </c>
      <c r="G2663" s="3" t="s">
        <v>303</v>
      </c>
      <c r="H2663" s="4">
        <v>3205101</v>
      </c>
      <c r="I2663" s="32" t="s">
        <v>478</v>
      </c>
      <c r="J2663" s="32" t="s">
        <v>267</v>
      </c>
      <c r="K2663" s="15">
        <v>3205205</v>
      </c>
    </row>
    <row r="2664" spans="2:11" x14ac:dyDescent="0.3">
      <c r="B2664" s="44">
        <v>46039</v>
      </c>
      <c r="C2664" s="3" t="s">
        <v>416</v>
      </c>
      <c r="D2664" s="3" t="s">
        <v>491</v>
      </c>
      <c r="E2664" s="42"/>
      <c r="F2664" s="4" t="s">
        <v>690</v>
      </c>
      <c r="G2664" s="4" t="s">
        <v>179</v>
      </c>
      <c r="H2664" s="4">
        <v>3818900</v>
      </c>
      <c r="I2664" s="3" t="s">
        <v>684</v>
      </c>
      <c r="J2664" s="3" t="s">
        <v>149</v>
      </c>
      <c r="K2664" s="4">
        <v>3354507</v>
      </c>
    </row>
    <row r="2665" spans="2:11" x14ac:dyDescent="0.3">
      <c r="B2665" s="44">
        <v>46039</v>
      </c>
      <c r="C2665" s="3" t="s">
        <v>416</v>
      </c>
      <c r="D2665" s="3" t="s">
        <v>486</v>
      </c>
      <c r="E2665" s="42"/>
      <c r="F2665" s="4" t="s">
        <v>682</v>
      </c>
      <c r="G2665" s="4" t="s">
        <v>559</v>
      </c>
      <c r="H2665" s="4">
        <v>3969200</v>
      </c>
      <c r="I2665" s="3" t="s">
        <v>480</v>
      </c>
      <c r="J2665" s="3" t="s">
        <v>406</v>
      </c>
      <c r="K2665" s="4">
        <v>3124501</v>
      </c>
    </row>
    <row r="2666" spans="2:11" x14ac:dyDescent="0.3">
      <c r="B2666" s="44">
        <v>46039</v>
      </c>
      <c r="C2666" s="3" t="s">
        <v>416</v>
      </c>
      <c r="D2666" s="3" t="s">
        <v>495</v>
      </c>
      <c r="E2666" s="42"/>
      <c r="F2666" s="3" t="s">
        <v>682</v>
      </c>
      <c r="G2666" s="3" t="s">
        <v>568</v>
      </c>
      <c r="H2666" s="4">
        <v>3969908</v>
      </c>
      <c r="I2666" s="3" t="s">
        <v>670</v>
      </c>
      <c r="J2666" s="3" t="s">
        <v>224</v>
      </c>
      <c r="K2666" s="4">
        <v>3347008</v>
      </c>
    </row>
    <row r="2667" spans="2:11" x14ac:dyDescent="0.3">
      <c r="B2667" s="44">
        <v>46039</v>
      </c>
      <c r="C2667" s="3" t="s">
        <v>416</v>
      </c>
      <c r="D2667" s="4" t="s">
        <v>614</v>
      </c>
      <c r="E2667" s="42"/>
      <c r="F2667" s="3" t="s">
        <v>682</v>
      </c>
      <c r="G2667" s="3" t="s">
        <v>622</v>
      </c>
      <c r="H2667" s="4">
        <v>3969502</v>
      </c>
      <c r="I2667" s="4" t="s">
        <v>673</v>
      </c>
      <c r="J2667" s="4" t="s">
        <v>455</v>
      </c>
      <c r="K2667" s="4">
        <v>3961604</v>
      </c>
    </row>
    <row r="2668" spans="2:11" x14ac:dyDescent="0.3">
      <c r="B2668" s="44">
        <v>46039</v>
      </c>
      <c r="C2668" s="3" t="s">
        <v>416</v>
      </c>
      <c r="D2668" s="3" t="s">
        <v>62</v>
      </c>
      <c r="E2668" s="42"/>
      <c r="F2668" s="4" t="s">
        <v>700</v>
      </c>
      <c r="G2668" s="4" t="s">
        <v>442</v>
      </c>
      <c r="H2668" s="4">
        <v>3205007</v>
      </c>
      <c r="I2668" s="3" t="s">
        <v>479</v>
      </c>
      <c r="J2668" s="3" t="s">
        <v>319</v>
      </c>
      <c r="K2668" s="4">
        <v>3210508</v>
      </c>
    </row>
    <row r="2669" spans="2:11" x14ac:dyDescent="0.3">
      <c r="B2669" s="44">
        <v>46039</v>
      </c>
      <c r="C2669" s="3" t="s">
        <v>416</v>
      </c>
      <c r="D2669" s="3" t="s">
        <v>500</v>
      </c>
      <c r="E2669" s="42"/>
      <c r="F2669" s="3" t="s">
        <v>701</v>
      </c>
      <c r="G2669" s="3" t="s">
        <v>236</v>
      </c>
      <c r="H2669" s="4">
        <v>3355704</v>
      </c>
      <c r="I2669" s="4" t="s">
        <v>476</v>
      </c>
      <c r="J2669" s="4" t="s">
        <v>575</v>
      </c>
      <c r="K2669" s="4">
        <v>3900005</v>
      </c>
    </row>
    <row r="2670" spans="2:11" x14ac:dyDescent="0.3">
      <c r="B2670" s="44">
        <v>46039</v>
      </c>
      <c r="C2670" s="3" t="s">
        <v>416</v>
      </c>
      <c r="D2670" s="3" t="s">
        <v>593</v>
      </c>
      <c r="E2670" s="42"/>
      <c r="F2670" s="3" t="s">
        <v>701</v>
      </c>
      <c r="G2670" s="3" t="s">
        <v>631</v>
      </c>
      <c r="H2670" s="4">
        <v>4023209</v>
      </c>
      <c r="I2670" s="4" t="s">
        <v>694</v>
      </c>
      <c r="J2670" s="4" t="s">
        <v>632</v>
      </c>
      <c r="K2670" s="4">
        <v>4023303</v>
      </c>
    </row>
    <row r="2671" spans="2:11" x14ac:dyDescent="0.3">
      <c r="B2671" s="44">
        <v>46039</v>
      </c>
      <c r="C2671" s="3" t="s">
        <v>416</v>
      </c>
      <c r="D2671" s="3" t="s">
        <v>491</v>
      </c>
      <c r="E2671" s="42"/>
      <c r="F2671" s="4" t="s">
        <v>702</v>
      </c>
      <c r="G2671" s="4" t="s">
        <v>180</v>
      </c>
      <c r="H2671" s="4">
        <v>3355308</v>
      </c>
      <c r="I2671" s="3" t="s">
        <v>695</v>
      </c>
      <c r="J2671" s="3" t="s">
        <v>148</v>
      </c>
      <c r="K2671" s="4">
        <v>3355402</v>
      </c>
    </row>
    <row r="2672" spans="2:11" x14ac:dyDescent="0.3">
      <c r="B2672" s="44">
        <v>46039</v>
      </c>
      <c r="C2672" s="3" t="s">
        <v>416</v>
      </c>
      <c r="D2672" s="3" t="s">
        <v>60</v>
      </c>
      <c r="E2672" s="42"/>
      <c r="F2672" s="3" t="s">
        <v>695</v>
      </c>
      <c r="G2672" s="3" t="s">
        <v>296</v>
      </c>
      <c r="H2672" s="4">
        <v>3203905</v>
      </c>
      <c r="I2672" s="32" t="s">
        <v>705</v>
      </c>
      <c r="J2672" s="32" t="s">
        <v>293</v>
      </c>
      <c r="K2672" s="15">
        <v>3211705</v>
      </c>
    </row>
    <row r="2673" spans="2:14" x14ac:dyDescent="0.3">
      <c r="B2673" s="44">
        <v>46039</v>
      </c>
      <c r="C2673" s="3" t="s">
        <v>416</v>
      </c>
      <c r="D2673" s="3" t="s">
        <v>488</v>
      </c>
      <c r="E2673" s="42"/>
      <c r="F2673" s="4" t="s">
        <v>695</v>
      </c>
      <c r="G2673" s="4" t="s">
        <v>147</v>
      </c>
      <c r="H2673" s="4">
        <v>3067409</v>
      </c>
      <c r="I2673" s="3" t="s">
        <v>704</v>
      </c>
      <c r="J2673" s="3" t="s">
        <v>120</v>
      </c>
      <c r="K2673" s="4">
        <v>3355506</v>
      </c>
    </row>
    <row r="2674" spans="2:14" x14ac:dyDescent="0.3">
      <c r="B2674" s="44">
        <v>46039</v>
      </c>
      <c r="C2674" s="3" t="s">
        <v>416</v>
      </c>
      <c r="D2674" s="3" t="s">
        <v>58</v>
      </c>
      <c r="E2674" s="42"/>
      <c r="F2674" s="3" t="s">
        <v>704</v>
      </c>
      <c r="G2674" s="3" t="s">
        <v>297</v>
      </c>
      <c r="H2674" s="4">
        <v>3204008</v>
      </c>
      <c r="I2674" s="3" t="s">
        <v>706</v>
      </c>
      <c r="J2674" s="3" t="s">
        <v>269</v>
      </c>
      <c r="K2674" s="4">
        <v>3069407</v>
      </c>
    </row>
    <row r="2675" spans="2:14" x14ac:dyDescent="0.3">
      <c r="B2675" s="44">
        <v>46039</v>
      </c>
      <c r="C2675" s="3" t="s">
        <v>416</v>
      </c>
      <c r="D2675" s="3" t="s">
        <v>60</v>
      </c>
      <c r="E2675" s="42"/>
      <c r="F2675" s="3" t="s">
        <v>473</v>
      </c>
      <c r="G2675" s="3" t="s">
        <v>445</v>
      </c>
      <c r="H2675" s="4">
        <v>3204102</v>
      </c>
      <c r="I2675" s="3" t="s">
        <v>707</v>
      </c>
      <c r="J2675" s="3" t="s">
        <v>295</v>
      </c>
      <c r="K2675" s="32">
        <v>3207505</v>
      </c>
    </row>
    <row r="2676" spans="2:14" x14ac:dyDescent="0.3">
      <c r="B2676" s="44">
        <v>46039</v>
      </c>
      <c r="C2676" s="3" t="s">
        <v>416</v>
      </c>
      <c r="D2676" s="3" t="s">
        <v>60</v>
      </c>
      <c r="E2676" s="42"/>
      <c r="F2676" s="3" t="s">
        <v>473</v>
      </c>
      <c r="G2676" s="3" t="s">
        <v>298</v>
      </c>
      <c r="H2676" s="4">
        <v>3817807</v>
      </c>
      <c r="I2676" s="3" t="s">
        <v>668</v>
      </c>
      <c r="J2676" s="3" t="s">
        <v>431</v>
      </c>
      <c r="K2676" s="4">
        <v>3900703</v>
      </c>
    </row>
    <row r="2677" spans="2:14" x14ac:dyDescent="0.3">
      <c r="B2677" s="44">
        <v>46039</v>
      </c>
      <c r="C2677" s="3" t="s">
        <v>416</v>
      </c>
      <c r="D2677" s="3" t="s">
        <v>60</v>
      </c>
      <c r="E2677" s="42"/>
      <c r="F2677" s="3" t="s">
        <v>473</v>
      </c>
      <c r="G2677" s="3" t="s">
        <v>446</v>
      </c>
      <c r="H2677" s="4">
        <v>3204206</v>
      </c>
      <c r="I2677" s="3" t="s">
        <v>698</v>
      </c>
      <c r="J2677" s="3" t="s">
        <v>595</v>
      </c>
      <c r="K2677" s="32" t="s">
        <v>563</v>
      </c>
    </row>
    <row r="2678" spans="2:14" x14ac:dyDescent="0.3">
      <c r="B2678" s="44">
        <v>46039</v>
      </c>
      <c r="C2678" s="3" t="s">
        <v>416</v>
      </c>
      <c r="D2678" s="3" t="s">
        <v>494</v>
      </c>
      <c r="E2678" s="42"/>
      <c r="F2678" s="4" t="s">
        <v>708</v>
      </c>
      <c r="G2678" s="4" t="s">
        <v>141</v>
      </c>
      <c r="H2678" s="4">
        <v>3125802</v>
      </c>
      <c r="I2678" s="3" t="s">
        <v>694</v>
      </c>
      <c r="J2678" s="3" t="s">
        <v>221</v>
      </c>
      <c r="K2678" s="4">
        <v>3353404</v>
      </c>
    </row>
    <row r="2679" spans="2:14" x14ac:dyDescent="0.3">
      <c r="B2679" s="44">
        <v>46039</v>
      </c>
      <c r="C2679" s="3" t="s">
        <v>416</v>
      </c>
      <c r="D2679" s="3" t="s">
        <v>67</v>
      </c>
      <c r="E2679" s="42"/>
      <c r="F2679" s="4" t="s">
        <v>708</v>
      </c>
      <c r="G2679" s="4" t="s">
        <v>339</v>
      </c>
      <c r="H2679" s="4">
        <v>3204300</v>
      </c>
      <c r="I2679" s="3" t="s">
        <v>472</v>
      </c>
      <c r="J2679" s="3" t="s">
        <v>338</v>
      </c>
      <c r="K2679" s="4">
        <v>3207307</v>
      </c>
    </row>
    <row r="2680" spans="2:14" x14ac:dyDescent="0.3">
      <c r="B2680" s="44">
        <v>46039</v>
      </c>
      <c r="C2680" s="3" t="s">
        <v>416</v>
      </c>
      <c r="D2680" s="3" t="s">
        <v>501</v>
      </c>
      <c r="E2680" s="42"/>
      <c r="F2680" s="3" t="s">
        <v>708</v>
      </c>
      <c r="G2680" s="3" t="s">
        <v>598</v>
      </c>
      <c r="H2680" s="4">
        <v>3354903</v>
      </c>
      <c r="I2680" s="3" t="s">
        <v>722</v>
      </c>
      <c r="J2680" s="3" t="s">
        <v>600</v>
      </c>
      <c r="K2680" s="4" t="s">
        <v>556</v>
      </c>
      <c r="L2680" s="4"/>
      <c r="M2680" s="3" t="s">
        <v>598</v>
      </c>
      <c r="N2680" s="3" t="s">
        <v>571</v>
      </c>
    </row>
    <row r="2681" spans="2:14" x14ac:dyDescent="0.3">
      <c r="B2681" s="44">
        <v>46039</v>
      </c>
      <c r="C2681" s="3" t="s">
        <v>416</v>
      </c>
      <c r="D2681" s="3" t="s">
        <v>66</v>
      </c>
      <c r="E2681" s="42"/>
      <c r="F2681" s="3" t="s">
        <v>703</v>
      </c>
      <c r="G2681" s="3" t="s">
        <v>606</v>
      </c>
      <c r="H2681" s="74" t="s">
        <v>588</v>
      </c>
      <c r="I2681" s="3" t="s">
        <v>690</v>
      </c>
      <c r="J2681" s="3" t="s">
        <v>605</v>
      </c>
      <c r="K2681" s="74">
        <v>3900109</v>
      </c>
    </row>
    <row r="2682" spans="2:14" x14ac:dyDescent="0.3">
      <c r="B2682" s="44">
        <v>46039</v>
      </c>
      <c r="C2682" s="3" t="s">
        <v>416</v>
      </c>
      <c r="D2682" s="3" t="s">
        <v>58</v>
      </c>
      <c r="E2682" s="42"/>
      <c r="F2682" s="3" t="s">
        <v>683</v>
      </c>
      <c r="G2682" s="3" t="s">
        <v>305</v>
      </c>
      <c r="H2682" s="4">
        <v>3202906</v>
      </c>
      <c r="I2682" s="3" t="s">
        <v>659</v>
      </c>
      <c r="J2682" s="3" t="s">
        <v>265</v>
      </c>
      <c r="K2682" s="32">
        <v>3208702</v>
      </c>
    </row>
    <row r="2683" spans="2:14" x14ac:dyDescent="0.3">
      <c r="B2683" s="44">
        <v>46039</v>
      </c>
      <c r="C2683" s="3" t="s">
        <v>416</v>
      </c>
      <c r="D2683" s="3" t="s">
        <v>63</v>
      </c>
      <c r="E2683" s="42"/>
      <c r="F2683" s="3" t="s">
        <v>683</v>
      </c>
      <c r="G2683" s="3" t="s">
        <v>368</v>
      </c>
      <c r="H2683" s="74">
        <v>3203009</v>
      </c>
      <c r="I2683" s="3" t="s">
        <v>684</v>
      </c>
      <c r="J2683" s="3" t="s">
        <v>369</v>
      </c>
      <c r="K2683" s="74">
        <v>3202708</v>
      </c>
    </row>
    <row r="2684" spans="2:14" x14ac:dyDescent="0.3">
      <c r="B2684" s="44">
        <v>46039</v>
      </c>
      <c r="C2684" s="3" t="s">
        <v>416</v>
      </c>
      <c r="D2684" s="3" t="s">
        <v>57</v>
      </c>
      <c r="E2684" s="42"/>
      <c r="F2684" s="32" t="s">
        <v>709</v>
      </c>
      <c r="G2684" s="32" t="s">
        <v>268</v>
      </c>
      <c r="H2684" s="15">
        <v>3203103</v>
      </c>
      <c r="I2684" s="3" t="s">
        <v>667</v>
      </c>
      <c r="J2684" s="3" t="s">
        <v>257</v>
      </c>
      <c r="K2684" s="4">
        <v>3209805</v>
      </c>
    </row>
    <row r="2685" spans="2:14" x14ac:dyDescent="0.3">
      <c r="B2685" s="44">
        <v>46039</v>
      </c>
      <c r="C2685" s="3" t="s">
        <v>416</v>
      </c>
      <c r="D2685" s="3" t="s">
        <v>491</v>
      </c>
      <c r="E2685" s="42"/>
      <c r="F2685" s="4" t="s">
        <v>709</v>
      </c>
      <c r="G2685" s="4" t="s">
        <v>566</v>
      </c>
      <c r="H2685" s="4">
        <v>3560703</v>
      </c>
      <c r="I2685" s="104" t="s">
        <v>684</v>
      </c>
      <c r="J2685" s="104" t="s">
        <v>182</v>
      </c>
      <c r="K2685" s="53">
        <v>3900203</v>
      </c>
    </row>
    <row r="2686" spans="2:14" x14ac:dyDescent="0.3">
      <c r="B2686" s="44">
        <v>46039</v>
      </c>
      <c r="C2686" s="3" t="s">
        <v>416</v>
      </c>
      <c r="D2686" s="3" t="s">
        <v>66</v>
      </c>
      <c r="E2686" s="42"/>
      <c r="F2686" s="3" t="s">
        <v>709</v>
      </c>
      <c r="G2686" s="3" t="s">
        <v>607</v>
      </c>
      <c r="H2686" s="4">
        <v>3596309</v>
      </c>
      <c r="I2686" s="104" t="s">
        <v>659</v>
      </c>
      <c r="J2686" s="104" t="s">
        <v>602</v>
      </c>
      <c r="K2686" s="74">
        <v>4023001</v>
      </c>
    </row>
    <row r="2687" spans="2:14" x14ac:dyDescent="0.3">
      <c r="B2687" s="44">
        <v>46039</v>
      </c>
      <c r="C2687" s="3" t="s">
        <v>416</v>
      </c>
      <c r="D2687" s="3" t="s">
        <v>488</v>
      </c>
      <c r="E2687" s="42"/>
      <c r="F2687" s="4" t="s">
        <v>684</v>
      </c>
      <c r="G2687" s="4" t="s">
        <v>121</v>
      </c>
      <c r="H2687" s="4">
        <v>3354309</v>
      </c>
      <c r="I2687" s="3" t="s">
        <v>680</v>
      </c>
      <c r="J2687" s="3" t="s">
        <v>117</v>
      </c>
      <c r="K2687" s="4">
        <v>3359002</v>
      </c>
    </row>
    <row r="2688" spans="2:14" x14ac:dyDescent="0.3">
      <c r="B2688" s="44">
        <v>46039</v>
      </c>
      <c r="C2688" s="3" t="s">
        <v>416</v>
      </c>
      <c r="D2688" s="3" t="s">
        <v>66</v>
      </c>
      <c r="E2688" s="42"/>
      <c r="F2688" s="3" t="s">
        <v>684</v>
      </c>
      <c r="G2688" s="3" t="s">
        <v>608</v>
      </c>
      <c r="H2688" s="74">
        <v>3819107</v>
      </c>
      <c r="I2688" s="104" t="s">
        <v>680</v>
      </c>
      <c r="J2688" s="104" t="s">
        <v>603</v>
      </c>
      <c r="K2688" s="74">
        <v>3945400</v>
      </c>
    </row>
    <row r="2689" spans="2:11" x14ac:dyDescent="0.3">
      <c r="B2689" s="44">
        <v>46039</v>
      </c>
      <c r="C2689" s="3" t="s">
        <v>416</v>
      </c>
      <c r="D2689" s="3" t="s">
        <v>486</v>
      </c>
      <c r="E2689" s="42"/>
      <c r="F2689" s="4" t="s">
        <v>646</v>
      </c>
      <c r="G2689" s="4" t="s">
        <v>102</v>
      </c>
      <c r="H2689" s="4">
        <v>3125406</v>
      </c>
      <c r="I2689" s="3" t="s">
        <v>676</v>
      </c>
      <c r="J2689" s="3" t="s">
        <v>109</v>
      </c>
      <c r="K2689" s="4">
        <v>3067701</v>
      </c>
    </row>
    <row r="2690" spans="2:11" x14ac:dyDescent="0.3">
      <c r="B2690" s="44">
        <v>46039</v>
      </c>
      <c r="C2690" s="3" t="s">
        <v>416</v>
      </c>
      <c r="D2690" s="3" t="s">
        <v>59</v>
      </c>
      <c r="E2690" s="42"/>
      <c r="F2690" s="4" t="s">
        <v>646</v>
      </c>
      <c r="G2690" s="4" t="s">
        <v>275</v>
      </c>
      <c r="H2690" s="4">
        <v>3202406</v>
      </c>
      <c r="I2690" s="3" t="s">
        <v>662</v>
      </c>
      <c r="J2690" s="3" t="s">
        <v>314</v>
      </c>
      <c r="K2690" s="4">
        <v>3208004</v>
      </c>
    </row>
    <row r="2691" spans="2:11" x14ac:dyDescent="0.3">
      <c r="B2691" s="44">
        <v>46039</v>
      </c>
      <c r="C2691" s="3" t="s">
        <v>416</v>
      </c>
      <c r="D2691" s="3" t="s">
        <v>492</v>
      </c>
      <c r="E2691" s="42"/>
      <c r="F2691" s="4" t="s">
        <v>646</v>
      </c>
      <c r="G2691" s="4" t="s">
        <v>194</v>
      </c>
      <c r="H2691" s="4">
        <v>3354205</v>
      </c>
      <c r="I2691" s="3" t="s">
        <v>649</v>
      </c>
      <c r="J2691" s="3" t="s">
        <v>154</v>
      </c>
      <c r="K2691" s="4">
        <v>3362109</v>
      </c>
    </row>
    <row r="2692" spans="2:11" x14ac:dyDescent="0.3">
      <c r="B2692" s="44">
        <v>46039</v>
      </c>
      <c r="C2692" s="3" t="s">
        <v>416</v>
      </c>
      <c r="D2692" s="3" t="s">
        <v>610</v>
      </c>
      <c r="E2692" s="42"/>
      <c r="F2692" s="3" t="s">
        <v>646</v>
      </c>
      <c r="G2692" s="3" t="s">
        <v>350</v>
      </c>
      <c r="H2692" s="4">
        <v>3202802</v>
      </c>
      <c r="I2692" s="4" t="s">
        <v>650</v>
      </c>
      <c r="J2692" s="4" t="s">
        <v>353</v>
      </c>
      <c r="K2692" s="4">
        <v>3200200</v>
      </c>
    </row>
    <row r="2693" spans="2:11" x14ac:dyDescent="0.3">
      <c r="B2693" s="44">
        <v>46039</v>
      </c>
      <c r="C2693" s="3" t="s">
        <v>416</v>
      </c>
      <c r="D2693" s="3" t="s">
        <v>56</v>
      </c>
      <c r="E2693" s="42"/>
      <c r="F2693" s="4" t="s">
        <v>696</v>
      </c>
      <c r="G2693" s="4" t="s">
        <v>261</v>
      </c>
      <c r="H2693" s="4">
        <v>3202302</v>
      </c>
      <c r="I2693" s="3" t="s">
        <v>690</v>
      </c>
      <c r="J2693" s="3" t="s">
        <v>250</v>
      </c>
      <c r="K2693" s="4">
        <v>3070100</v>
      </c>
    </row>
    <row r="2694" spans="2:11" x14ac:dyDescent="0.3">
      <c r="B2694" s="44">
        <v>46039</v>
      </c>
      <c r="C2694" s="3" t="s">
        <v>416</v>
      </c>
      <c r="D2694" s="3" t="s">
        <v>500</v>
      </c>
      <c r="E2694" s="42"/>
      <c r="F2694" s="3" t="s">
        <v>672</v>
      </c>
      <c r="G2694" s="3" t="s">
        <v>187</v>
      </c>
      <c r="H2694" s="4">
        <v>3354101</v>
      </c>
      <c r="I2694" s="4" t="s">
        <v>654</v>
      </c>
      <c r="J2694" s="4" t="s">
        <v>576</v>
      </c>
      <c r="K2694" s="4">
        <v>4009003</v>
      </c>
    </row>
    <row r="2695" spans="2:11" x14ac:dyDescent="0.3">
      <c r="B2695" s="44">
        <v>46039</v>
      </c>
      <c r="C2695" s="3" t="s">
        <v>416</v>
      </c>
      <c r="D2695" s="3" t="s">
        <v>64</v>
      </c>
      <c r="E2695" s="42">
        <v>4370907</v>
      </c>
      <c r="F2695" s="3" t="s">
        <v>672</v>
      </c>
      <c r="G2695" s="3" t="s">
        <v>316</v>
      </c>
      <c r="H2695" s="4">
        <v>3069105</v>
      </c>
      <c r="I2695" s="4" t="s">
        <v>670</v>
      </c>
      <c r="J2695" s="4" t="s">
        <v>343</v>
      </c>
      <c r="K2695" s="4">
        <v>3195606</v>
      </c>
    </row>
    <row r="2696" spans="2:11" x14ac:dyDescent="0.3">
      <c r="B2696" s="44">
        <v>46039</v>
      </c>
      <c r="C2696" s="3" t="s">
        <v>416</v>
      </c>
      <c r="D2696" s="3" t="s">
        <v>67</v>
      </c>
      <c r="E2696" s="42"/>
      <c r="F2696" s="4" t="s">
        <v>672</v>
      </c>
      <c r="G2696" s="4" t="s">
        <v>375</v>
      </c>
      <c r="H2696" s="4">
        <v>3069209</v>
      </c>
      <c r="I2696" s="3" t="s">
        <v>472</v>
      </c>
      <c r="J2696" s="3" t="s">
        <v>374</v>
      </c>
      <c r="K2696" s="4">
        <v>3207203</v>
      </c>
    </row>
    <row r="2697" spans="2:11" x14ac:dyDescent="0.3">
      <c r="B2697" s="44">
        <v>46039</v>
      </c>
      <c r="C2697" s="3" t="s">
        <v>416</v>
      </c>
      <c r="D2697" s="3" t="s">
        <v>488</v>
      </c>
      <c r="E2697" s="42"/>
      <c r="F2697" s="4" t="s">
        <v>697</v>
      </c>
      <c r="G2697" s="4" t="s">
        <v>122</v>
      </c>
      <c r="H2697" s="4">
        <v>3353800</v>
      </c>
      <c r="I2697" s="3" t="s">
        <v>702</v>
      </c>
      <c r="J2697" s="3" t="s">
        <v>119</v>
      </c>
      <c r="K2697" s="4">
        <v>3067909</v>
      </c>
    </row>
    <row r="2698" spans="2:11" x14ac:dyDescent="0.3">
      <c r="B2698" s="44">
        <v>46039</v>
      </c>
      <c r="C2698" s="3" t="s">
        <v>416</v>
      </c>
      <c r="D2698" s="3" t="s">
        <v>63</v>
      </c>
      <c r="E2698" s="42"/>
      <c r="F2698" s="3" t="s">
        <v>697</v>
      </c>
      <c r="G2698" s="3" t="s">
        <v>448</v>
      </c>
      <c r="H2698" s="4">
        <v>3036808</v>
      </c>
      <c r="I2698" s="104" t="s">
        <v>645</v>
      </c>
      <c r="J2698" s="104" t="s">
        <v>333</v>
      </c>
      <c r="K2698" s="74">
        <v>3198801</v>
      </c>
    </row>
    <row r="2699" spans="2:11" x14ac:dyDescent="0.3">
      <c r="B2699" s="44">
        <v>46039</v>
      </c>
      <c r="C2699" s="3" t="s">
        <v>416</v>
      </c>
      <c r="D2699" s="3" t="s">
        <v>504</v>
      </c>
      <c r="E2699" s="42"/>
      <c r="F2699" s="4" t="s">
        <v>694</v>
      </c>
      <c r="G2699" s="4" t="s">
        <v>112</v>
      </c>
      <c r="H2699" s="4">
        <v>3353602</v>
      </c>
      <c r="I2699" s="3" t="s">
        <v>471</v>
      </c>
      <c r="J2699" s="3" t="s">
        <v>14</v>
      </c>
      <c r="K2699" s="4">
        <v>3348601</v>
      </c>
    </row>
    <row r="2700" spans="2:11" x14ac:dyDescent="0.3">
      <c r="B2700" s="44">
        <v>46039</v>
      </c>
      <c r="C2700" s="3" t="s">
        <v>416</v>
      </c>
      <c r="D2700" s="3" t="s">
        <v>57</v>
      </c>
      <c r="E2700" s="42"/>
      <c r="F2700" s="53" t="s">
        <v>694</v>
      </c>
      <c r="G2700" s="53" t="s">
        <v>276</v>
      </c>
      <c r="H2700" s="74">
        <v>3201709</v>
      </c>
      <c r="I2700" s="3" t="s">
        <v>645</v>
      </c>
      <c r="J2700" s="3" t="s">
        <v>263</v>
      </c>
      <c r="K2700" s="4">
        <v>3198707</v>
      </c>
    </row>
    <row r="2701" spans="2:11" x14ac:dyDescent="0.3">
      <c r="B2701" s="44">
        <v>46039</v>
      </c>
      <c r="C2701" s="3" t="s">
        <v>416</v>
      </c>
      <c r="D2701" s="3" t="s">
        <v>494</v>
      </c>
      <c r="E2701" s="42"/>
      <c r="F2701" s="4" t="s">
        <v>694</v>
      </c>
      <c r="G2701" s="4" t="s">
        <v>188</v>
      </c>
      <c r="H2701" s="4">
        <v>3353508</v>
      </c>
      <c r="I2701" s="3" t="s">
        <v>475</v>
      </c>
      <c r="J2701" s="3" t="s">
        <v>183</v>
      </c>
      <c r="K2701" s="4">
        <v>3362901</v>
      </c>
    </row>
    <row r="2702" spans="2:11" x14ac:dyDescent="0.3">
      <c r="B2702" s="44">
        <v>46039</v>
      </c>
      <c r="C2702" s="3" t="s">
        <v>416</v>
      </c>
      <c r="D2702" s="3" t="s">
        <v>69</v>
      </c>
      <c r="E2702" s="42"/>
      <c r="F2702" s="3" t="s">
        <v>694</v>
      </c>
      <c r="G2702" s="3" t="s">
        <v>402</v>
      </c>
      <c r="H2702" s="4">
        <v>3201407</v>
      </c>
      <c r="I2702" s="3" t="s">
        <v>694</v>
      </c>
      <c r="J2702" s="3" t="s">
        <v>376</v>
      </c>
      <c r="K2702" s="53">
        <v>3201303</v>
      </c>
    </row>
    <row r="2703" spans="2:11" x14ac:dyDescent="0.3">
      <c r="B2703" s="44">
        <v>46039</v>
      </c>
      <c r="C2703" s="3" t="s">
        <v>416</v>
      </c>
      <c r="D2703" s="3" t="s">
        <v>62</v>
      </c>
      <c r="E2703" s="42"/>
      <c r="F2703" s="4" t="s">
        <v>677</v>
      </c>
      <c r="G2703" s="4" t="s">
        <v>324</v>
      </c>
      <c r="H2703" s="4">
        <v>3201605</v>
      </c>
      <c r="I2703" s="3" t="s">
        <v>694</v>
      </c>
      <c r="J2703" s="3" t="s">
        <v>340</v>
      </c>
      <c r="K2703" s="4">
        <v>3201803</v>
      </c>
    </row>
    <row r="2704" spans="2:11" x14ac:dyDescent="0.3">
      <c r="B2704" s="44">
        <v>46039</v>
      </c>
      <c r="C2704" s="3" t="s">
        <v>416</v>
      </c>
      <c r="D2704" s="3" t="s">
        <v>65</v>
      </c>
      <c r="E2704" s="42"/>
      <c r="F2704" s="3" t="s">
        <v>655</v>
      </c>
      <c r="G2704" s="3" t="s">
        <v>325</v>
      </c>
      <c r="H2704" s="4">
        <v>3201501</v>
      </c>
      <c r="I2704" s="4" t="s">
        <v>476</v>
      </c>
      <c r="J2704" s="4" t="s">
        <v>358</v>
      </c>
      <c r="K2704" s="4">
        <v>3206402</v>
      </c>
    </row>
    <row r="2705" spans="2:13" x14ac:dyDescent="0.3">
      <c r="B2705" s="44">
        <v>46039</v>
      </c>
      <c r="C2705" s="3" t="s">
        <v>416</v>
      </c>
      <c r="D2705" s="3" t="s">
        <v>489</v>
      </c>
      <c r="E2705" s="4"/>
      <c r="F2705" s="4" t="s">
        <v>685</v>
      </c>
      <c r="G2705" s="4" t="s">
        <v>160</v>
      </c>
      <c r="H2705" s="4">
        <v>3353008</v>
      </c>
      <c r="I2705" s="4" t="s">
        <v>476</v>
      </c>
      <c r="J2705" s="4" t="s">
        <v>128</v>
      </c>
      <c r="K2705" s="4">
        <v>3357202</v>
      </c>
    </row>
    <row r="2706" spans="2:13" x14ac:dyDescent="0.3">
      <c r="B2706" s="44">
        <v>46039</v>
      </c>
      <c r="C2706" s="3" t="s">
        <v>416</v>
      </c>
      <c r="D2706" s="3" t="s">
        <v>610</v>
      </c>
      <c r="E2706" s="42"/>
      <c r="F2706" s="3" t="s">
        <v>685</v>
      </c>
      <c r="G2706" s="3" t="s">
        <v>351</v>
      </c>
      <c r="H2706" s="4">
        <v>3201001</v>
      </c>
      <c r="I2706" s="4" t="s">
        <v>474</v>
      </c>
      <c r="J2706" s="4" t="s">
        <v>458</v>
      </c>
      <c r="K2706" s="4">
        <v>3200304</v>
      </c>
    </row>
    <row r="2707" spans="2:13" x14ac:dyDescent="0.3">
      <c r="B2707" s="44">
        <v>46039</v>
      </c>
      <c r="C2707" s="3" t="s">
        <v>416</v>
      </c>
      <c r="D2707" s="3" t="s">
        <v>495</v>
      </c>
      <c r="E2707" s="42"/>
      <c r="F2707" s="3" t="s">
        <v>685</v>
      </c>
      <c r="G2707" s="3" t="s">
        <v>196</v>
      </c>
      <c r="H2707" s="4">
        <v>3353102</v>
      </c>
      <c r="I2707" s="3" t="s">
        <v>666</v>
      </c>
      <c r="J2707" s="3" t="s">
        <v>192</v>
      </c>
      <c r="K2707" s="53">
        <v>3357004</v>
      </c>
    </row>
    <row r="2708" spans="2:13" x14ac:dyDescent="0.3">
      <c r="B2708" s="44">
        <v>46039</v>
      </c>
      <c r="C2708" s="3" t="s">
        <v>416</v>
      </c>
      <c r="D2708" s="3" t="s">
        <v>56</v>
      </c>
      <c r="E2708" s="42"/>
      <c r="F2708" s="73" t="s">
        <v>474</v>
      </c>
      <c r="G2708" s="73" t="s">
        <v>253</v>
      </c>
      <c r="H2708" s="4">
        <v>3037109</v>
      </c>
      <c r="I2708" s="3" t="s">
        <v>471</v>
      </c>
      <c r="J2708" s="3" t="s">
        <v>254</v>
      </c>
      <c r="K2708" s="4">
        <v>3068908</v>
      </c>
    </row>
    <row r="2709" spans="2:13" x14ac:dyDescent="0.3">
      <c r="B2709" s="44">
        <v>46039</v>
      </c>
      <c r="C2709" s="3" t="s">
        <v>416</v>
      </c>
      <c r="D2709" s="3" t="s">
        <v>590</v>
      </c>
      <c r="E2709" s="42"/>
      <c r="F2709" s="4" t="s">
        <v>474</v>
      </c>
      <c r="G2709" s="4" t="s">
        <v>317</v>
      </c>
      <c r="H2709" s="4">
        <v>3200700</v>
      </c>
      <c r="I2709" s="3" t="s">
        <v>693</v>
      </c>
      <c r="J2709" s="3" t="s">
        <v>322</v>
      </c>
      <c r="K2709" s="4">
        <v>3207005</v>
      </c>
    </row>
    <row r="2710" spans="2:13" x14ac:dyDescent="0.3">
      <c r="B2710" s="44">
        <v>46039</v>
      </c>
      <c r="C2710" s="3" t="s">
        <v>416</v>
      </c>
      <c r="D2710" s="3" t="s">
        <v>496</v>
      </c>
      <c r="E2710" s="42"/>
      <c r="F2710" s="4" t="s">
        <v>474</v>
      </c>
      <c r="G2710" s="4" t="s">
        <v>426</v>
      </c>
      <c r="H2710" s="4">
        <v>3352603</v>
      </c>
      <c r="I2710" s="3" t="s">
        <v>710</v>
      </c>
      <c r="J2710" s="3" t="s">
        <v>462</v>
      </c>
      <c r="K2710" s="4">
        <v>3352207</v>
      </c>
    </row>
    <row r="2711" spans="2:13" x14ac:dyDescent="0.3">
      <c r="B2711" s="44">
        <v>46039</v>
      </c>
      <c r="C2711" s="3" t="s">
        <v>416</v>
      </c>
      <c r="D2711" s="3" t="s">
        <v>499</v>
      </c>
      <c r="E2711" s="42"/>
      <c r="F2711" s="3" t="s">
        <v>474</v>
      </c>
      <c r="G2711" s="3" t="s">
        <v>597</v>
      </c>
      <c r="H2711" s="4">
        <v>3352707</v>
      </c>
      <c r="I2711" s="3" t="s">
        <v>671</v>
      </c>
      <c r="J2711" s="3" t="s">
        <v>228</v>
      </c>
      <c r="K2711" s="53">
        <v>3358607</v>
      </c>
      <c r="M2711" s="4"/>
    </row>
    <row r="2712" spans="2:13" x14ac:dyDescent="0.3">
      <c r="B2712" s="44">
        <v>46039</v>
      </c>
      <c r="C2712" s="3" t="s">
        <v>416</v>
      </c>
      <c r="D2712" s="3" t="s">
        <v>610</v>
      </c>
      <c r="E2712" s="42"/>
      <c r="F2712" s="3" t="s">
        <v>714</v>
      </c>
      <c r="G2712" s="3" t="s">
        <v>352</v>
      </c>
      <c r="H2712" s="4">
        <v>3197208</v>
      </c>
      <c r="I2712" s="4" t="s">
        <v>682</v>
      </c>
      <c r="J2712" s="4" t="s">
        <v>611</v>
      </c>
      <c r="K2712" s="4">
        <v>3204800</v>
      </c>
    </row>
    <row r="2713" spans="2:13" x14ac:dyDescent="0.3">
      <c r="B2713" s="44">
        <v>46039</v>
      </c>
      <c r="C2713" s="3" t="s">
        <v>416</v>
      </c>
      <c r="D2713" s="3" t="s">
        <v>498</v>
      </c>
      <c r="E2713" s="42"/>
      <c r="F2713" s="3" t="s">
        <v>714</v>
      </c>
      <c r="G2713" s="3" t="s">
        <v>222</v>
      </c>
      <c r="H2713" s="4">
        <v>3348507</v>
      </c>
      <c r="I2713" s="3" t="s">
        <v>688</v>
      </c>
      <c r="J2713" s="3" t="s">
        <v>146</v>
      </c>
      <c r="K2713" s="53">
        <v>3346405</v>
      </c>
    </row>
    <row r="2714" spans="2:13" x14ac:dyDescent="0.3">
      <c r="B2714" s="44">
        <v>46039</v>
      </c>
      <c r="C2714" s="3" t="s">
        <v>416</v>
      </c>
      <c r="D2714" s="4" t="s">
        <v>614</v>
      </c>
      <c r="E2714" s="42"/>
      <c r="F2714" s="3" t="s">
        <v>714</v>
      </c>
      <c r="G2714" s="3" t="s">
        <v>454</v>
      </c>
      <c r="H2714" s="4">
        <v>3820300</v>
      </c>
      <c r="I2714" s="4" t="s">
        <v>646</v>
      </c>
      <c r="J2714" s="4" t="s">
        <v>380</v>
      </c>
      <c r="K2714" s="4">
        <v>3202208</v>
      </c>
    </row>
    <row r="2715" spans="2:13" x14ac:dyDescent="0.3">
      <c r="B2715" s="44">
        <v>46039</v>
      </c>
      <c r="C2715" s="3" t="s">
        <v>416</v>
      </c>
      <c r="D2715" s="3" t="s">
        <v>489</v>
      </c>
      <c r="E2715" s="4"/>
      <c r="F2715" s="3" t="s">
        <v>650</v>
      </c>
      <c r="G2715" s="3" t="s">
        <v>163</v>
      </c>
      <c r="H2715" s="4">
        <v>3351802</v>
      </c>
      <c r="I2715" s="4" t="s">
        <v>474</v>
      </c>
      <c r="J2715" s="4" t="s">
        <v>130</v>
      </c>
      <c r="K2715" s="4">
        <v>3352405</v>
      </c>
    </row>
    <row r="2716" spans="2:13" x14ac:dyDescent="0.3">
      <c r="B2716" s="44">
        <v>46039</v>
      </c>
      <c r="C2716" s="3" t="s">
        <v>416</v>
      </c>
      <c r="D2716" s="3" t="s">
        <v>590</v>
      </c>
      <c r="E2716" s="42"/>
      <c r="F2716" s="4" t="s">
        <v>650</v>
      </c>
      <c r="G2716" s="4" t="s">
        <v>277</v>
      </c>
      <c r="H2716" s="4">
        <v>3088400</v>
      </c>
      <c r="I2716" s="3" t="s">
        <v>479</v>
      </c>
      <c r="J2716" s="3" t="s">
        <v>284</v>
      </c>
      <c r="K2716" s="4">
        <v>3210904</v>
      </c>
    </row>
    <row r="2717" spans="2:13" x14ac:dyDescent="0.3">
      <c r="B2717" s="44">
        <v>46039</v>
      </c>
      <c r="C2717" s="3" t="s">
        <v>416</v>
      </c>
      <c r="D2717" s="3" t="s">
        <v>496</v>
      </c>
      <c r="E2717" s="42"/>
      <c r="F2717" s="3" t="s">
        <v>650</v>
      </c>
      <c r="G2717" s="3" t="s">
        <v>205</v>
      </c>
      <c r="H2717" s="74">
        <v>3351906</v>
      </c>
      <c r="I2717" s="3" t="s">
        <v>671</v>
      </c>
      <c r="J2717" s="3" t="s">
        <v>203</v>
      </c>
      <c r="K2717" s="4">
        <v>3359304</v>
      </c>
    </row>
    <row r="2718" spans="2:13" x14ac:dyDescent="0.3">
      <c r="B2718" s="44">
        <v>46039</v>
      </c>
      <c r="C2718" s="3" t="s">
        <v>416</v>
      </c>
      <c r="D2718" s="3" t="s">
        <v>59</v>
      </c>
      <c r="E2718" s="42"/>
      <c r="F2718" s="4" t="s">
        <v>656</v>
      </c>
      <c r="G2718" s="4" t="s">
        <v>278</v>
      </c>
      <c r="H2718" s="4">
        <v>3199800</v>
      </c>
      <c r="I2718" s="3" t="s">
        <v>476</v>
      </c>
      <c r="J2718" s="3" t="s">
        <v>274</v>
      </c>
      <c r="K2718" s="4">
        <v>3206902</v>
      </c>
    </row>
    <row r="2719" spans="2:13" x14ac:dyDescent="0.3">
      <c r="B2719" s="44">
        <v>46039</v>
      </c>
      <c r="C2719" s="3" t="s">
        <v>416</v>
      </c>
      <c r="D2719" s="3" t="s">
        <v>69</v>
      </c>
      <c r="E2719" s="42"/>
      <c r="F2719" s="3" t="s">
        <v>656</v>
      </c>
      <c r="G2719" s="3" t="s">
        <v>361</v>
      </c>
      <c r="H2719" s="4">
        <v>3200002</v>
      </c>
      <c r="I2719" s="3" t="s">
        <v>691</v>
      </c>
      <c r="J2719" s="3" t="s">
        <v>395</v>
      </c>
      <c r="K2719" s="4">
        <v>3197604</v>
      </c>
    </row>
    <row r="2720" spans="2:13" x14ac:dyDescent="0.3">
      <c r="B2720" s="44">
        <v>46039</v>
      </c>
      <c r="C2720" s="3" t="s">
        <v>416</v>
      </c>
      <c r="D2720" s="3" t="s">
        <v>67</v>
      </c>
      <c r="E2720" s="42"/>
      <c r="F2720" s="4" t="s">
        <v>715</v>
      </c>
      <c r="G2720" s="4" t="s">
        <v>377</v>
      </c>
      <c r="H2720" s="4">
        <v>3200106</v>
      </c>
      <c r="I2720" s="3" t="s">
        <v>662</v>
      </c>
      <c r="J2720" s="3" t="s">
        <v>373</v>
      </c>
      <c r="K2720" s="4">
        <v>3207807</v>
      </c>
    </row>
    <row r="2721" spans="2:11" x14ac:dyDescent="0.3">
      <c r="B2721" s="44">
        <v>46039</v>
      </c>
      <c r="C2721" s="3" t="s">
        <v>416</v>
      </c>
      <c r="D2721" s="3" t="s">
        <v>487</v>
      </c>
      <c r="E2721" s="4"/>
      <c r="F2721" s="4" t="s">
        <v>710</v>
      </c>
      <c r="G2721" s="4" t="s">
        <v>113</v>
      </c>
      <c r="H2721" s="4">
        <v>3352009</v>
      </c>
      <c r="I2721" s="3" t="s">
        <v>479</v>
      </c>
      <c r="J2721" s="3" t="s">
        <v>127</v>
      </c>
      <c r="K2721" s="4">
        <v>3360809</v>
      </c>
    </row>
    <row r="2722" spans="2:11" x14ac:dyDescent="0.3">
      <c r="B2722" s="44">
        <v>46039</v>
      </c>
      <c r="C2722" s="3" t="s">
        <v>416</v>
      </c>
      <c r="D2722" s="3" t="s">
        <v>496</v>
      </c>
      <c r="E2722" s="42"/>
      <c r="F2722" s="4" t="s">
        <v>710</v>
      </c>
      <c r="G2722" s="4" t="s">
        <v>206</v>
      </c>
      <c r="H2722" s="4">
        <v>3352103</v>
      </c>
      <c r="I2722" s="3" t="s">
        <v>651</v>
      </c>
      <c r="J2722" s="3" t="s">
        <v>202</v>
      </c>
      <c r="K2722" s="74">
        <v>3361808</v>
      </c>
    </row>
    <row r="2723" spans="2:11" x14ac:dyDescent="0.3">
      <c r="B2723" s="44">
        <v>46039</v>
      </c>
      <c r="C2723" s="3" t="s">
        <v>416</v>
      </c>
      <c r="D2723" s="4" t="s">
        <v>614</v>
      </c>
      <c r="E2723" s="42"/>
      <c r="F2723" s="3" t="s">
        <v>710</v>
      </c>
      <c r="G2723" s="3" t="s">
        <v>384</v>
      </c>
      <c r="H2723" s="4">
        <v>3199508</v>
      </c>
      <c r="I2723" s="4" t="s">
        <v>699</v>
      </c>
      <c r="J2723" s="4" t="s">
        <v>624</v>
      </c>
      <c r="K2723" s="4">
        <v>3196105</v>
      </c>
    </row>
    <row r="2724" spans="2:11" x14ac:dyDescent="0.3">
      <c r="B2724" s="44">
        <v>46039</v>
      </c>
      <c r="C2724" s="3" t="s">
        <v>416</v>
      </c>
      <c r="D2724" s="3" t="s">
        <v>499</v>
      </c>
      <c r="E2724" s="42"/>
      <c r="F2724" s="3" t="s">
        <v>710</v>
      </c>
      <c r="G2724" s="3" t="s">
        <v>230</v>
      </c>
      <c r="H2724" s="4">
        <v>3900609</v>
      </c>
      <c r="I2724" s="3" t="s">
        <v>665</v>
      </c>
      <c r="J2724" s="3" t="s">
        <v>461</v>
      </c>
      <c r="K2724" s="4">
        <v>3818702</v>
      </c>
    </row>
    <row r="2725" spans="2:11" x14ac:dyDescent="0.3">
      <c r="B2725" s="44">
        <v>46039</v>
      </c>
      <c r="C2725" s="3" t="s">
        <v>416</v>
      </c>
      <c r="D2725" s="4" t="s">
        <v>614</v>
      </c>
      <c r="E2725" s="42"/>
      <c r="F2725" s="3" t="s">
        <v>710</v>
      </c>
      <c r="G2725" s="3" t="s">
        <v>385</v>
      </c>
      <c r="H2725" s="4">
        <v>3199602</v>
      </c>
      <c r="I2725" s="4" t="s">
        <v>713</v>
      </c>
      <c r="J2725" s="4" t="s">
        <v>386</v>
      </c>
      <c r="K2725" s="4">
        <v>3900807</v>
      </c>
    </row>
    <row r="2726" spans="2:11" x14ac:dyDescent="0.3">
      <c r="B2726" s="44">
        <v>46039</v>
      </c>
      <c r="C2726" s="3" t="s">
        <v>416</v>
      </c>
      <c r="D2726" s="3" t="s">
        <v>61</v>
      </c>
      <c r="E2726" s="42"/>
      <c r="F2726" s="4" t="s">
        <v>477</v>
      </c>
      <c r="G2726" s="4" t="s">
        <v>308</v>
      </c>
      <c r="H2726" s="4">
        <v>3199300</v>
      </c>
      <c r="I2726" s="3" t="s">
        <v>690</v>
      </c>
      <c r="J2726" s="3" t="s">
        <v>304</v>
      </c>
      <c r="K2726" s="4">
        <v>3204404</v>
      </c>
    </row>
    <row r="2727" spans="2:11" x14ac:dyDescent="0.3">
      <c r="B2727" s="44">
        <v>46039</v>
      </c>
      <c r="C2727" s="3" t="s">
        <v>416</v>
      </c>
      <c r="D2727" s="3" t="s">
        <v>61</v>
      </c>
      <c r="E2727" s="42"/>
      <c r="F2727" s="4" t="s">
        <v>477</v>
      </c>
      <c r="G2727" s="4" t="s">
        <v>332</v>
      </c>
      <c r="H2727" s="4">
        <v>3199206</v>
      </c>
      <c r="I2727" s="106" t="s">
        <v>659</v>
      </c>
      <c r="J2727" s="106" t="s">
        <v>367</v>
      </c>
      <c r="K2727" s="106">
        <v>3208806</v>
      </c>
    </row>
    <row r="2728" spans="2:11" x14ac:dyDescent="0.3">
      <c r="B2728" s="44">
        <v>46039</v>
      </c>
      <c r="C2728" s="3" t="s">
        <v>416</v>
      </c>
      <c r="D2728" s="3" t="s">
        <v>486</v>
      </c>
      <c r="E2728" s="42"/>
      <c r="F2728" s="4" t="s">
        <v>645</v>
      </c>
      <c r="G2728" s="4" t="s">
        <v>104</v>
      </c>
      <c r="H2728" s="4">
        <v>3036308</v>
      </c>
      <c r="I2728" s="3" t="s">
        <v>681</v>
      </c>
      <c r="J2728" s="3" t="s">
        <v>105</v>
      </c>
      <c r="K2728" s="4">
        <v>3035809</v>
      </c>
    </row>
    <row r="2729" spans="2:11" x14ac:dyDescent="0.3">
      <c r="B2729" s="44">
        <v>46039</v>
      </c>
      <c r="C2729" s="3" t="s">
        <v>416</v>
      </c>
      <c r="D2729" s="3" t="s">
        <v>61</v>
      </c>
      <c r="E2729" s="42"/>
      <c r="F2729" s="4" t="s">
        <v>645</v>
      </c>
      <c r="G2729" s="4" t="s">
        <v>309</v>
      </c>
      <c r="H2729" s="4">
        <v>3082104</v>
      </c>
      <c r="I2729" s="3" t="s">
        <v>696</v>
      </c>
      <c r="J2729" s="3" t="s">
        <v>307</v>
      </c>
      <c r="K2729" s="4">
        <v>3201907</v>
      </c>
    </row>
    <row r="2730" spans="2:11" x14ac:dyDescent="0.3">
      <c r="B2730" s="44">
        <v>46039</v>
      </c>
      <c r="C2730" s="3" t="s">
        <v>416</v>
      </c>
      <c r="D2730" s="3" t="s">
        <v>488</v>
      </c>
      <c r="E2730" s="42"/>
      <c r="F2730" s="4" t="s">
        <v>645</v>
      </c>
      <c r="G2730" s="4" t="s">
        <v>151</v>
      </c>
      <c r="H2730" s="4">
        <v>3351208</v>
      </c>
      <c r="I2730" s="3" t="s">
        <v>645</v>
      </c>
      <c r="J2730" s="3" t="s">
        <v>123</v>
      </c>
      <c r="K2730" s="4">
        <v>3351104</v>
      </c>
    </row>
    <row r="2731" spans="2:11" x14ac:dyDescent="0.3">
      <c r="B2731" s="44">
        <v>46039</v>
      </c>
      <c r="C2731" s="3" t="s">
        <v>416</v>
      </c>
      <c r="D2731" s="3" t="s">
        <v>491</v>
      </c>
      <c r="E2731" s="42"/>
      <c r="F2731" s="4" t="s">
        <v>645</v>
      </c>
      <c r="G2731" s="4" t="s">
        <v>464</v>
      </c>
      <c r="H2731" s="4">
        <v>3351406</v>
      </c>
      <c r="I2731" s="3" t="s">
        <v>645</v>
      </c>
      <c r="J2731" s="3" t="s">
        <v>152</v>
      </c>
      <c r="K2731" s="4">
        <v>3351302</v>
      </c>
    </row>
    <row r="2732" spans="2:11" x14ac:dyDescent="0.3">
      <c r="B2732" s="44">
        <v>46039</v>
      </c>
      <c r="C2732" s="3" t="s">
        <v>416</v>
      </c>
      <c r="D2732" s="3" t="s">
        <v>496</v>
      </c>
      <c r="E2732" s="42"/>
      <c r="F2732" s="4" t="s">
        <v>716</v>
      </c>
      <c r="G2732" s="4" t="s">
        <v>427</v>
      </c>
      <c r="H2732" s="4">
        <v>3351500</v>
      </c>
      <c r="I2732" s="3" t="s">
        <v>671</v>
      </c>
      <c r="J2732" s="3" t="s">
        <v>227</v>
      </c>
      <c r="K2732" s="4">
        <v>3359408</v>
      </c>
    </row>
    <row r="2733" spans="2:11" x14ac:dyDescent="0.3">
      <c r="B2733" s="44">
        <v>46039</v>
      </c>
      <c r="C2733" s="3" t="s">
        <v>416</v>
      </c>
      <c r="D2733" s="3" t="s">
        <v>610</v>
      </c>
      <c r="E2733" s="42"/>
      <c r="F2733" s="3" t="s">
        <v>716</v>
      </c>
      <c r="G2733" s="3" t="s">
        <v>433</v>
      </c>
      <c r="H2733" s="4">
        <v>3198905</v>
      </c>
      <c r="I2733" s="4" t="s">
        <v>666</v>
      </c>
      <c r="J2733" s="4" t="s">
        <v>348</v>
      </c>
      <c r="K2733" s="4">
        <v>3205903</v>
      </c>
    </row>
    <row r="2734" spans="2:11" x14ac:dyDescent="0.3">
      <c r="B2734" s="44">
        <v>46039</v>
      </c>
      <c r="C2734" s="3" t="s">
        <v>416</v>
      </c>
      <c r="D2734" s="3" t="s">
        <v>489</v>
      </c>
      <c r="E2734" s="4"/>
      <c r="F2734" s="3" t="s">
        <v>678</v>
      </c>
      <c r="G2734" s="3" t="s">
        <v>131</v>
      </c>
      <c r="H2734" s="4">
        <v>3350605</v>
      </c>
      <c r="I2734" s="4" t="s">
        <v>679</v>
      </c>
      <c r="J2734" s="4" t="s">
        <v>135</v>
      </c>
      <c r="K2734" s="4">
        <v>3346603</v>
      </c>
    </row>
    <row r="2735" spans="2:11" x14ac:dyDescent="0.3">
      <c r="B2735" s="44">
        <v>46039</v>
      </c>
      <c r="C2735" s="3" t="s">
        <v>416</v>
      </c>
      <c r="D2735" s="3" t="s">
        <v>610</v>
      </c>
      <c r="E2735" s="42"/>
      <c r="F2735" s="3" t="s">
        <v>675</v>
      </c>
      <c r="G2735" s="3" t="s">
        <v>450</v>
      </c>
      <c r="H2735" s="4">
        <v>3198405</v>
      </c>
      <c r="I2735" s="4" t="s">
        <v>685</v>
      </c>
      <c r="J2735" s="4" t="s">
        <v>382</v>
      </c>
      <c r="K2735" s="4">
        <v>3200804</v>
      </c>
    </row>
    <row r="2736" spans="2:11" x14ac:dyDescent="0.3">
      <c r="B2736" s="44">
        <v>46039</v>
      </c>
      <c r="C2736" s="3" t="s">
        <v>416</v>
      </c>
      <c r="D2736" s="3" t="s">
        <v>490</v>
      </c>
      <c r="E2736" s="4"/>
      <c r="F2736" s="3" t="s">
        <v>691</v>
      </c>
      <c r="G2736" s="3" t="s">
        <v>142</v>
      </c>
      <c r="H2736" s="4">
        <v>3350501</v>
      </c>
      <c r="I2736" s="4" t="s">
        <v>476</v>
      </c>
      <c r="J2736" s="4" t="s">
        <v>168</v>
      </c>
      <c r="K2736" s="4">
        <v>3356505</v>
      </c>
    </row>
    <row r="2737" spans="2:13" x14ac:dyDescent="0.3">
      <c r="B2737" s="44">
        <v>46039</v>
      </c>
      <c r="C2737" s="3" t="s">
        <v>416</v>
      </c>
      <c r="D2737" s="3" t="s">
        <v>497</v>
      </c>
      <c r="E2737" s="42"/>
      <c r="F2737" s="17" t="s">
        <v>691</v>
      </c>
      <c r="G2737" s="17" t="s">
        <v>215</v>
      </c>
      <c r="H2737" s="74">
        <v>3350407</v>
      </c>
      <c r="I2737" s="3" t="s">
        <v>678</v>
      </c>
      <c r="J2737" s="3" t="s">
        <v>172</v>
      </c>
      <c r="K2737" s="74">
        <v>3350709</v>
      </c>
    </row>
    <row r="2738" spans="2:13" x14ac:dyDescent="0.3">
      <c r="B2738" s="44">
        <v>46039</v>
      </c>
      <c r="C2738" s="3" t="s">
        <v>416</v>
      </c>
      <c r="D2738" s="3" t="s">
        <v>65</v>
      </c>
      <c r="E2738" s="42"/>
      <c r="F2738" s="15" t="s">
        <v>691</v>
      </c>
      <c r="G2738" s="15" t="s">
        <v>327</v>
      </c>
      <c r="H2738" s="74">
        <v>3198603</v>
      </c>
      <c r="I2738" s="4" t="s">
        <v>656</v>
      </c>
      <c r="J2738" s="4" t="s">
        <v>326</v>
      </c>
      <c r="K2738" s="4">
        <v>3199904</v>
      </c>
    </row>
    <row r="2739" spans="2:13" x14ac:dyDescent="0.3">
      <c r="B2739" s="44">
        <v>46039</v>
      </c>
      <c r="C2739" s="3" t="s">
        <v>416</v>
      </c>
      <c r="D2739" s="3" t="s">
        <v>498</v>
      </c>
      <c r="E2739" s="42"/>
      <c r="F2739" s="3" t="s">
        <v>689</v>
      </c>
      <c r="G2739" s="3" t="s">
        <v>468</v>
      </c>
      <c r="H2739" s="4">
        <v>3349902</v>
      </c>
      <c r="I2739" s="3" t="s">
        <v>717</v>
      </c>
      <c r="J2739" s="3" t="s">
        <v>429</v>
      </c>
      <c r="K2739" s="4">
        <v>3346905</v>
      </c>
    </row>
    <row r="2740" spans="2:13" x14ac:dyDescent="0.3">
      <c r="B2740" s="44">
        <v>46039</v>
      </c>
      <c r="C2740" s="3" t="s">
        <v>416</v>
      </c>
      <c r="D2740" s="3" t="s">
        <v>501</v>
      </c>
      <c r="E2740" s="42"/>
      <c r="F2740" s="3" t="s">
        <v>689</v>
      </c>
      <c r="G2740" s="3" t="s">
        <v>580</v>
      </c>
      <c r="H2740" s="4">
        <v>3350001</v>
      </c>
      <c r="I2740" s="3" t="s">
        <v>692</v>
      </c>
      <c r="J2740" s="3" t="s">
        <v>582</v>
      </c>
      <c r="K2740" s="53">
        <v>3900901</v>
      </c>
      <c r="M2740" s="4"/>
    </row>
    <row r="2741" spans="2:13" x14ac:dyDescent="0.3">
      <c r="B2741" s="44">
        <v>46039</v>
      </c>
      <c r="C2741" s="3" t="s">
        <v>416</v>
      </c>
      <c r="D2741" s="3" t="s">
        <v>501</v>
      </c>
      <c r="E2741" s="42"/>
      <c r="F2741" s="3" t="s">
        <v>689</v>
      </c>
      <c r="G2741" s="3" t="s">
        <v>581</v>
      </c>
      <c r="H2741" s="4">
        <v>4022804</v>
      </c>
      <c r="I2741" s="3" t="s">
        <v>475</v>
      </c>
      <c r="J2741" s="3" t="s">
        <v>241</v>
      </c>
      <c r="K2741" s="4">
        <v>3362401</v>
      </c>
      <c r="L2741" s="4"/>
      <c r="M2741" s="4"/>
    </row>
    <row r="2742" spans="2:13" x14ac:dyDescent="0.3">
      <c r="B2742" s="44">
        <v>46039</v>
      </c>
      <c r="C2742" s="3" t="s">
        <v>416</v>
      </c>
      <c r="D2742" s="3" t="s">
        <v>490</v>
      </c>
      <c r="E2742" s="4"/>
      <c r="F2742" s="3" t="s">
        <v>654</v>
      </c>
      <c r="G2742" s="3" t="s">
        <v>143</v>
      </c>
      <c r="H2742" s="4">
        <v>3349704</v>
      </c>
      <c r="I2742" s="4" t="s">
        <v>660</v>
      </c>
      <c r="J2742" s="4" t="s">
        <v>137</v>
      </c>
      <c r="K2742" s="4">
        <v>3359908</v>
      </c>
    </row>
    <row r="2743" spans="2:13" x14ac:dyDescent="0.3">
      <c r="B2743" s="44">
        <v>46039</v>
      </c>
      <c r="C2743" s="3" t="s">
        <v>416</v>
      </c>
      <c r="D2743" s="3" t="s">
        <v>497</v>
      </c>
      <c r="E2743" s="42"/>
      <c r="F2743" s="3" t="s">
        <v>654</v>
      </c>
      <c r="G2743" s="3" t="s">
        <v>216</v>
      </c>
      <c r="H2743" s="4">
        <v>3349808</v>
      </c>
      <c r="I2743" s="17" t="s">
        <v>653</v>
      </c>
      <c r="J2743" s="17" t="s">
        <v>209</v>
      </c>
      <c r="K2743" s="74">
        <v>3360705</v>
      </c>
    </row>
    <row r="2744" spans="2:13" x14ac:dyDescent="0.3">
      <c r="B2744" s="44">
        <v>46039</v>
      </c>
      <c r="C2744" s="3" t="s">
        <v>416</v>
      </c>
      <c r="D2744" s="3" t="s">
        <v>497</v>
      </c>
      <c r="E2744" s="42"/>
      <c r="F2744" s="3" t="s">
        <v>654</v>
      </c>
      <c r="G2744" s="3" t="s">
        <v>438</v>
      </c>
      <c r="H2744" s="74">
        <v>3906207</v>
      </c>
      <c r="I2744" s="17" t="s">
        <v>660</v>
      </c>
      <c r="J2744" s="17" t="s">
        <v>212</v>
      </c>
      <c r="K2744" s="74">
        <v>3360007</v>
      </c>
    </row>
    <row r="2745" spans="2:13" x14ac:dyDescent="0.3">
      <c r="B2745" s="44">
        <v>46039</v>
      </c>
      <c r="C2745" s="3" t="s">
        <v>416</v>
      </c>
      <c r="D2745" s="3" t="s">
        <v>58</v>
      </c>
      <c r="E2745" s="42"/>
      <c r="F2745" s="3" t="s">
        <v>712</v>
      </c>
      <c r="G2745" s="3" t="s">
        <v>270</v>
      </c>
      <c r="H2745" s="4">
        <v>3069605</v>
      </c>
      <c r="I2745" s="3" t="s">
        <v>702</v>
      </c>
      <c r="J2745" s="3" t="s">
        <v>447</v>
      </c>
      <c r="K2745" s="32">
        <v>3055207</v>
      </c>
    </row>
    <row r="2746" spans="2:13" x14ac:dyDescent="0.3">
      <c r="B2746" s="44">
        <v>46039</v>
      </c>
      <c r="C2746" s="3" t="s">
        <v>416</v>
      </c>
      <c r="D2746" s="3" t="s">
        <v>495</v>
      </c>
      <c r="E2746" s="42"/>
      <c r="F2746" s="3" t="s">
        <v>712</v>
      </c>
      <c r="G2746" s="3" t="s">
        <v>164</v>
      </c>
      <c r="H2746" s="4">
        <v>3349402</v>
      </c>
      <c r="I2746" s="3" t="s">
        <v>685</v>
      </c>
      <c r="J2746" s="3" t="s">
        <v>197</v>
      </c>
      <c r="K2746" s="4">
        <v>3353300</v>
      </c>
    </row>
    <row r="2747" spans="2:13" x14ac:dyDescent="0.3">
      <c r="B2747" s="44">
        <v>46039</v>
      </c>
      <c r="C2747" s="3" t="s">
        <v>416</v>
      </c>
      <c r="D2747" s="3" t="s">
        <v>492</v>
      </c>
      <c r="E2747" s="42"/>
      <c r="F2747" s="4" t="s">
        <v>713</v>
      </c>
      <c r="G2747" s="4" t="s">
        <v>165</v>
      </c>
      <c r="H2747" s="4">
        <v>3349006</v>
      </c>
      <c r="I2747" s="3" t="s">
        <v>646</v>
      </c>
      <c r="J2747" s="3" t="s">
        <v>159</v>
      </c>
      <c r="K2747" s="4">
        <v>3354403</v>
      </c>
    </row>
    <row r="2748" spans="2:13" x14ac:dyDescent="0.3">
      <c r="B2748" s="44">
        <v>46039</v>
      </c>
      <c r="C2748" s="3" t="s">
        <v>416</v>
      </c>
      <c r="D2748" s="3" t="s">
        <v>62</v>
      </c>
      <c r="E2748" s="42"/>
      <c r="F2748" s="4" t="s">
        <v>663</v>
      </c>
      <c r="G2748" s="4" t="s">
        <v>280</v>
      </c>
      <c r="H2748" s="4">
        <v>3198103</v>
      </c>
      <c r="I2748" s="3" t="s">
        <v>471</v>
      </c>
      <c r="J2748" s="3" t="s">
        <v>328</v>
      </c>
      <c r="K2748" s="4">
        <v>3196803</v>
      </c>
    </row>
    <row r="2749" spans="2:13" x14ac:dyDescent="0.3">
      <c r="B2749" s="44">
        <v>46039</v>
      </c>
      <c r="C2749" s="3" t="s">
        <v>416</v>
      </c>
      <c r="D2749" s="3" t="s">
        <v>493</v>
      </c>
      <c r="E2749" s="42"/>
      <c r="F2749" s="3" t="s">
        <v>663</v>
      </c>
      <c r="G2749" s="3" t="s">
        <v>173</v>
      </c>
      <c r="H2749" s="4">
        <v>3349308</v>
      </c>
      <c r="I2749" s="4" t="s">
        <v>471</v>
      </c>
      <c r="J2749" s="4" t="s">
        <v>190</v>
      </c>
      <c r="K2749" s="4">
        <v>3348205</v>
      </c>
    </row>
    <row r="2750" spans="2:13" x14ac:dyDescent="0.3">
      <c r="B2750" s="44">
        <v>46039</v>
      </c>
      <c r="C2750" s="3" t="s">
        <v>416</v>
      </c>
      <c r="D2750" s="3" t="s">
        <v>500</v>
      </c>
      <c r="E2750" s="42"/>
      <c r="F2750" s="3" t="s">
        <v>663</v>
      </c>
      <c r="G2750" s="3" t="s">
        <v>239</v>
      </c>
      <c r="H2750" s="4">
        <v>3348809</v>
      </c>
      <c r="I2750" s="4" t="s">
        <v>471</v>
      </c>
      <c r="J2750" s="4" t="s">
        <v>467</v>
      </c>
      <c r="K2750" s="4">
        <v>3819409</v>
      </c>
    </row>
    <row r="2751" spans="2:13" x14ac:dyDescent="0.3">
      <c r="B2751" s="44">
        <v>46039</v>
      </c>
      <c r="C2751" s="3" t="s">
        <v>416</v>
      </c>
      <c r="D2751" s="3" t="s">
        <v>69</v>
      </c>
      <c r="E2751" s="42"/>
      <c r="F2751" s="3" t="s">
        <v>663</v>
      </c>
      <c r="G2751" s="3" t="s">
        <v>362</v>
      </c>
      <c r="H2751" s="4">
        <v>3197406</v>
      </c>
      <c r="I2751" s="3" t="s">
        <v>479</v>
      </c>
      <c r="J2751" s="3" t="s">
        <v>392</v>
      </c>
      <c r="K2751" s="53">
        <v>3210706</v>
      </c>
    </row>
    <row r="2752" spans="2:13" x14ac:dyDescent="0.3">
      <c r="B2752" s="44">
        <v>46039</v>
      </c>
      <c r="C2752" s="3" t="s">
        <v>416</v>
      </c>
      <c r="D2752" s="3" t="s">
        <v>56</v>
      </c>
      <c r="E2752" s="42"/>
      <c r="F2752" s="4" t="s">
        <v>471</v>
      </c>
      <c r="G2752" s="4" t="s">
        <v>441</v>
      </c>
      <c r="H2752" s="4">
        <v>3023409</v>
      </c>
      <c r="I2752" s="3" t="s">
        <v>646</v>
      </c>
      <c r="J2752" s="3" t="s">
        <v>251</v>
      </c>
      <c r="K2752" s="4">
        <v>3036704</v>
      </c>
    </row>
    <row r="2753" spans="2:11" x14ac:dyDescent="0.3">
      <c r="B2753" s="44">
        <v>46039</v>
      </c>
      <c r="C2753" s="3" t="s">
        <v>416</v>
      </c>
      <c r="D2753" s="3" t="s">
        <v>487</v>
      </c>
      <c r="E2753" s="4"/>
      <c r="F2753" s="4" t="s">
        <v>471</v>
      </c>
      <c r="G2753" s="4" t="s">
        <v>133</v>
      </c>
      <c r="H2753" s="4">
        <v>3348705</v>
      </c>
      <c r="I2753" s="3" t="s">
        <v>695</v>
      </c>
      <c r="J2753" s="3" t="s">
        <v>101</v>
      </c>
      <c r="K2753" s="4">
        <v>3067305</v>
      </c>
    </row>
    <row r="2754" spans="2:11" x14ac:dyDescent="0.3">
      <c r="B2754" s="44">
        <v>46039</v>
      </c>
      <c r="C2754" s="3" t="s">
        <v>416</v>
      </c>
      <c r="D2754" s="3" t="s">
        <v>590</v>
      </c>
      <c r="E2754" s="42"/>
      <c r="F2754" s="4" t="s">
        <v>471</v>
      </c>
      <c r="G2754" s="4" t="s">
        <v>291</v>
      </c>
      <c r="H2754" s="4">
        <v>3196709</v>
      </c>
      <c r="I2754" s="3" t="s">
        <v>699</v>
      </c>
      <c r="J2754" s="3" t="s">
        <v>594</v>
      </c>
      <c r="K2754" s="4">
        <v>3196407</v>
      </c>
    </row>
    <row r="2755" spans="2:11" x14ac:dyDescent="0.3">
      <c r="B2755" s="44">
        <v>46039</v>
      </c>
      <c r="C2755" s="3" t="s">
        <v>416</v>
      </c>
      <c r="D2755" s="3" t="s">
        <v>493</v>
      </c>
      <c r="E2755" s="42"/>
      <c r="F2755" s="3" t="s">
        <v>471</v>
      </c>
      <c r="G2755" s="3" t="s">
        <v>217</v>
      </c>
      <c r="H2755" s="4">
        <v>3348309</v>
      </c>
      <c r="I2755" s="4" t="s">
        <v>479</v>
      </c>
      <c r="J2755" s="4" t="s">
        <v>211</v>
      </c>
      <c r="K2755" s="4">
        <v>3361204</v>
      </c>
    </row>
    <row r="2756" spans="2:11" x14ac:dyDescent="0.3">
      <c r="B2756" s="44">
        <v>46039</v>
      </c>
      <c r="C2756" s="3" t="s">
        <v>416</v>
      </c>
      <c r="D2756" s="3" t="s">
        <v>69</v>
      </c>
      <c r="E2756" s="42"/>
      <c r="F2756" s="3" t="s">
        <v>471</v>
      </c>
      <c r="G2756" s="3" t="s">
        <v>364</v>
      </c>
      <c r="H2756" s="4">
        <v>3197000</v>
      </c>
      <c r="I2756" s="3" t="s">
        <v>657</v>
      </c>
      <c r="J2756" s="3" t="s">
        <v>393</v>
      </c>
      <c r="K2756" s="4">
        <v>3209701</v>
      </c>
    </row>
    <row r="2757" spans="2:11" x14ac:dyDescent="0.3">
      <c r="B2757" s="44">
        <v>46039</v>
      </c>
      <c r="C2757" s="3" t="s">
        <v>416</v>
      </c>
      <c r="D2757" s="3" t="s">
        <v>497</v>
      </c>
      <c r="E2757" s="42"/>
      <c r="F2757" s="15" t="s">
        <v>471</v>
      </c>
      <c r="G2757" s="15" t="s">
        <v>240</v>
      </c>
      <c r="H2757" s="74">
        <v>3348403</v>
      </c>
      <c r="I2757" s="3" t="s">
        <v>681</v>
      </c>
      <c r="J2757" s="3" t="s">
        <v>175</v>
      </c>
      <c r="K2757" s="74">
        <v>3347800</v>
      </c>
    </row>
    <row r="2758" spans="2:11" x14ac:dyDescent="0.3">
      <c r="B2758" s="44">
        <v>46039</v>
      </c>
      <c r="C2758" s="3" t="s">
        <v>416</v>
      </c>
      <c r="D2758" s="3" t="s">
        <v>487</v>
      </c>
      <c r="E2758" s="4"/>
      <c r="F2758" s="4" t="s">
        <v>692</v>
      </c>
      <c r="G2758" s="4" t="s">
        <v>115</v>
      </c>
      <c r="H2758" s="4">
        <v>3068106</v>
      </c>
      <c r="I2758" s="3" t="s">
        <v>709</v>
      </c>
      <c r="J2758" s="3" t="s">
        <v>111</v>
      </c>
      <c r="K2758" s="4">
        <v>3354601</v>
      </c>
    </row>
    <row r="2759" spans="2:11" x14ac:dyDescent="0.3">
      <c r="B2759" s="44">
        <v>46039</v>
      </c>
      <c r="C2759" s="3" t="s">
        <v>416</v>
      </c>
      <c r="D2759" s="3" t="s">
        <v>70</v>
      </c>
      <c r="E2759" s="42"/>
      <c r="F2759" s="3" t="s">
        <v>692</v>
      </c>
      <c r="G2759" s="3" t="s">
        <v>378</v>
      </c>
      <c r="H2759" s="4">
        <v>3197802</v>
      </c>
      <c r="I2759" s="3" t="s">
        <v>689</v>
      </c>
      <c r="J2759" s="3" t="s">
        <v>404</v>
      </c>
      <c r="K2759" s="53">
        <v>3196605</v>
      </c>
    </row>
    <row r="2760" spans="2:11" x14ac:dyDescent="0.3">
      <c r="B2760" s="44">
        <v>46039</v>
      </c>
      <c r="C2760" s="3" t="s">
        <v>416</v>
      </c>
      <c r="D2760" s="3" t="s">
        <v>498</v>
      </c>
      <c r="E2760" s="42"/>
      <c r="F2760" s="3" t="s">
        <v>692</v>
      </c>
      <c r="G2760" s="3" t="s">
        <v>223</v>
      </c>
      <c r="H2760" s="4">
        <v>3348007</v>
      </c>
      <c r="I2760" s="3" t="s">
        <v>472</v>
      </c>
      <c r="J2760" s="3" t="s">
        <v>219</v>
      </c>
      <c r="K2760" s="4">
        <v>3357608</v>
      </c>
    </row>
    <row r="2761" spans="2:11" x14ac:dyDescent="0.3">
      <c r="B2761" s="44">
        <v>46039</v>
      </c>
      <c r="C2761" s="3" t="s">
        <v>416</v>
      </c>
      <c r="D2761" s="3" t="s">
        <v>488</v>
      </c>
      <c r="E2761" s="42"/>
      <c r="F2761" s="4" t="s">
        <v>698</v>
      </c>
      <c r="G2761" s="4" t="s">
        <v>561</v>
      </c>
      <c r="H2761" s="4" t="s">
        <v>563</v>
      </c>
      <c r="I2761" s="3" t="s">
        <v>703</v>
      </c>
      <c r="J2761" s="3" t="s">
        <v>560</v>
      </c>
      <c r="K2761" s="4" t="s">
        <v>562</v>
      </c>
    </row>
    <row r="2762" spans="2:11" x14ac:dyDescent="0.3">
      <c r="B2762" s="44">
        <v>46039</v>
      </c>
      <c r="C2762" s="3" t="s">
        <v>416</v>
      </c>
      <c r="D2762" s="3" t="s">
        <v>58</v>
      </c>
      <c r="E2762" s="42"/>
      <c r="F2762" s="3" t="s">
        <v>698</v>
      </c>
      <c r="G2762" s="3" t="s">
        <v>587</v>
      </c>
      <c r="H2762" s="4" t="s">
        <v>563</v>
      </c>
      <c r="I2762" s="3" t="s">
        <v>697</v>
      </c>
      <c r="J2762" s="3" t="s">
        <v>262</v>
      </c>
      <c r="K2762" s="32">
        <v>3055405</v>
      </c>
    </row>
    <row r="2763" spans="2:11" x14ac:dyDescent="0.3">
      <c r="B2763" s="44">
        <v>46039</v>
      </c>
      <c r="C2763" s="3" t="s">
        <v>416</v>
      </c>
      <c r="D2763" s="3" t="s">
        <v>495</v>
      </c>
      <c r="E2763" s="42"/>
      <c r="F2763" s="3" t="s">
        <v>699</v>
      </c>
      <c r="G2763" s="3" t="s">
        <v>569</v>
      </c>
      <c r="H2763" s="4">
        <v>3125708</v>
      </c>
      <c r="I2763" s="3" t="s">
        <v>713</v>
      </c>
      <c r="J2763" s="3" t="s">
        <v>199</v>
      </c>
      <c r="K2763" s="4">
        <v>3349100</v>
      </c>
    </row>
    <row r="2764" spans="2:11" x14ac:dyDescent="0.3">
      <c r="B2764" s="44">
        <v>46039</v>
      </c>
      <c r="C2764" s="3" t="s">
        <v>416</v>
      </c>
      <c r="D2764" s="3" t="s">
        <v>69</v>
      </c>
      <c r="E2764" s="42"/>
      <c r="F2764" s="3" t="s">
        <v>681</v>
      </c>
      <c r="G2764" s="3" t="s">
        <v>365</v>
      </c>
      <c r="H2764" s="4">
        <v>3195804</v>
      </c>
      <c r="I2764" s="3" t="s">
        <v>655</v>
      </c>
      <c r="J2764" s="3" t="s">
        <v>394</v>
      </c>
      <c r="K2764" s="4">
        <v>3201105</v>
      </c>
    </row>
    <row r="2765" spans="2:11" x14ac:dyDescent="0.3">
      <c r="B2765" s="44">
        <v>46039</v>
      </c>
      <c r="C2765" s="3" t="s">
        <v>416</v>
      </c>
      <c r="D2765" s="3" t="s">
        <v>492</v>
      </c>
      <c r="E2765" s="42"/>
      <c r="F2765" s="4" t="s">
        <v>670</v>
      </c>
      <c r="G2765" s="4" t="s">
        <v>145</v>
      </c>
      <c r="H2765" s="4">
        <v>3347404</v>
      </c>
      <c r="I2765" s="3" t="s">
        <v>719</v>
      </c>
      <c r="J2765" s="3" t="s">
        <v>155</v>
      </c>
      <c r="K2765" s="4">
        <v>3361600</v>
      </c>
    </row>
    <row r="2766" spans="2:11" x14ac:dyDescent="0.3">
      <c r="B2766" s="44">
        <v>46039</v>
      </c>
      <c r="C2766" s="3" t="s">
        <v>416</v>
      </c>
      <c r="D2766" s="3" t="s">
        <v>592</v>
      </c>
      <c r="E2766" s="42"/>
      <c r="F2766" s="3" t="s">
        <v>670</v>
      </c>
      <c r="G2766" s="3" t="s">
        <v>636</v>
      </c>
      <c r="H2766" s="74">
        <v>3195502</v>
      </c>
      <c r="I2766" s="3" t="s">
        <v>682</v>
      </c>
      <c r="J2766" s="3" t="s">
        <v>635</v>
      </c>
      <c r="K2766" s="74">
        <v>3969700</v>
      </c>
    </row>
    <row r="2767" spans="2:11" x14ac:dyDescent="0.3">
      <c r="B2767" s="44">
        <v>46039</v>
      </c>
      <c r="C2767" s="3" t="s">
        <v>416</v>
      </c>
      <c r="D2767" s="3" t="s">
        <v>492</v>
      </c>
      <c r="E2767" s="42"/>
      <c r="F2767" s="4" t="s">
        <v>673</v>
      </c>
      <c r="G2767" s="4" t="s">
        <v>134</v>
      </c>
      <c r="H2767" s="4">
        <v>3347102</v>
      </c>
      <c r="I2767" s="3" t="s">
        <v>714</v>
      </c>
      <c r="J2767" s="3" t="s">
        <v>162</v>
      </c>
      <c r="K2767" s="4">
        <v>3348903</v>
      </c>
    </row>
    <row r="2768" spans="2:11" x14ac:dyDescent="0.3">
      <c r="B2768" s="44">
        <v>46039</v>
      </c>
      <c r="C2768" s="3" t="s">
        <v>416</v>
      </c>
      <c r="D2768" s="3" t="s">
        <v>495</v>
      </c>
      <c r="E2768" s="42"/>
      <c r="F2768" s="3" t="s">
        <v>673</v>
      </c>
      <c r="G2768" s="3" t="s">
        <v>200</v>
      </c>
      <c r="H2768" s="53">
        <v>3901004</v>
      </c>
      <c r="I2768" s="3" t="s">
        <v>666</v>
      </c>
      <c r="J2768" s="3" t="s">
        <v>193</v>
      </c>
      <c r="K2768" s="4">
        <v>3357108</v>
      </c>
    </row>
    <row r="2769" spans="2:14" x14ac:dyDescent="0.3">
      <c r="B2769" s="44">
        <v>46039</v>
      </c>
      <c r="C2769" s="3" t="s">
        <v>416</v>
      </c>
      <c r="D2769" s="3" t="s">
        <v>64</v>
      </c>
      <c r="E2769" s="42">
        <v>4370907</v>
      </c>
      <c r="F2769" s="3" t="s">
        <v>717</v>
      </c>
      <c r="G2769" s="3" t="s">
        <v>432</v>
      </c>
      <c r="H2769" s="4">
        <v>3195106</v>
      </c>
      <c r="I2769" s="4" t="s">
        <v>646</v>
      </c>
      <c r="J2769" s="4" t="s">
        <v>349</v>
      </c>
      <c r="K2769" s="4">
        <v>3202500</v>
      </c>
    </row>
    <row r="2770" spans="2:14" x14ac:dyDescent="0.3">
      <c r="B2770" s="44">
        <v>46039</v>
      </c>
      <c r="C2770" s="3" t="s">
        <v>416</v>
      </c>
      <c r="D2770" s="3" t="s">
        <v>67</v>
      </c>
      <c r="E2770" s="42"/>
      <c r="F2770" s="4" t="s">
        <v>717</v>
      </c>
      <c r="G2770" s="4" t="s">
        <v>435</v>
      </c>
      <c r="H2770" s="4">
        <v>3195200</v>
      </c>
      <c r="I2770" s="3" t="s">
        <v>647</v>
      </c>
      <c r="J2770" s="3" t="s">
        <v>345</v>
      </c>
      <c r="K2770" s="4">
        <v>3194003</v>
      </c>
    </row>
    <row r="2771" spans="2:14" x14ac:dyDescent="0.3">
      <c r="B2771" s="44">
        <v>46039</v>
      </c>
      <c r="C2771" s="3" t="s">
        <v>416</v>
      </c>
      <c r="D2771" s="3" t="s">
        <v>501</v>
      </c>
      <c r="E2771" s="42"/>
      <c r="F2771" s="3" t="s">
        <v>717</v>
      </c>
      <c r="G2771" s="3" t="s">
        <v>583</v>
      </c>
      <c r="H2771" s="4">
        <v>4022908</v>
      </c>
      <c r="I2771" s="3" t="s">
        <v>682</v>
      </c>
      <c r="J2771" s="3" t="s">
        <v>579</v>
      </c>
      <c r="K2771" s="53">
        <v>3970007</v>
      </c>
      <c r="L2771" s="4"/>
      <c r="M2771" s="4"/>
      <c r="N2771" s="4"/>
    </row>
    <row r="2772" spans="2:14" x14ac:dyDescent="0.3">
      <c r="B2772" s="44">
        <v>46039</v>
      </c>
      <c r="C2772" s="3" t="s">
        <v>416</v>
      </c>
      <c r="D2772" s="3" t="s">
        <v>62</v>
      </c>
      <c r="E2772" s="42"/>
      <c r="F2772" s="4" t="s">
        <v>679</v>
      </c>
      <c r="G2772" s="4" t="s">
        <v>292</v>
      </c>
      <c r="H2772" s="4">
        <v>3195304</v>
      </c>
      <c r="I2772" s="3" t="s">
        <v>676</v>
      </c>
      <c r="J2772" s="3" t="s">
        <v>286</v>
      </c>
      <c r="K2772" s="4">
        <v>3019605</v>
      </c>
    </row>
    <row r="2773" spans="2:14" x14ac:dyDescent="0.3">
      <c r="B2773" s="44">
        <v>46039</v>
      </c>
      <c r="C2773" s="3" t="s">
        <v>416</v>
      </c>
      <c r="D2773" s="3" t="s">
        <v>500</v>
      </c>
      <c r="E2773" s="42"/>
      <c r="F2773" s="3" t="s">
        <v>679</v>
      </c>
      <c r="G2773" s="3" t="s">
        <v>466</v>
      </c>
      <c r="H2773" s="4">
        <v>3346707</v>
      </c>
      <c r="I2773" s="4" t="s">
        <v>691</v>
      </c>
      <c r="J2773" s="4" t="s">
        <v>238</v>
      </c>
      <c r="K2773" s="4">
        <v>3350105</v>
      </c>
    </row>
    <row r="2774" spans="2:14" x14ac:dyDescent="0.3">
      <c r="B2774" s="44">
        <v>46039</v>
      </c>
      <c r="C2774" s="3" t="s">
        <v>416</v>
      </c>
      <c r="D2774" s="3" t="s">
        <v>487</v>
      </c>
      <c r="E2774" s="4"/>
      <c r="F2774" s="4" t="s">
        <v>721</v>
      </c>
      <c r="G2774" s="4" t="s">
        <v>124</v>
      </c>
      <c r="H2774" s="4">
        <v>3267501</v>
      </c>
      <c r="I2774" s="3" t="s">
        <v>647</v>
      </c>
      <c r="J2774" s="3" t="s">
        <v>116</v>
      </c>
      <c r="K2774" s="4">
        <v>3346009</v>
      </c>
    </row>
    <row r="2775" spans="2:14" x14ac:dyDescent="0.3">
      <c r="B2775" s="44">
        <v>46039</v>
      </c>
      <c r="C2775" s="3" t="s">
        <v>416</v>
      </c>
      <c r="D2775" s="3" t="s">
        <v>58</v>
      </c>
      <c r="E2775" s="42"/>
      <c r="F2775" s="3" t="s">
        <v>721</v>
      </c>
      <c r="G2775" s="3" t="s">
        <v>271</v>
      </c>
      <c r="H2775" s="4">
        <v>3194701</v>
      </c>
      <c r="I2775" s="3" t="s">
        <v>703</v>
      </c>
      <c r="J2775" s="3" t="s">
        <v>586</v>
      </c>
      <c r="K2775" s="32" t="s">
        <v>588</v>
      </c>
    </row>
    <row r="2776" spans="2:14" x14ac:dyDescent="0.3">
      <c r="B2776" s="44">
        <v>46039</v>
      </c>
      <c r="C2776" s="3" t="s">
        <v>416</v>
      </c>
      <c r="D2776" s="3" t="s">
        <v>60</v>
      </c>
      <c r="E2776" s="42"/>
      <c r="F2776" s="3" t="s">
        <v>721</v>
      </c>
      <c r="G2776" s="3" t="s">
        <v>300</v>
      </c>
      <c r="H2776" s="4">
        <v>3194805</v>
      </c>
      <c r="I2776" s="3" t="s">
        <v>706</v>
      </c>
      <c r="J2776" s="3" t="s">
        <v>299</v>
      </c>
      <c r="K2776" s="32">
        <v>3199102</v>
      </c>
    </row>
    <row r="2777" spans="2:14" x14ac:dyDescent="0.3">
      <c r="B2777" s="44">
        <v>46039</v>
      </c>
      <c r="C2777" s="3" t="s">
        <v>416</v>
      </c>
      <c r="D2777" s="3" t="s">
        <v>489</v>
      </c>
      <c r="E2777" s="4"/>
      <c r="F2777" s="3" t="s">
        <v>688</v>
      </c>
      <c r="G2777" s="3" t="s">
        <v>10</v>
      </c>
      <c r="H2777" s="4">
        <v>3036204</v>
      </c>
      <c r="I2777" s="4" t="s">
        <v>712</v>
      </c>
      <c r="J2777" s="4" t="s">
        <v>132</v>
      </c>
      <c r="K2777" s="4">
        <v>3068304</v>
      </c>
    </row>
    <row r="2778" spans="2:14" x14ac:dyDescent="0.3">
      <c r="B2778" s="44">
        <v>46039</v>
      </c>
      <c r="C2778" s="3" t="s">
        <v>416</v>
      </c>
      <c r="D2778" s="3" t="s">
        <v>56</v>
      </c>
      <c r="E2778" s="42"/>
      <c r="F2778" s="4" t="s">
        <v>688</v>
      </c>
      <c r="G2778" s="4" t="s">
        <v>264</v>
      </c>
      <c r="H2778" s="4">
        <v>3055603</v>
      </c>
      <c r="I2778" s="3" t="s">
        <v>475</v>
      </c>
      <c r="J2778" s="3" t="s">
        <v>256</v>
      </c>
      <c r="K2778" s="4">
        <v>3068700</v>
      </c>
    </row>
    <row r="2779" spans="2:14" x14ac:dyDescent="0.3">
      <c r="B2779" s="44">
        <v>46039</v>
      </c>
      <c r="C2779" s="3" t="s">
        <v>416</v>
      </c>
      <c r="D2779" s="3" t="s">
        <v>70</v>
      </c>
      <c r="E2779" s="42"/>
      <c r="F2779" s="3" t="s">
        <v>688</v>
      </c>
      <c r="G2779" s="3" t="s">
        <v>460</v>
      </c>
      <c r="H2779" s="4">
        <v>3194503</v>
      </c>
      <c r="I2779" s="3" t="s">
        <v>688</v>
      </c>
      <c r="J2779" s="3" t="s">
        <v>379</v>
      </c>
      <c r="K2779" s="4">
        <v>3194409</v>
      </c>
    </row>
    <row r="2780" spans="2:14" x14ac:dyDescent="0.3">
      <c r="B2780" s="44">
        <v>46039</v>
      </c>
      <c r="C2780" s="3" t="s">
        <v>416</v>
      </c>
      <c r="D2780" s="3" t="s">
        <v>504</v>
      </c>
      <c r="E2780" s="42"/>
      <c r="F2780" s="4" t="s">
        <v>720</v>
      </c>
      <c r="G2780" s="4" t="s">
        <v>13</v>
      </c>
      <c r="H2780" s="4">
        <v>3125906</v>
      </c>
      <c r="I2780" s="3" t="s">
        <v>662</v>
      </c>
      <c r="J2780" s="3" t="s">
        <v>99</v>
      </c>
      <c r="K2780" s="4">
        <v>3125604</v>
      </c>
    </row>
    <row r="2781" spans="2:14" x14ac:dyDescent="0.3">
      <c r="B2781" s="44">
        <v>46039</v>
      </c>
      <c r="C2781" s="3" t="s">
        <v>416</v>
      </c>
      <c r="D2781" s="3" t="s">
        <v>61</v>
      </c>
      <c r="E2781" s="42"/>
      <c r="F2781" s="4" t="s">
        <v>720</v>
      </c>
      <c r="G2781" s="4" t="s">
        <v>335</v>
      </c>
      <c r="H2781" s="4">
        <v>3194201</v>
      </c>
      <c r="I2781" s="73" t="s">
        <v>680</v>
      </c>
      <c r="J2781" s="73" t="s">
        <v>302</v>
      </c>
      <c r="K2781" s="4">
        <v>3208400</v>
      </c>
    </row>
    <row r="2782" spans="2:14" x14ac:dyDescent="0.3">
      <c r="B2782" s="44">
        <v>46039</v>
      </c>
      <c r="C2782" s="3" t="s">
        <v>416</v>
      </c>
      <c r="D2782" s="3" t="s">
        <v>57</v>
      </c>
      <c r="E2782" s="42"/>
      <c r="F2782" s="4" t="s">
        <v>647</v>
      </c>
      <c r="G2782" s="4" t="s">
        <v>282</v>
      </c>
      <c r="H2782" s="4">
        <v>3193900</v>
      </c>
      <c r="I2782" s="3" t="s">
        <v>682</v>
      </c>
      <c r="J2782" s="3" t="s">
        <v>584</v>
      </c>
      <c r="K2782" s="4">
        <v>3069303</v>
      </c>
    </row>
    <row r="2783" spans="2:14" x14ac:dyDescent="0.3">
      <c r="B2783" s="44">
        <v>46039</v>
      </c>
      <c r="C2783" s="3" t="s">
        <v>416</v>
      </c>
      <c r="D2783" s="3" t="s">
        <v>494</v>
      </c>
      <c r="E2783" s="42"/>
      <c r="F2783" s="4" t="s">
        <v>647</v>
      </c>
      <c r="G2783" s="4" t="s">
        <v>191</v>
      </c>
      <c r="H2783" s="4">
        <v>3345708</v>
      </c>
      <c r="I2783" s="3" t="s">
        <v>692</v>
      </c>
      <c r="J2783" s="3" t="s">
        <v>144</v>
      </c>
      <c r="K2783" s="4">
        <v>3347904</v>
      </c>
    </row>
    <row r="2784" spans="2:14" x14ac:dyDescent="0.3">
      <c r="B2784" s="44">
        <v>46039</v>
      </c>
      <c r="C2784" s="3" t="s">
        <v>416</v>
      </c>
      <c r="D2784" s="3" t="s">
        <v>498</v>
      </c>
      <c r="E2784" s="42"/>
      <c r="F2784" s="3" t="s">
        <v>647</v>
      </c>
      <c r="G2784" s="3" t="s">
        <v>225</v>
      </c>
      <c r="H2784" s="4">
        <v>3345802</v>
      </c>
      <c r="I2784" s="3" t="s">
        <v>475</v>
      </c>
      <c r="J2784" s="3" t="s">
        <v>184</v>
      </c>
      <c r="K2784" s="53">
        <v>3363004</v>
      </c>
    </row>
    <row r="2785" spans="2:11" x14ac:dyDescent="0.3">
      <c r="B2785" s="44">
        <v>46039</v>
      </c>
      <c r="C2785" s="3" t="s">
        <v>416</v>
      </c>
      <c r="D2785" s="3" t="s">
        <v>592</v>
      </c>
      <c r="E2785" s="42"/>
      <c r="F2785" s="3" t="s">
        <v>647</v>
      </c>
      <c r="G2785" s="3" t="s">
        <v>405</v>
      </c>
      <c r="H2785" s="74">
        <v>3901108</v>
      </c>
      <c r="I2785" s="3" t="s">
        <v>570</v>
      </c>
      <c r="J2785" s="3" t="s">
        <v>570</v>
      </c>
      <c r="K2785" s="4" t="s">
        <v>556</v>
      </c>
    </row>
    <row r="2786" spans="2:11" x14ac:dyDescent="0.3">
      <c r="B2786" s="44">
        <v>46039</v>
      </c>
      <c r="C2786" s="3" t="s">
        <v>416</v>
      </c>
      <c r="D2786" s="3" t="s">
        <v>496</v>
      </c>
      <c r="E2786" s="42"/>
      <c r="F2786" s="4" t="s">
        <v>687</v>
      </c>
      <c r="G2786" s="4" t="s">
        <v>207</v>
      </c>
      <c r="H2786" s="4">
        <v>3346801</v>
      </c>
      <c r="I2786" s="3" t="s">
        <v>675</v>
      </c>
      <c r="J2786" s="3" t="s">
        <v>198</v>
      </c>
      <c r="K2786" s="4">
        <v>3350803</v>
      </c>
    </row>
    <row r="2787" spans="2:11" x14ac:dyDescent="0.3">
      <c r="B2787" s="44">
        <v>46039</v>
      </c>
      <c r="C2787" s="3" t="s">
        <v>416</v>
      </c>
      <c r="D2787" s="3" t="s">
        <v>59</v>
      </c>
      <c r="E2787" s="42"/>
      <c r="F2787" s="4" t="s">
        <v>687</v>
      </c>
      <c r="G2787" s="4" t="s">
        <v>283</v>
      </c>
      <c r="H2787" s="4">
        <v>3194107</v>
      </c>
      <c r="I2787" s="3" t="s">
        <v>710</v>
      </c>
      <c r="J2787" s="3" t="s">
        <v>279</v>
      </c>
      <c r="K2787" s="4">
        <v>3199706</v>
      </c>
    </row>
    <row r="2788" spans="2:11" x14ac:dyDescent="0.3">
      <c r="B2788" s="44">
        <v>46046</v>
      </c>
      <c r="C2788" s="3" t="s">
        <v>416</v>
      </c>
      <c r="D2788" s="3" t="s">
        <v>504</v>
      </c>
      <c r="E2788" s="42"/>
      <c r="F2788" s="3" t="s">
        <v>475</v>
      </c>
      <c r="G2788" s="3" t="s">
        <v>15</v>
      </c>
      <c r="H2788" s="4">
        <v>3029601</v>
      </c>
      <c r="I2788" s="4" t="s">
        <v>671</v>
      </c>
      <c r="J2788" s="4" t="s">
        <v>8</v>
      </c>
      <c r="K2788" s="4">
        <v>3034008</v>
      </c>
    </row>
    <row r="2789" spans="2:11" x14ac:dyDescent="0.3">
      <c r="B2789" s="44">
        <v>46046</v>
      </c>
      <c r="C2789" s="3" t="s">
        <v>416</v>
      </c>
      <c r="D2789" s="3" t="s">
        <v>487</v>
      </c>
      <c r="E2789" s="4"/>
      <c r="F2789" s="3" t="s">
        <v>475</v>
      </c>
      <c r="G2789" s="3" t="s">
        <v>96</v>
      </c>
      <c r="H2789" s="4">
        <v>3067107</v>
      </c>
      <c r="I2789" s="4" t="s">
        <v>657</v>
      </c>
      <c r="J2789" s="4" t="s">
        <v>107</v>
      </c>
      <c r="K2789" s="4">
        <v>3068408</v>
      </c>
    </row>
    <row r="2790" spans="2:11" x14ac:dyDescent="0.3">
      <c r="B2790" s="44">
        <v>46046</v>
      </c>
      <c r="C2790" s="3" t="s">
        <v>416</v>
      </c>
      <c r="D2790" s="3" t="s">
        <v>56</v>
      </c>
      <c r="E2790" s="42"/>
      <c r="F2790" s="3" t="s">
        <v>475</v>
      </c>
      <c r="G2790" s="3" t="s">
        <v>256</v>
      </c>
      <c r="H2790" s="4">
        <v>3068700</v>
      </c>
      <c r="I2790" s="4" t="s">
        <v>472</v>
      </c>
      <c r="J2790" s="4" t="s">
        <v>248</v>
      </c>
      <c r="K2790" s="4">
        <v>3207609</v>
      </c>
    </row>
    <row r="2791" spans="2:11" x14ac:dyDescent="0.3">
      <c r="B2791" s="44">
        <v>46046</v>
      </c>
      <c r="C2791" s="3" t="s">
        <v>416</v>
      </c>
      <c r="D2791" s="3" t="s">
        <v>67</v>
      </c>
      <c r="E2791" s="42"/>
      <c r="F2791" s="4" t="s">
        <v>475</v>
      </c>
      <c r="G2791" s="4" t="s">
        <v>336</v>
      </c>
      <c r="H2791" s="4">
        <v>3211809</v>
      </c>
      <c r="I2791" s="4" t="s">
        <v>717</v>
      </c>
      <c r="J2791" s="4" t="s">
        <v>435</v>
      </c>
      <c r="K2791" s="4">
        <v>3195200</v>
      </c>
    </row>
    <row r="2792" spans="2:11" x14ac:dyDescent="0.3">
      <c r="B2792" s="44">
        <v>46046</v>
      </c>
      <c r="C2792" s="3" t="s">
        <v>416</v>
      </c>
      <c r="D2792" s="3" t="s">
        <v>498</v>
      </c>
      <c r="E2792" s="42"/>
      <c r="F2792" s="3" t="s">
        <v>475</v>
      </c>
      <c r="G2792" s="3" t="s">
        <v>184</v>
      </c>
      <c r="H2792" s="53">
        <v>3363004</v>
      </c>
      <c r="I2792" s="3" t="s">
        <v>472</v>
      </c>
      <c r="J2792" s="3" t="s">
        <v>244</v>
      </c>
      <c r="K2792" s="4">
        <v>3357504</v>
      </c>
    </row>
    <row r="2793" spans="2:11" x14ac:dyDescent="0.3">
      <c r="B2793" s="44">
        <v>46046</v>
      </c>
      <c r="C2793" s="3" t="s">
        <v>416</v>
      </c>
      <c r="D2793" s="3" t="s">
        <v>70</v>
      </c>
      <c r="E2793" s="42"/>
      <c r="F2793" s="3" t="s">
        <v>475</v>
      </c>
      <c r="G2793" s="3" t="s">
        <v>371</v>
      </c>
      <c r="H2793" s="53">
        <v>3212006</v>
      </c>
      <c r="I2793" s="3" t="s">
        <v>475</v>
      </c>
      <c r="J2793" s="3" t="s">
        <v>370</v>
      </c>
      <c r="K2793" s="4">
        <v>3211903</v>
      </c>
    </row>
    <row r="2794" spans="2:11" x14ac:dyDescent="0.3">
      <c r="B2794" s="44">
        <v>46046</v>
      </c>
      <c r="C2794" s="3" t="s">
        <v>416</v>
      </c>
      <c r="D2794" s="3" t="s">
        <v>592</v>
      </c>
      <c r="E2794" s="42"/>
      <c r="F2794" s="3" t="s">
        <v>475</v>
      </c>
      <c r="G2794" s="3" t="s">
        <v>398</v>
      </c>
      <c r="H2794" s="74">
        <v>3211601</v>
      </c>
      <c r="I2794" s="3" t="s">
        <v>682</v>
      </c>
      <c r="J2794" s="3" t="s">
        <v>635</v>
      </c>
      <c r="K2794" s="74">
        <v>3969700</v>
      </c>
    </row>
    <row r="2795" spans="2:11" x14ac:dyDescent="0.3">
      <c r="B2795" s="44">
        <v>46046</v>
      </c>
      <c r="C2795" s="3" t="s">
        <v>416</v>
      </c>
      <c r="D2795" s="3" t="s">
        <v>60</v>
      </c>
      <c r="E2795" s="42"/>
      <c r="F2795" s="32" t="s">
        <v>705</v>
      </c>
      <c r="G2795" s="32" t="s">
        <v>293</v>
      </c>
      <c r="H2795" s="15">
        <v>3211705</v>
      </c>
      <c r="I2795" s="3" t="s">
        <v>667</v>
      </c>
      <c r="J2795" s="3" t="s">
        <v>444</v>
      </c>
      <c r="K2795" s="32">
        <v>3209909</v>
      </c>
    </row>
    <row r="2796" spans="2:11" x14ac:dyDescent="0.3">
      <c r="B2796" s="44">
        <v>46046</v>
      </c>
      <c r="C2796" s="3" t="s">
        <v>416</v>
      </c>
      <c r="D2796" s="3" t="s">
        <v>590</v>
      </c>
      <c r="E2796" s="42"/>
      <c r="F2796" s="3" t="s">
        <v>648</v>
      </c>
      <c r="G2796" s="3" t="s">
        <v>449</v>
      </c>
      <c r="H2796" s="4">
        <v>3961500</v>
      </c>
      <c r="I2796" s="4" t="s">
        <v>479</v>
      </c>
      <c r="J2796" s="4" t="s">
        <v>284</v>
      </c>
      <c r="K2796" s="4">
        <v>3210904</v>
      </c>
    </row>
    <row r="2797" spans="2:11" x14ac:dyDescent="0.3">
      <c r="B2797" s="44">
        <v>46046</v>
      </c>
      <c r="C2797" s="3" t="s">
        <v>416</v>
      </c>
      <c r="D2797" s="3" t="s">
        <v>492</v>
      </c>
      <c r="E2797" s="42"/>
      <c r="F2797" s="3" t="s">
        <v>649</v>
      </c>
      <c r="G2797" s="3" t="s">
        <v>154</v>
      </c>
      <c r="H2797" s="4">
        <v>3362109</v>
      </c>
      <c r="I2797" s="4" t="s">
        <v>713</v>
      </c>
      <c r="J2797" s="4" t="s">
        <v>165</v>
      </c>
      <c r="K2797" s="4">
        <v>3349006</v>
      </c>
    </row>
    <row r="2798" spans="2:11" x14ac:dyDescent="0.3">
      <c r="B2798" s="44">
        <v>46046</v>
      </c>
      <c r="C2798" s="3" t="s">
        <v>416</v>
      </c>
      <c r="D2798" s="3" t="s">
        <v>496</v>
      </c>
      <c r="E2798" s="42"/>
      <c r="F2798" s="3" t="s">
        <v>651</v>
      </c>
      <c r="G2798" s="3" t="s">
        <v>202</v>
      </c>
      <c r="H2798" s="74">
        <v>3361808</v>
      </c>
      <c r="I2798" s="4" t="s">
        <v>474</v>
      </c>
      <c r="J2798" s="4" t="s">
        <v>426</v>
      </c>
      <c r="K2798" s="4">
        <v>3352603</v>
      </c>
    </row>
    <row r="2799" spans="2:11" x14ac:dyDescent="0.3">
      <c r="B2799" s="44">
        <v>46046</v>
      </c>
      <c r="C2799" s="3" t="s">
        <v>416</v>
      </c>
      <c r="D2799" s="3" t="s">
        <v>492</v>
      </c>
      <c r="E2799" s="42"/>
      <c r="F2799" s="3" t="s">
        <v>719</v>
      </c>
      <c r="G2799" s="3" t="s">
        <v>155</v>
      </c>
      <c r="H2799" s="4">
        <v>3361600</v>
      </c>
      <c r="I2799" s="4" t="s">
        <v>673</v>
      </c>
      <c r="J2799" s="4" t="s">
        <v>134</v>
      </c>
      <c r="K2799" s="4">
        <v>3347102</v>
      </c>
    </row>
    <row r="2800" spans="2:11" x14ac:dyDescent="0.3">
      <c r="B2800" s="44">
        <v>46046</v>
      </c>
      <c r="C2800" s="3" t="s">
        <v>416</v>
      </c>
      <c r="D2800" s="3" t="s">
        <v>490</v>
      </c>
      <c r="E2800" s="4"/>
      <c r="F2800" s="3" t="s">
        <v>653</v>
      </c>
      <c r="G2800" s="3" t="s">
        <v>126</v>
      </c>
      <c r="H2800" s="4">
        <v>3361402</v>
      </c>
      <c r="I2800" s="4" t="s">
        <v>475</v>
      </c>
      <c r="J2800" s="4" t="s">
        <v>125</v>
      </c>
      <c r="K2800" s="4">
        <v>3362807</v>
      </c>
    </row>
    <row r="2801" spans="2:11" x14ac:dyDescent="0.3">
      <c r="B2801" s="44">
        <v>46046</v>
      </c>
      <c r="C2801" s="3" t="s">
        <v>416</v>
      </c>
      <c r="D2801" s="3" t="s">
        <v>497</v>
      </c>
      <c r="E2801" s="42"/>
      <c r="F2801" s="17" t="s">
        <v>653</v>
      </c>
      <c r="G2801" s="17" t="s">
        <v>209</v>
      </c>
      <c r="H2801" s="74">
        <v>3360705</v>
      </c>
      <c r="I2801" s="17" t="s">
        <v>653</v>
      </c>
      <c r="J2801" s="17" t="s">
        <v>208</v>
      </c>
      <c r="K2801" s="74">
        <v>3361308</v>
      </c>
    </row>
    <row r="2802" spans="2:11" x14ac:dyDescent="0.3">
      <c r="B2802" s="44">
        <v>46046</v>
      </c>
      <c r="C2802" s="3" t="s">
        <v>416</v>
      </c>
      <c r="D2802" s="3" t="s">
        <v>487</v>
      </c>
      <c r="E2802" s="4"/>
      <c r="F2802" s="3" t="s">
        <v>479</v>
      </c>
      <c r="G2802" s="3" t="s">
        <v>127</v>
      </c>
      <c r="H2802" s="4">
        <v>3360809</v>
      </c>
      <c r="I2802" s="4" t="s">
        <v>721</v>
      </c>
      <c r="J2802" s="4" t="s">
        <v>124</v>
      </c>
      <c r="K2802" s="4">
        <v>3267501</v>
      </c>
    </row>
    <row r="2803" spans="2:11" x14ac:dyDescent="0.3">
      <c r="B2803" s="44">
        <v>46046</v>
      </c>
      <c r="C2803" s="3" t="s">
        <v>416</v>
      </c>
      <c r="D2803" s="3" t="s">
        <v>59</v>
      </c>
      <c r="E2803" s="42"/>
      <c r="F2803" s="4" t="s">
        <v>479</v>
      </c>
      <c r="G2803" s="4" t="s">
        <v>273</v>
      </c>
      <c r="H2803" s="4">
        <v>3211007</v>
      </c>
      <c r="I2803" s="4" t="s">
        <v>661</v>
      </c>
      <c r="J2803" s="4" t="s">
        <v>641</v>
      </c>
      <c r="K2803" s="4">
        <v>3055707</v>
      </c>
    </row>
    <row r="2804" spans="2:11" x14ac:dyDescent="0.3">
      <c r="B2804" s="44">
        <v>46046</v>
      </c>
      <c r="C2804" s="3" t="s">
        <v>416</v>
      </c>
      <c r="D2804" s="3" t="s">
        <v>62</v>
      </c>
      <c r="E2804" s="42"/>
      <c r="F2804" s="3" t="s">
        <v>479</v>
      </c>
      <c r="G2804" s="3" t="s">
        <v>319</v>
      </c>
      <c r="H2804" s="4">
        <v>3210508</v>
      </c>
      <c r="I2804" s="4" t="s">
        <v>701</v>
      </c>
      <c r="J2804" s="4" t="s">
        <v>360</v>
      </c>
      <c r="K2804" s="4">
        <v>3203801</v>
      </c>
    </row>
    <row r="2805" spans="2:11" x14ac:dyDescent="0.3">
      <c r="B2805" s="44">
        <v>46046</v>
      </c>
      <c r="C2805" s="3" t="s">
        <v>416</v>
      </c>
      <c r="D2805" s="3" t="s">
        <v>493</v>
      </c>
      <c r="E2805" s="42"/>
      <c r="F2805" s="3" t="s">
        <v>479</v>
      </c>
      <c r="G2805" s="3" t="s">
        <v>211</v>
      </c>
      <c r="H2805" s="4">
        <v>3361204</v>
      </c>
      <c r="I2805" s="4" t="s">
        <v>476</v>
      </c>
      <c r="J2805" s="4" t="s">
        <v>169</v>
      </c>
      <c r="K2805" s="4">
        <v>3356609</v>
      </c>
    </row>
    <row r="2806" spans="2:11" x14ac:dyDescent="0.3">
      <c r="B2806" s="44">
        <v>46046</v>
      </c>
      <c r="C2806" s="3" t="s">
        <v>416</v>
      </c>
      <c r="D2806" s="3" t="s">
        <v>69</v>
      </c>
      <c r="E2806" s="42"/>
      <c r="F2806" s="3" t="s">
        <v>479</v>
      </c>
      <c r="G2806" s="3" t="s">
        <v>392</v>
      </c>
      <c r="H2806" s="53">
        <v>3210706</v>
      </c>
      <c r="I2806" s="3" t="s">
        <v>694</v>
      </c>
      <c r="J2806" s="3" t="s">
        <v>402</v>
      </c>
      <c r="K2806" s="4">
        <v>3201407</v>
      </c>
    </row>
    <row r="2807" spans="2:11" x14ac:dyDescent="0.3">
      <c r="B2807" s="44">
        <v>46046</v>
      </c>
      <c r="C2807" s="3" t="s">
        <v>416</v>
      </c>
      <c r="D2807" s="3" t="s">
        <v>500</v>
      </c>
      <c r="E2807" s="42"/>
      <c r="F2807" s="3" t="s">
        <v>479</v>
      </c>
      <c r="G2807" s="3" t="s">
        <v>232</v>
      </c>
      <c r="H2807" s="4">
        <v>3360507</v>
      </c>
      <c r="I2807" s="4" t="s">
        <v>479</v>
      </c>
      <c r="J2807" s="4" t="s">
        <v>465</v>
      </c>
      <c r="K2807" s="4">
        <v>3962207</v>
      </c>
    </row>
    <row r="2808" spans="2:11" x14ac:dyDescent="0.3">
      <c r="B2808" s="44">
        <v>46046</v>
      </c>
      <c r="C2808" s="3" t="s">
        <v>416</v>
      </c>
      <c r="D2808" s="3" t="s">
        <v>593</v>
      </c>
      <c r="E2808" s="42"/>
      <c r="F2808" s="3" t="s">
        <v>479</v>
      </c>
      <c r="G2808" s="3" t="s">
        <v>628</v>
      </c>
      <c r="H2808" s="4" t="s">
        <v>642</v>
      </c>
      <c r="I2808" s="4" t="s">
        <v>476</v>
      </c>
      <c r="J2808" s="4" t="s">
        <v>630</v>
      </c>
      <c r="K2808" s="4">
        <v>3206308</v>
      </c>
    </row>
    <row r="2809" spans="2:11" x14ac:dyDescent="0.3">
      <c r="B2809" s="44">
        <v>46046</v>
      </c>
      <c r="C2809" s="3" t="s">
        <v>416</v>
      </c>
      <c r="D2809" s="3" t="s">
        <v>63</v>
      </c>
      <c r="E2809" s="42"/>
      <c r="F2809" s="3" t="s">
        <v>658</v>
      </c>
      <c r="G2809" s="3" t="s">
        <v>366</v>
      </c>
      <c r="H2809" s="74">
        <v>3210404</v>
      </c>
      <c r="I2809" s="3" t="s">
        <v>683</v>
      </c>
      <c r="J2809" s="3" t="s">
        <v>368</v>
      </c>
      <c r="K2809" s="74">
        <v>3203009</v>
      </c>
    </row>
    <row r="2810" spans="2:11" x14ac:dyDescent="0.3">
      <c r="B2810" s="44">
        <v>46046</v>
      </c>
      <c r="C2810" s="3" t="s">
        <v>416</v>
      </c>
      <c r="D2810" s="3" t="s">
        <v>490</v>
      </c>
      <c r="E2810" s="4"/>
      <c r="F2810" s="3" t="s">
        <v>480</v>
      </c>
      <c r="G2810" s="3" t="s">
        <v>420</v>
      </c>
      <c r="H2810" s="4">
        <v>3360101</v>
      </c>
      <c r="I2810" s="4" t="s">
        <v>654</v>
      </c>
      <c r="J2810" s="4" t="s">
        <v>143</v>
      </c>
      <c r="K2810" s="4">
        <v>3349704</v>
      </c>
    </row>
    <row r="2811" spans="2:11" x14ac:dyDescent="0.3">
      <c r="B2811" s="44">
        <v>46046</v>
      </c>
      <c r="C2811" s="3" t="s">
        <v>416</v>
      </c>
      <c r="D2811" s="3" t="s">
        <v>493</v>
      </c>
      <c r="E2811" s="42"/>
      <c r="F2811" s="3" t="s">
        <v>480</v>
      </c>
      <c r="G2811" s="3" t="s">
        <v>423</v>
      </c>
      <c r="H2811" s="4">
        <v>3360403</v>
      </c>
      <c r="I2811" s="4" t="s">
        <v>663</v>
      </c>
      <c r="J2811" s="4" t="s">
        <v>173</v>
      </c>
      <c r="K2811" s="4">
        <v>3349308</v>
      </c>
    </row>
    <row r="2812" spans="2:11" x14ac:dyDescent="0.3">
      <c r="B2812" s="44">
        <v>46046</v>
      </c>
      <c r="C2812" s="3" t="s">
        <v>416</v>
      </c>
      <c r="D2812" s="3" t="s">
        <v>497</v>
      </c>
      <c r="E2812" s="42"/>
      <c r="F2812" s="17" t="s">
        <v>480</v>
      </c>
      <c r="G2812" s="17" t="s">
        <v>428</v>
      </c>
      <c r="H2812" s="74">
        <v>3360309</v>
      </c>
      <c r="I2812" s="17" t="s">
        <v>657</v>
      </c>
      <c r="J2812" s="17" t="s">
        <v>213</v>
      </c>
      <c r="K2812" s="74">
        <v>3359502</v>
      </c>
    </row>
    <row r="2813" spans="2:11" x14ac:dyDescent="0.3">
      <c r="B2813" s="44">
        <v>46046</v>
      </c>
      <c r="C2813" s="3" t="s">
        <v>416</v>
      </c>
      <c r="D2813" s="3" t="s">
        <v>68</v>
      </c>
      <c r="E2813" s="42"/>
      <c r="F2813" s="15" t="s">
        <v>664</v>
      </c>
      <c r="G2813" s="15" t="s">
        <v>388</v>
      </c>
      <c r="H2813" s="74">
        <v>3165306</v>
      </c>
      <c r="I2813" s="4" t="s">
        <v>671</v>
      </c>
      <c r="J2813" s="4" t="s">
        <v>389</v>
      </c>
      <c r="K2813" s="4">
        <v>3209201</v>
      </c>
    </row>
    <row r="2814" spans="2:11" x14ac:dyDescent="0.3">
      <c r="B2814" s="44">
        <v>46046</v>
      </c>
      <c r="C2814" s="3" t="s">
        <v>416</v>
      </c>
      <c r="D2814" s="3" t="s">
        <v>490</v>
      </c>
      <c r="E2814" s="4"/>
      <c r="F2814" s="3" t="s">
        <v>660</v>
      </c>
      <c r="G2814" s="3" t="s">
        <v>137</v>
      </c>
      <c r="H2814" s="4">
        <v>3359908</v>
      </c>
      <c r="I2814" s="4" t="s">
        <v>676</v>
      </c>
      <c r="J2814" s="4" t="s">
        <v>138</v>
      </c>
      <c r="K2814" s="4">
        <v>3067805</v>
      </c>
    </row>
    <row r="2815" spans="2:11" x14ac:dyDescent="0.3">
      <c r="B2815" s="44">
        <v>46046</v>
      </c>
      <c r="C2815" s="3" t="s">
        <v>416</v>
      </c>
      <c r="D2815" s="3" t="s">
        <v>62</v>
      </c>
      <c r="E2815" s="42"/>
      <c r="F2815" s="3" t="s">
        <v>660</v>
      </c>
      <c r="G2815" s="3" t="s">
        <v>443</v>
      </c>
      <c r="H2815" s="4">
        <v>3210008</v>
      </c>
      <c r="I2815" s="4" t="s">
        <v>677</v>
      </c>
      <c r="J2815" s="4" t="s">
        <v>324</v>
      </c>
      <c r="K2815" s="4">
        <v>3201605</v>
      </c>
    </row>
    <row r="2816" spans="2:11" x14ac:dyDescent="0.3">
      <c r="B2816" s="44">
        <v>46046</v>
      </c>
      <c r="C2816" s="3" t="s">
        <v>416</v>
      </c>
      <c r="D2816" s="3" t="s">
        <v>497</v>
      </c>
      <c r="E2816" s="42"/>
      <c r="F2816" s="17" t="s">
        <v>660</v>
      </c>
      <c r="G2816" s="17" t="s">
        <v>212</v>
      </c>
      <c r="H2816" s="74">
        <v>3360007</v>
      </c>
      <c r="I2816" s="17" t="s">
        <v>691</v>
      </c>
      <c r="J2816" s="17" t="s">
        <v>215</v>
      </c>
      <c r="K2816" s="74">
        <v>3350407</v>
      </c>
    </row>
    <row r="2817" spans="2:14" x14ac:dyDescent="0.3">
      <c r="B2817" s="44">
        <v>46046</v>
      </c>
      <c r="C2817" s="3" t="s">
        <v>416</v>
      </c>
      <c r="D2817" s="3" t="s">
        <v>493</v>
      </c>
      <c r="E2817" s="42"/>
      <c r="F2817" s="3" t="s">
        <v>657</v>
      </c>
      <c r="G2817" s="3" t="s">
        <v>167</v>
      </c>
      <c r="H2817" s="4">
        <v>3359804</v>
      </c>
      <c r="I2817" s="4" t="s">
        <v>479</v>
      </c>
      <c r="J2817" s="4" t="s">
        <v>210</v>
      </c>
      <c r="K2817" s="4">
        <v>3361100</v>
      </c>
    </row>
    <row r="2818" spans="2:14" x14ac:dyDescent="0.3">
      <c r="B2818" s="44">
        <v>46046</v>
      </c>
      <c r="C2818" s="3" t="s">
        <v>416</v>
      </c>
      <c r="D2818" s="3" t="s">
        <v>69</v>
      </c>
      <c r="E2818" s="42"/>
      <c r="F2818" s="3" t="s">
        <v>657</v>
      </c>
      <c r="G2818" s="3" t="s">
        <v>393</v>
      </c>
      <c r="H2818" s="4">
        <v>3209701</v>
      </c>
      <c r="I2818" s="3" t="s">
        <v>663</v>
      </c>
      <c r="J2818" s="3" t="s">
        <v>362</v>
      </c>
      <c r="K2818" s="4">
        <v>3197406</v>
      </c>
    </row>
    <row r="2819" spans="2:14" x14ac:dyDescent="0.3">
      <c r="B2819" s="44">
        <v>46046</v>
      </c>
      <c r="C2819" s="3" t="s">
        <v>416</v>
      </c>
      <c r="D2819" s="3" t="s">
        <v>500</v>
      </c>
      <c r="E2819" s="42"/>
      <c r="F2819" s="3" t="s">
        <v>657</v>
      </c>
      <c r="G2819" s="3" t="s">
        <v>574</v>
      </c>
      <c r="H2819" s="4">
        <v>3359606</v>
      </c>
      <c r="I2819" s="4" t="s">
        <v>663</v>
      </c>
      <c r="J2819" s="4" t="s">
        <v>239</v>
      </c>
      <c r="K2819" s="4">
        <v>3348809</v>
      </c>
    </row>
    <row r="2820" spans="2:14" x14ac:dyDescent="0.3">
      <c r="B2820" s="44">
        <v>46046</v>
      </c>
      <c r="C2820" s="3" t="s">
        <v>416</v>
      </c>
      <c r="D2820" s="3" t="s">
        <v>593</v>
      </c>
      <c r="E2820" s="42"/>
      <c r="F2820" s="15" t="s">
        <v>570</v>
      </c>
      <c r="G2820" s="15" t="s">
        <v>570</v>
      </c>
      <c r="H2820" s="74" t="s">
        <v>556</v>
      </c>
      <c r="I2820" s="4" t="s">
        <v>661</v>
      </c>
      <c r="J2820" s="4" t="s">
        <v>640</v>
      </c>
      <c r="K2820" s="4">
        <v>3210102</v>
      </c>
    </row>
    <row r="2821" spans="2:14" x14ac:dyDescent="0.3">
      <c r="B2821" s="44">
        <v>46046</v>
      </c>
      <c r="C2821" s="3" t="s">
        <v>416</v>
      </c>
      <c r="D2821" s="3" t="s">
        <v>592</v>
      </c>
      <c r="E2821" s="42"/>
      <c r="F2821" s="3" t="s">
        <v>570</v>
      </c>
      <c r="G2821" s="3" t="s">
        <v>570</v>
      </c>
      <c r="H2821" s="4" t="s">
        <v>556</v>
      </c>
      <c r="I2821" s="3" t="s">
        <v>662</v>
      </c>
      <c r="J2821" s="3" t="s">
        <v>634</v>
      </c>
      <c r="K2821" s="74">
        <v>4023105</v>
      </c>
    </row>
    <row r="2822" spans="2:14" x14ac:dyDescent="0.3">
      <c r="B2822" s="44">
        <v>46046</v>
      </c>
      <c r="C2822" s="3" t="s">
        <v>416</v>
      </c>
      <c r="D2822" s="3" t="s">
        <v>499</v>
      </c>
      <c r="E2822" s="42"/>
      <c r="F2822" s="3" t="s">
        <v>723</v>
      </c>
      <c r="G2822" s="3" t="s">
        <v>599</v>
      </c>
      <c r="H2822" s="4" t="s">
        <v>556</v>
      </c>
      <c r="I2822" s="3" t="s">
        <v>651</v>
      </c>
      <c r="J2822" s="3" t="s">
        <v>226</v>
      </c>
      <c r="K2822" s="4">
        <v>3361902</v>
      </c>
      <c r="M2822" s="3" t="s">
        <v>226</v>
      </c>
      <c r="N2822" s="3" t="s">
        <v>241</v>
      </c>
    </row>
    <row r="2823" spans="2:14" x14ac:dyDescent="0.3">
      <c r="B2823" s="44">
        <v>46046</v>
      </c>
      <c r="C2823" s="3" t="s">
        <v>416</v>
      </c>
      <c r="D2823" s="3" t="s">
        <v>501</v>
      </c>
      <c r="E2823" s="42"/>
      <c r="F2823" s="3" t="s">
        <v>722</v>
      </c>
      <c r="G2823" s="3" t="s">
        <v>600</v>
      </c>
      <c r="H2823" s="4" t="s">
        <v>556</v>
      </c>
      <c r="I2823" s="3" t="s">
        <v>475</v>
      </c>
      <c r="J2823" s="3" t="s">
        <v>241</v>
      </c>
      <c r="K2823" s="4">
        <v>3362401</v>
      </c>
      <c r="L2823" s="4"/>
      <c r="M2823" s="3" t="s">
        <v>226</v>
      </c>
      <c r="N2823" s="3" t="s">
        <v>241</v>
      </c>
    </row>
    <row r="2824" spans="2:14" x14ac:dyDescent="0.3">
      <c r="B2824" s="44">
        <v>46046</v>
      </c>
      <c r="C2824" s="3" t="s">
        <v>416</v>
      </c>
      <c r="D2824" s="3" t="s">
        <v>57</v>
      </c>
      <c r="E2824" s="42"/>
      <c r="F2824" s="3" t="s">
        <v>667</v>
      </c>
      <c r="G2824" s="3" t="s">
        <v>257</v>
      </c>
      <c r="H2824" s="4">
        <v>3209805</v>
      </c>
      <c r="I2824" s="4" t="s">
        <v>680</v>
      </c>
      <c r="J2824" s="4" t="s">
        <v>266</v>
      </c>
      <c r="K2824" s="4">
        <v>3208306</v>
      </c>
    </row>
    <row r="2825" spans="2:14" x14ac:dyDescent="0.3">
      <c r="B2825" s="44">
        <v>46046</v>
      </c>
      <c r="C2825" s="3" t="s">
        <v>416</v>
      </c>
      <c r="D2825" s="3" t="s">
        <v>60</v>
      </c>
      <c r="E2825" s="42"/>
      <c r="F2825" s="3" t="s">
        <v>667</v>
      </c>
      <c r="G2825" s="3" t="s">
        <v>294</v>
      </c>
      <c r="H2825" s="4">
        <v>3209409</v>
      </c>
      <c r="I2825" s="3" t="s">
        <v>668</v>
      </c>
      <c r="J2825" s="3" t="s">
        <v>431</v>
      </c>
      <c r="K2825" s="4">
        <v>3900703</v>
      </c>
    </row>
    <row r="2826" spans="2:14" x14ac:dyDescent="0.3">
      <c r="B2826" s="44">
        <v>46046</v>
      </c>
      <c r="C2826" s="3" t="s">
        <v>416</v>
      </c>
      <c r="D2826" s="3" t="s">
        <v>56</v>
      </c>
      <c r="E2826" s="42"/>
      <c r="F2826" s="73" t="s">
        <v>671</v>
      </c>
      <c r="G2826" s="73" t="s">
        <v>247</v>
      </c>
      <c r="H2826" s="4">
        <v>3034102</v>
      </c>
      <c r="I2826" s="4" t="s">
        <v>471</v>
      </c>
      <c r="J2826" s="4" t="s">
        <v>441</v>
      </c>
      <c r="K2826" s="4">
        <v>3023409</v>
      </c>
    </row>
    <row r="2827" spans="2:14" x14ac:dyDescent="0.3">
      <c r="B2827" s="44">
        <v>46046</v>
      </c>
      <c r="C2827" s="3" t="s">
        <v>416</v>
      </c>
      <c r="D2827" s="3" t="s">
        <v>486</v>
      </c>
      <c r="E2827" s="42"/>
      <c r="F2827" s="3" t="s">
        <v>671</v>
      </c>
      <c r="G2827" s="3" t="s">
        <v>108</v>
      </c>
      <c r="H2827" s="4">
        <v>3359700</v>
      </c>
      <c r="I2827" s="4" t="s">
        <v>651</v>
      </c>
      <c r="J2827" s="4" t="s">
        <v>97</v>
      </c>
      <c r="K2827" s="4">
        <v>3362005</v>
      </c>
    </row>
    <row r="2828" spans="2:14" x14ac:dyDescent="0.3">
      <c r="B2828" s="44">
        <v>46046</v>
      </c>
      <c r="C2828" s="3" t="s">
        <v>416</v>
      </c>
      <c r="D2828" s="3" t="s">
        <v>489</v>
      </c>
      <c r="E2828" s="4"/>
      <c r="F2828" s="3" t="s">
        <v>671</v>
      </c>
      <c r="G2828" s="3" t="s">
        <v>156</v>
      </c>
      <c r="H2828" s="4">
        <v>3359200</v>
      </c>
      <c r="I2828" s="3" t="s">
        <v>662</v>
      </c>
      <c r="J2828" s="3" t="s">
        <v>139</v>
      </c>
      <c r="K2828" s="4">
        <v>3358305</v>
      </c>
    </row>
    <row r="2829" spans="2:14" x14ac:dyDescent="0.3">
      <c r="B2829" s="44">
        <v>46046</v>
      </c>
      <c r="C2829" s="3" t="s">
        <v>416</v>
      </c>
      <c r="D2829" s="3" t="s">
        <v>64</v>
      </c>
      <c r="E2829" s="42">
        <v>4370907</v>
      </c>
      <c r="F2829" s="3" t="s">
        <v>671</v>
      </c>
      <c r="G2829" s="3" t="s">
        <v>312</v>
      </c>
      <c r="H2829" s="4">
        <v>3209107</v>
      </c>
      <c r="I2829" s="4" t="s">
        <v>669</v>
      </c>
      <c r="J2829" s="4" t="s">
        <v>337</v>
      </c>
      <c r="K2829" s="4">
        <v>3209305</v>
      </c>
    </row>
    <row r="2830" spans="2:14" x14ac:dyDescent="0.3">
      <c r="B2830" s="44">
        <v>46046</v>
      </c>
      <c r="C2830" s="3" t="s">
        <v>416</v>
      </c>
      <c r="D2830" s="3" t="s">
        <v>496</v>
      </c>
      <c r="E2830" s="42"/>
      <c r="F2830" s="3" t="s">
        <v>671</v>
      </c>
      <c r="G2830" s="3" t="s">
        <v>203</v>
      </c>
      <c r="H2830" s="4">
        <v>3359304</v>
      </c>
      <c r="I2830" s="3" t="s">
        <v>671</v>
      </c>
      <c r="J2830" s="3" t="s">
        <v>227</v>
      </c>
      <c r="K2830" s="4">
        <v>3359408</v>
      </c>
    </row>
    <row r="2831" spans="2:14" x14ac:dyDescent="0.3">
      <c r="B2831" s="44">
        <v>46046</v>
      </c>
      <c r="C2831" s="3" t="s">
        <v>416</v>
      </c>
      <c r="D2831" s="3" t="s">
        <v>499</v>
      </c>
      <c r="E2831" s="42"/>
      <c r="F2831" s="3" t="s">
        <v>671</v>
      </c>
      <c r="G2831" s="3" t="s">
        <v>228</v>
      </c>
      <c r="H2831" s="53">
        <v>3358607</v>
      </c>
      <c r="I2831" s="3" t="s">
        <v>652</v>
      </c>
      <c r="J2831" s="3" t="s">
        <v>573</v>
      </c>
      <c r="K2831" s="4">
        <v>3818400</v>
      </c>
      <c r="M2831" s="4"/>
      <c r="N2831" s="4"/>
    </row>
    <row r="2832" spans="2:14" x14ac:dyDescent="0.3">
      <c r="B2832" s="44">
        <v>46046</v>
      </c>
      <c r="C2832" s="3" t="s">
        <v>416</v>
      </c>
      <c r="D2832" s="3" t="s">
        <v>58</v>
      </c>
      <c r="E2832" s="42"/>
      <c r="F2832" s="3" t="s">
        <v>659</v>
      </c>
      <c r="G2832" s="3" t="s">
        <v>265</v>
      </c>
      <c r="H2832" s="4">
        <v>3208702</v>
      </c>
      <c r="I2832" s="3" t="s">
        <v>712</v>
      </c>
      <c r="J2832" s="3" t="s">
        <v>270</v>
      </c>
      <c r="K2832" s="4">
        <v>3069605</v>
      </c>
    </row>
    <row r="2833" spans="2:11" x14ac:dyDescent="0.3">
      <c r="B2833" s="44">
        <v>46046</v>
      </c>
      <c r="C2833" s="3" t="s">
        <v>416</v>
      </c>
      <c r="D2833" s="3" t="s">
        <v>61</v>
      </c>
      <c r="E2833" s="42"/>
      <c r="F2833" s="106" t="s">
        <v>659</v>
      </c>
      <c r="G2833" s="106" t="s">
        <v>367</v>
      </c>
      <c r="H2833" s="106">
        <v>3208806</v>
      </c>
      <c r="I2833" s="4" t="s">
        <v>477</v>
      </c>
      <c r="J2833" s="4" t="s">
        <v>308</v>
      </c>
      <c r="K2833" s="4">
        <v>3199300</v>
      </c>
    </row>
    <row r="2834" spans="2:11" x14ac:dyDescent="0.3">
      <c r="B2834" s="44">
        <v>46046</v>
      </c>
      <c r="C2834" s="3" t="s">
        <v>416</v>
      </c>
      <c r="D2834" s="3" t="s">
        <v>486</v>
      </c>
      <c r="E2834" s="42"/>
      <c r="F2834" s="3" t="s">
        <v>676</v>
      </c>
      <c r="G2834" s="3" t="s">
        <v>109</v>
      </c>
      <c r="H2834" s="4">
        <v>3067701</v>
      </c>
      <c r="I2834" s="4" t="s">
        <v>680</v>
      </c>
      <c r="J2834" s="4" t="s">
        <v>98</v>
      </c>
      <c r="K2834" s="4">
        <v>3358909</v>
      </c>
    </row>
    <row r="2835" spans="2:11" x14ac:dyDescent="0.3">
      <c r="B2835" s="44">
        <v>46046</v>
      </c>
      <c r="C2835" s="3" t="s">
        <v>416</v>
      </c>
      <c r="D2835" s="3" t="s">
        <v>590</v>
      </c>
      <c r="E2835" s="42"/>
      <c r="F2835" s="3" t="s">
        <v>676</v>
      </c>
      <c r="G2835" s="3" t="s">
        <v>285</v>
      </c>
      <c r="H2835" s="4">
        <v>3208504</v>
      </c>
      <c r="I2835" s="4" t="s">
        <v>657</v>
      </c>
      <c r="J2835" s="4" t="s">
        <v>321</v>
      </c>
      <c r="K2835" s="4">
        <v>3209607</v>
      </c>
    </row>
    <row r="2836" spans="2:11" x14ac:dyDescent="0.3">
      <c r="B2836" s="44">
        <v>46046</v>
      </c>
      <c r="C2836" s="3" t="s">
        <v>416</v>
      </c>
      <c r="D2836" s="3" t="s">
        <v>62</v>
      </c>
      <c r="E2836" s="42"/>
      <c r="F2836" s="3" t="s">
        <v>676</v>
      </c>
      <c r="G2836" s="3" t="s">
        <v>286</v>
      </c>
      <c r="H2836" s="4">
        <v>3019605</v>
      </c>
      <c r="I2836" s="3" t="s">
        <v>663</v>
      </c>
      <c r="J2836" s="3" t="s">
        <v>280</v>
      </c>
      <c r="K2836" s="4">
        <v>3198103</v>
      </c>
    </row>
    <row r="2837" spans="2:11" x14ac:dyDescent="0.3">
      <c r="B2837" s="44">
        <v>46046</v>
      </c>
      <c r="C2837" s="3" t="s">
        <v>416</v>
      </c>
      <c r="D2837" s="3" t="s">
        <v>493</v>
      </c>
      <c r="E2837" s="42"/>
      <c r="F2837" s="3" t="s">
        <v>676</v>
      </c>
      <c r="G2837" s="3" t="s">
        <v>214</v>
      </c>
      <c r="H2837" s="4">
        <v>3358805</v>
      </c>
      <c r="I2837" s="4" t="s">
        <v>471</v>
      </c>
      <c r="J2837" s="4" t="s">
        <v>217</v>
      </c>
      <c r="K2837" s="4">
        <v>3348309</v>
      </c>
    </row>
    <row r="2838" spans="2:11" x14ac:dyDescent="0.3">
      <c r="B2838" s="44">
        <v>46046</v>
      </c>
      <c r="C2838" s="3" t="s">
        <v>416</v>
      </c>
      <c r="D2838" s="3" t="s">
        <v>488</v>
      </c>
      <c r="E2838" s="42"/>
      <c r="F2838" s="3" t="s">
        <v>680</v>
      </c>
      <c r="G2838" s="3" t="s">
        <v>117</v>
      </c>
      <c r="H2838" s="4">
        <v>3359002</v>
      </c>
      <c r="I2838" s="4" t="s">
        <v>697</v>
      </c>
      <c r="J2838" s="4" t="s">
        <v>122</v>
      </c>
      <c r="K2838" s="4">
        <v>3353800</v>
      </c>
    </row>
    <row r="2839" spans="2:11" x14ac:dyDescent="0.3">
      <c r="B2839" s="44">
        <v>46046</v>
      </c>
      <c r="C2839" s="3" t="s">
        <v>416</v>
      </c>
      <c r="D2839" s="3" t="s">
        <v>61</v>
      </c>
      <c r="E2839" s="42"/>
      <c r="F2839" s="73" t="s">
        <v>680</v>
      </c>
      <c r="G2839" s="73" t="s">
        <v>302</v>
      </c>
      <c r="H2839" s="4">
        <v>3208400</v>
      </c>
      <c r="I2839" s="4" t="s">
        <v>478</v>
      </c>
      <c r="J2839" s="4" t="s">
        <v>330</v>
      </c>
      <c r="K2839" s="4">
        <v>3205309</v>
      </c>
    </row>
    <row r="2840" spans="2:11" x14ac:dyDescent="0.3">
      <c r="B2840" s="44">
        <v>46046</v>
      </c>
      <c r="C2840" s="3" t="s">
        <v>416</v>
      </c>
      <c r="D2840" s="3" t="s">
        <v>66</v>
      </c>
      <c r="E2840" s="42"/>
      <c r="F2840" s="104" t="s">
        <v>680</v>
      </c>
      <c r="G2840" s="104" t="s">
        <v>603</v>
      </c>
      <c r="H2840" s="74">
        <v>3945400</v>
      </c>
      <c r="I2840" s="104" t="s">
        <v>659</v>
      </c>
      <c r="J2840" s="104" t="s">
        <v>602</v>
      </c>
      <c r="K2840" s="74">
        <v>4023001</v>
      </c>
    </row>
    <row r="2841" spans="2:11" x14ac:dyDescent="0.3">
      <c r="B2841" s="44">
        <v>46046</v>
      </c>
      <c r="C2841" s="3" t="s">
        <v>416</v>
      </c>
      <c r="D2841" s="3" t="s">
        <v>59</v>
      </c>
      <c r="E2841" s="42"/>
      <c r="F2841" s="3" t="s">
        <v>652</v>
      </c>
      <c r="G2841" s="3" t="s">
        <v>313</v>
      </c>
      <c r="H2841" s="4">
        <v>3207901</v>
      </c>
      <c r="I2841" s="3" t="s">
        <v>656</v>
      </c>
      <c r="J2841" s="3" t="s">
        <v>278</v>
      </c>
      <c r="K2841" s="4">
        <v>3199800</v>
      </c>
    </row>
    <row r="2842" spans="2:11" x14ac:dyDescent="0.3">
      <c r="B2842" s="44">
        <v>46046</v>
      </c>
      <c r="C2842" s="3" t="s">
        <v>416</v>
      </c>
      <c r="D2842" s="3" t="s">
        <v>492</v>
      </c>
      <c r="E2842" s="42"/>
      <c r="F2842" s="4" t="s">
        <v>652</v>
      </c>
      <c r="G2842" s="4" t="s">
        <v>157</v>
      </c>
      <c r="H2842" s="4">
        <v>3358503</v>
      </c>
      <c r="I2842" s="4" t="s">
        <v>648</v>
      </c>
      <c r="J2842" s="4" t="s">
        <v>201</v>
      </c>
      <c r="K2842" s="4">
        <v>3362203</v>
      </c>
    </row>
    <row r="2843" spans="2:11" x14ac:dyDescent="0.3">
      <c r="B2843" s="44">
        <v>46046</v>
      </c>
      <c r="C2843" s="3" t="s">
        <v>416</v>
      </c>
      <c r="D2843" s="3" t="s">
        <v>496</v>
      </c>
      <c r="E2843" s="42"/>
      <c r="F2843" s="3" t="s">
        <v>652</v>
      </c>
      <c r="G2843" s="3" t="s">
        <v>229</v>
      </c>
      <c r="H2843" s="4">
        <v>3358409</v>
      </c>
      <c r="I2843" s="4" t="s">
        <v>710</v>
      </c>
      <c r="J2843" s="4" t="s">
        <v>206</v>
      </c>
      <c r="K2843" s="4">
        <v>3352103</v>
      </c>
    </row>
    <row r="2844" spans="2:11" x14ac:dyDescent="0.3">
      <c r="B2844" s="44">
        <v>46046</v>
      </c>
      <c r="C2844" s="3" t="s">
        <v>416</v>
      </c>
      <c r="D2844" s="3" t="s">
        <v>68</v>
      </c>
      <c r="E2844" s="42"/>
      <c r="F2844" s="3" t="s">
        <v>652</v>
      </c>
      <c r="G2844" s="3" t="s">
        <v>625</v>
      </c>
      <c r="H2844" s="4">
        <v>3899803</v>
      </c>
      <c r="I2844" s="4" t="s">
        <v>650</v>
      </c>
      <c r="J2844" s="4" t="s">
        <v>390</v>
      </c>
      <c r="K2844" s="4">
        <v>3544509</v>
      </c>
    </row>
    <row r="2845" spans="2:11" x14ac:dyDescent="0.3">
      <c r="B2845" s="44">
        <v>46046</v>
      </c>
      <c r="C2845" s="3" t="s">
        <v>416</v>
      </c>
      <c r="D2845" s="3" t="s">
        <v>504</v>
      </c>
      <c r="E2845" s="42"/>
      <c r="F2845" s="3" t="s">
        <v>662</v>
      </c>
      <c r="G2845" s="3" t="s">
        <v>99</v>
      </c>
      <c r="H2845" s="4">
        <v>3125604</v>
      </c>
      <c r="I2845" s="3" t="s">
        <v>479</v>
      </c>
      <c r="J2845" s="3" t="s">
        <v>9</v>
      </c>
      <c r="K2845" s="4">
        <v>3033405</v>
      </c>
    </row>
    <row r="2846" spans="2:11" x14ac:dyDescent="0.3">
      <c r="B2846" s="44">
        <v>46046</v>
      </c>
      <c r="C2846" s="3" t="s">
        <v>416</v>
      </c>
      <c r="D2846" s="3" t="s">
        <v>59</v>
      </c>
      <c r="E2846" s="42"/>
      <c r="F2846" s="3" t="s">
        <v>662</v>
      </c>
      <c r="G2846" s="3" t="s">
        <v>314</v>
      </c>
      <c r="H2846" s="4">
        <v>3208004</v>
      </c>
      <c r="I2846" s="4" t="s">
        <v>687</v>
      </c>
      <c r="J2846" s="4" t="s">
        <v>283</v>
      </c>
      <c r="K2846" s="4">
        <v>3194107</v>
      </c>
    </row>
    <row r="2847" spans="2:11" x14ac:dyDescent="0.3">
      <c r="B2847" s="44">
        <v>46046</v>
      </c>
      <c r="C2847" s="3" t="s">
        <v>416</v>
      </c>
      <c r="D2847" s="3" t="s">
        <v>494</v>
      </c>
      <c r="E2847" s="42"/>
      <c r="F2847" s="3" t="s">
        <v>662</v>
      </c>
      <c r="G2847" s="3" t="s">
        <v>218</v>
      </c>
      <c r="H2847" s="4">
        <v>3358201</v>
      </c>
      <c r="I2847" s="4" t="s">
        <v>472</v>
      </c>
      <c r="J2847" s="4" t="s">
        <v>185</v>
      </c>
      <c r="K2847" s="4">
        <v>3357806</v>
      </c>
    </row>
    <row r="2848" spans="2:11" x14ac:dyDescent="0.3">
      <c r="B2848" s="44">
        <v>46046</v>
      </c>
      <c r="C2848" s="3" t="s">
        <v>416</v>
      </c>
      <c r="D2848" s="3" t="s">
        <v>67</v>
      </c>
      <c r="E2848" s="42"/>
      <c r="F2848" s="3" t="s">
        <v>662</v>
      </c>
      <c r="G2848" s="3" t="s">
        <v>373</v>
      </c>
      <c r="H2848" s="4">
        <v>3207807</v>
      </c>
      <c r="I2848" s="3" t="s">
        <v>570</v>
      </c>
      <c r="J2848" s="3" t="s">
        <v>570</v>
      </c>
      <c r="K2848" s="4" t="s">
        <v>556</v>
      </c>
    </row>
    <row r="2849" spans="2:13" x14ac:dyDescent="0.3">
      <c r="B2849" s="44">
        <v>46046</v>
      </c>
      <c r="C2849" s="3" t="s">
        <v>416</v>
      </c>
      <c r="D2849" s="3" t="s">
        <v>60</v>
      </c>
      <c r="E2849" s="42"/>
      <c r="F2849" s="3" t="s">
        <v>707</v>
      </c>
      <c r="G2849" s="3" t="s">
        <v>295</v>
      </c>
      <c r="H2849" s="4">
        <v>3207505</v>
      </c>
      <c r="I2849" s="3" t="s">
        <v>695</v>
      </c>
      <c r="J2849" s="3" t="s">
        <v>296</v>
      </c>
      <c r="K2849" s="4">
        <v>3203905</v>
      </c>
    </row>
    <row r="2850" spans="2:13" x14ac:dyDescent="0.3">
      <c r="B2850" s="44">
        <v>46046</v>
      </c>
      <c r="C2850" s="3" t="s">
        <v>416</v>
      </c>
      <c r="D2850" s="3" t="s">
        <v>504</v>
      </c>
      <c r="E2850" s="42"/>
      <c r="F2850" s="3" t="s">
        <v>472</v>
      </c>
      <c r="G2850" s="3" t="s">
        <v>11</v>
      </c>
      <c r="H2850" s="4">
        <v>3034800</v>
      </c>
      <c r="I2850" s="4" t="s">
        <v>476</v>
      </c>
      <c r="J2850" s="4" t="s">
        <v>100</v>
      </c>
      <c r="K2850" s="4">
        <v>3125302</v>
      </c>
    </row>
    <row r="2851" spans="2:13" x14ac:dyDescent="0.3">
      <c r="B2851" s="44">
        <v>46046</v>
      </c>
      <c r="C2851" s="3" t="s">
        <v>416</v>
      </c>
      <c r="D2851" s="3" t="s">
        <v>490</v>
      </c>
      <c r="E2851" s="4"/>
      <c r="F2851" s="3" t="s">
        <v>472</v>
      </c>
      <c r="G2851" s="3" t="s">
        <v>140</v>
      </c>
      <c r="H2851" s="4">
        <v>3357900</v>
      </c>
      <c r="I2851" s="4" t="s">
        <v>691</v>
      </c>
      <c r="J2851" s="4" t="s">
        <v>142</v>
      </c>
      <c r="K2851" s="4">
        <v>3350501</v>
      </c>
    </row>
    <row r="2852" spans="2:13" x14ac:dyDescent="0.3">
      <c r="B2852" s="44">
        <v>46046</v>
      </c>
      <c r="C2852" s="3" t="s">
        <v>416</v>
      </c>
      <c r="D2852" s="3" t="s">
        <v>67</v>
      </c>
      <c r="E2852" s="42"/>
      <c r="F2852" s="3" t="s">
        <v>472</v>
      </c>
      <c r="G2852" s="3" t="s">
        <v>338</v>
      </c>
      <c r="H2852" s="4">
        <v>3207307</v>
      </c>
      <c r="I2852" s="4" t="s">
        <v>689</v>
      </c>
      <c r="J2852" s="4" t="s">
        <v>341</v>
      </c>
      <c r="K2852" s="4">
        <v>3197708</v>
      </c>
    </row>
    <row r="2853" spans="2:13" x14ac:dyDescent="0.3">
      <c r="B2853" s="44">
        <v>46046</v>
      </c>
      <c r="C2853" s="3" t="s">
        <v>416</v>
      </c>
      <c r="D2853" s="3" t="s">
        <v>67</v>
      </c>
      <c r="E2853" s="42"/>
      <c r="F2853" s="3" t="s">
        <v>472</v>
      </c>
      <c r="G2853" s="3" t="s">
        <v>374</v>
      </c>
      <c r="H2853" s="4">
        <v>3207203</v>
      </c>
      <c r="I2853" s="4" t="s">
        <v>708</v>
      </c>
      <c r="J2853" s="4" t="s">
        <v>339</v>
      </c>
      <c r="K2853" s="4">
        <v>3204300</v>
      </c>
    </row>
    <row r="2854" spans="2:13" x14ac:dyDescent="0.3">
      <c r="B2854" s="44">
        <v>46046</v>
      </c>
      <c r="C2854" s="3" t="s">
        <v>416</v>
      </c>
      <c r="D2854" s="3" t="s">
        <v>498</v>
      </c>
      <c r="E2854" s="42"/>
      <c r="F2854" s="3" t="s">
        <v>472</v>
      </c>
      <c r="G2854" s="3" t="s">
        <v>219</v>
      </c>
      <c r="H2854" s="4">
        <v>3357608</v>
      </c>
      <c r="I2854" s="3" t="s">
        <v>714</v>
      </c>
      <c r="J2854" s="3" t="s">
        <v>222</v>
      </c>
      <c r="K2854" s="4">
        <v>3348507</v>
      </c>
    </row>
    <row r="2855" spans="2:13" x14ac:dyDescent="0.3">
      <c r="B2855" s="44">
        <v>46046</v>
      </c>
      <c r="C2855" s="3" t="s">
        <v>416</v>
      </c>
      <c r="D2855" s="3" t="s">
        <v>501</v>
      </c>
      <c r="E2855" s="42"/>
      <c r="F2855" s="3" t="s">
        <v>472</v>
      </c>
      <c r="G2855" s="3" t="s">
        <v>578</v>
      </c>
      <c r="H2855" s="4">
        <v>4022700</v>
      </c>
      <c r="I2855" s="3" t="s">
        <v>689</v>
      </c>
      <c r="J2855" s="3" t="s">
        <v>580</v>
      </c>
      <c r="K2855" s="4">
        <v>3350001</v>
      </c>
      <c r="M2855" s="4"/>
    </row>
    <row r="2856" spans="2:13" x14ac:dyDescent="0.3">
      <c r="B2856" s="44">
        <v>46046</v>
      </c>
      <c r="C2856" s="3" t="s">
        <v>416</v>
      </c>
      <c r="D2856" s="3" t="s">
        <v>68</v>
      </c>
      <c r="E2856" s="42"/>
      <c r="F2856" s="3" t="s">
        <v>665</v>
      </c>
      <c r="G2856" s="3" t="s">
        <v>457</v>
      </c>
      <c r="H2856" s="4">
        <v>3818806</v>
      </c>
      <c r="I2856" s="4" t="s">
        <v>570</v>
      </c>
      <c r="J2856" s="4" t="s">
        <v>570</v>
      </c>
      <c r="K2856" s="4" t="s">
        <v>556</v>
      </c>
    </row>
    <row r="2857" spans="2:13" x14ac:dyDescent="0.3">
      <c r="B2857" s="44">
        <v>46046</v>
      </c>
      <c r="C2857" s="3" t="s">
        <v>416</v>
      </c>
      <c r="D2857" s="3" t="s">
        <v>499</v>
      </c>
      <c r="E2857" s="42"/>
      <c r="F2857" s="3" t="s">
        <v>665</v>
      </c>
      <c r="G2857" s="3" t="s">
        <v>461</v>
      </c>
      <c r="H2857" s="4">
        <v>3818702</v>
      </c>
      <c r="I2857" s="3" t="s">
        <v>650</v>
      </c>
      <c r="J2857" s="3" t="s">
        <v>571</v>
      </c>
      <c r="K2857" s="4">
        <v>3900505</v>
      </c>
    </row>
    <row r="2858" spans="2:13" x14ac:dyDescent="0.3">
      <c r="B2858" s="44">
        <v>46046</v>
      </c>
      <c r="C2858" s="3" t="s">
        <v>416</v>
      </c>
      <c r="D2858" s="3" t="s">
        <v>68</v>
      </c>
      <c r="E2858" s="42"/>
      <c r="F2858" s="3" t="s">
        <v>665</v>
      </c>
      <c r="G2858" s="3" t="s">
        <v>627</v>
      </c>
      <c r="H2858" s="4" t="s">
        <v>638</v>
      </c>
      <c r="I2858" s="4" t="s">
        <v>686</v>
      </c>
      <c r="J2858" s="4" t="s">
        <v>626</v>
      </c>
      <c r="K2858" s="4" t="s">
        <v>637</v>
      </c>
    </row>
    <row r="2859" spans="2:13" x14ac:dyDescent="0.3">
      <c r="B2859" s="44">
        <v>46046</v>
      </c>
      <c r="C2859" s="3" t="s">
        <v>416</v>
      </c>
      <c r="D2859" s="3" t="s">
        <v>57</v>
      </c>
      <c r="E2859" s="42"/>
      <c r="F2859" s="3" t="s">
        <v>693</v>
      </c>
      <c r="G2859" s="3" t="s">
        <v>258</v>
      </c>
      <c r="H2859" s="4">
        <v>3207109</v>
      </c>
      <c r="I2859" s="4" t="s">
        <v>666</v>
      </c>
      <c r="J2859" s="4" t="s">
        <v>259</v>
      </c>
      <c r="K2859" s="4">
        <v>3205809</v>
      </c>
    </row>
    <row r="2860" spans="2:13" x14ac:dyDescent="0.3">
      <c r="B2860" s="44">
        <v>46046</v>
      </c>
      <c r="C2860" s="3" t="s">
        <v>416</v>
      </c>
      <c r="D2860" s="3" t="s">
        <v>590</v>
      </c>
      <c r="E2860" s="42"/>
      <c r="F2860" s="3" t="s">
        <v>693</v>
      </c>
      <c r="G2860" s="3" t="s">
        <v>322</v>
      </c>
      <c r="H2860" s="4">
        <v>3207005</v>
      </c>
      <c r="I2860" s="4" t="s">
        <v>471</v>
      </c>
      <c r="J2860" s="4" t="s">
        <v>291</v>
      </c>
      <c r="K2860" s="4">
        <v>3196709</v>
      </c>
    </row>
    <row r="2861" spans="2:13" x14ac:dyDescent="0.3">
      <c r="B2861" s="44">
        <v>46046</v>
      </c>
      <c r="C2861" s="3" t="s">
        <v>416</v>
      </c>
      <c r="D2861" s="3" t="s">
        <v>489</v>
      </c>
      <c r="E2861" s="4"/>
      <c r="F2861" s="4" t="s">
        <v>476</v>
      </c>
      <c r="G2861" s="4" t="s">
        <v>128</v>
      </c>
      <c r="H2861" s="4">
        <v>3357202</v>
      </c>
      <c r="I2861" s="4" t="s">
        <v>682</v>
      </c>
      <c r="J2861" s="4" t="s">
        <v>564</v>
      </c>
      <c r="K2861" s="4">
        <v>3969804</v>
      </c>
    </row>
    <row r="2862" spans="2:13" x14ac:dyDescent="0.3">
      <c r="B2862" s="44">
        <v>46046</v>
      </c>
      <c r="C2862" s="3" t="s">
        <v>416</v>
      </c>
      <c r="D2862" s="3" t="s">
        <v>59</v>
      </c>
      <c r="E2862" s="42"/>
      <c r="F2862" s="3" t="s">
        <v>476</v>
      </c>
      <c r="G2862" s="3" t="s">
        <v>274</v>
      </c>
      <c r="H2862" s="4">
        <v>3206902</v>
      </c>
      <c r="I2862" s="4" t="s">
        <v>681</v>
      </c>
      <c r="J2862" s="4" t="s">
        <v>281</v>
      </c>
      <c r="K2862" s="4">
        <v>3195700</v>
      </c>
    </row>
    <row r="2863" spans="2:13" x14ac:dyDescent="0.3">
      <c r="B2863" s="44">
        <v>46046</v>
      </c>
      <c r="C2863" s="3" t="s">
        <v>416</v>
      </c>
      <c r="D2863" s="3" t="s">
        <v>490</v>
      </c>
      <c r="E2863" s="4"/>
      <c r="F2863" s="3" t="s">
        <v>476</v>
      </c>
      <c r="G2863" s="3" t="s">
        <v>168</v>
      </c>
      <c r="H2863" s="4">
        <v>3356505</v>
      </c>
      <c r="I2863" s="4" t="s">
        <v>479</v>
      </c>
      <c r="J2863" s="4" t="s">
        <v>136</v>
      </c>
      <c r="K2863" s="4">
        <v>3360903</v>
      </c>
    </row>
    <row r="2864" spans="2:13" x14ac:dyDescent="0.3">
      <c r="B2864" s="44">
        <v>46046</v>
      </c>
      <c r="C2864" s="3" t="s">
        <v>416</v>
      </c>
      <c r="D2864" s="3" t="s">
        <v>62</v>
      </c>
      <c r="E2864" s="42"/>
      <c r="F2864" s="3" t="s">
        <v>476</v>
      </c>
      <c r="G2864" s="3" t="s">
        <v>323</v>
      </c>
      <c r="H2864" s="4">
        <v>3206506</v>
      </c>
      <c r="I2864" s="4" t="s">
        <v>476</v>
      </c>
      <c r="J2864" s="4" t="s">
        <v>287</v>
      </c>
      <c r="K2864" s="4">
        <v>3206600</v>
      </c>
    </row>
    <row r="2865" spans="2:11" x14ac:dyDescent="0.3">
      <c r="B2865" s="44">
        <v>46046</v>
      </c>
      <c r="C2865" s="3" t="s">
        <v>416</v>
      </c>
      <c r="D2865" s="3" t="s">
        <v>65</v>
      </c>
      <c r="E2865" s="42"/>
      <c r="F2865" s="3" t="s">
        <v>476</v>
      </c>
      <c r="G2865" s="3" t="s">
        <v>358</v>
      </c>
      <c r="H2865" s="4">
        <v>3206402</v>
      </c>
      <c r="I2865" s="4" t="s">
        <v>676</v>
      </c>
      <c r="J2865" s="4" t="s">
        <v>356</v>
      </c>
      <c r="K2865" s="4">
        <v>3208608</v>
      </c>
    </row>
    <row r="2866" spans="2:11" x14ac:dyDescent="0.3">
      <c r="B2866" s="44">
        <v>46046</v>
      </c>
      <c r="C2866" s="3" t="s">
        <v>416</v>
      </c>
      <c r="D2866" s="3" t="s">
        <v>497</v>
      </c>
      <c r="E2866" s="42"/>
      <c r="F2866" s="17" t="s">
        <v>476</v>
      </c>
      <c r="G2866" s="17" t="s">
        <v>234</v>
      </c>
      <c r="H2866" s="74">
        <v>3356807</v>
      </c>
      <c r="I2866" s="3" t="s">
        <v>654</v>
      </c>
      <c r="J2866" s="3" t="s">
        <v>438</v>
      </c>
      <c r="K2866" s="74">
        <v>3906207</v>
      </c>
    </row>
    <row r="2867" spans="2:11" x14ac:dyDescent="0.3">
      <c r="B2867" s="44">
        <v>46046</v>
      </c>
      <c r="C2867" s="3" t="s">
        <v>416</v>
      </c>
      <c r="D2867" s="3" t="s">
        <v>500</v>
      </c>
      <c r="E2867" s="42"/>
      <c r="F2867" s="3" t="s">
        <v>476</v>
      </c>
      <c r="G2867" s="3" t="s">
        <v>575</v>
      </c>
      <c r="H2867" s="4">
        <v>3900005</v>
      </c>
      <c r="I2867" s="4" t="s">
        <v>672</v>
      </c>
      <c r="J2867" s="4" t="s">
        <v>187</v>
      </c>
      <c r="K2867" s="4">
        <v>3354101</v>
      </c>
    </row>
    <row r="2868" spans="2:11" x14ac:dyDescent="0.3">
      <c r="B2868" s="44">
        <v>46046</v>
      </c>
      <c r="C2868" s="3" t="s">
        <v>416</v>
      </c>
      <c r="D2868" s="3" t="s">
        <v>504</v>
      </c>
      <c r="E2868" s="42"/>
      <c r="F2868" s="4" t="s">
        <v>666</v>
      </c>
      <c r="G2868" s="4" t="s">
        <v>12</v>
      </c>
      <c r="H2868" s="4">
        <v>3034206</v>
      </c>
      <c r="I2868" s="4" t="s">
        <v>480</v>
      </c>
      <c r="J2868" s="4" t="s">
        <v>505</v>
      </c>
      <c r="K2868" s="4">
        <v>3033207</v>
      </c>
    </row>
    <row r="2869" spans="2:11" x14ac:dyDescent="0.3">
      <c r="B2869" s="44">
        <v>46046</v>
      </c>
      <c r="C2869" s="3" t="s">
        <v>416</v>
      </c>
      <c r="D2869" s="3" t="s">
        <v>492</v>
      </c>
      <c r="E2869" s="42"/>
      <c r="F2869" s="3" t="s">
        <v>666</v>
      </c>
      <c r="G2869" s="3" t="s">
        <v>158</v>
      </c>
      <c r="H2869" s="4">
        <v>3356901</v>
      </c>
      <c r="I2869" s="4" t="s">
        <v>646</v>
      </c>
      <c r="J2869" s="4" t="s">
        <v>194</v>
      </c>
      <c r="K2869" s="4">
        <v>3354205</v>
      </c>
    </row>
    <row r="2870" spans="2:11" x14ac:dyDescent="0.3">
      <c r="B2870" s="44">
        <v>46046</v>
      </c>
      <c r="C2870" s="3" t="s">
        <v>416</v>
      </c>
      <c r="D2870" s="3" t="s">
        <v>495</v>
      </c>
      <c r="E2870" s="42"/>
      <c r="F2870" s="3" t="s">
        <v>666</v>
      </c>
      <c r="G2870" s="3" t="s">
        <v>192</v>
      </c>
      <c r="H2870" s="53">
        <v>3357004</v>
      </c>
      <c r="I2870" s="3" t="s">
        <v>713</v>
      </c>
      <c r="J2870" s="3" t="s">
        <v>199</v>
      </c>
      <c r="K2870" s="4">
        <v>3349100</v>
      </c>
    </row>
    <row r="2871" spans="2:11" x14ac:dyDescent="0.3">
      <c r="B2871" s="44">
        <v>46046</v>
      </c>
      <c r="C2871" s="3" t="s">
        <v>416</v>
      </c>
      <c r="D2871" s="3" t="s">
        <v>495</v>
      </c>
      <c r="E2871" s="42"/>
      <c r="F2871" s="3" t="s">
        <v>666</v>
      </c>
      <c r="G2871" s="3" t="s">
        <v>193</v>
      </c>
      <c r="H2871" s="4">
        <v>3357108</v>
      </c>
      <c r="I2871" s="3" t="s">
        <v>712</v>
      </c>
      <c r="J2871" s="3" t="s">
        <v>164</v>
      </c>
      <c r="K2871" s="4">
        <v>3349402</v>
      </c>
    </row>
    <row r="2872" spans="2:11" x14ac:dyDescent="0.3">
      <c r="B2872" s="44">
        <v>46046</v>
      </c>
      <c r="C2872" s="3" t="s">
        <v>416</v>
      </c>
      <c r="D2872" s="4" t="s">
        <v>614</v>
      </c>
      <c r="E2872" s="42"/>
      <c r="F2872" s="3" t="s">
        <v>666</v>
      </c>
      <c r="G2872" s="3" t="s">
        <v>453</v>
      </c>
      <c r="H2872" s="4">
        <v>3206006</v>
      </c>
      <c r="I2872" s="4" t="s">
        <v>714</v>
      </c>
      <c r="J2872" s="4" t="s">
        <v>454</v>
      </c>
      <c r="K2872" s="4">
        <v>3820300</v>
      </c>
    </row>
    <row r="2873" spans="2:11" x14ac:dyDescent="0.3">
      <c r="B2873" s="44">
        <v>46046</v>
      </c>
      <c r="C2873" s="3" t="s">
        <v>416</v>
      </c>
      <c r="D2873" s="3" t="s">
        <v>57</v>
      </c>
      <c r="E2873" s="42"/>
      <c r="F2873" s="73" t="s">
        <v>478</v>
      </c>
      <c r="G2873" s="73" t="s">
        <v>260</v>
      </c>
      <c r="H2873" s="15">
        <v>3205705</v>
      </c>
      <c r="I2873" s="3" t="s">
        <v>645</v>
      </c>
      <c r="J2873" s="3" t="s">
        <v>263</v>
      </c>
      <c r="K2873" s="4">
        <v>3198707</v>
      </c>
    </row>
    <row r="2874" spans="2:11" x14ac:dyDescent="0.3">
      <c r="B2874" s="44">
        <v>46046</v>
      </c>
      <c r="C2874" s="3" t="s">
        <v>416</v>
      </c>
      <c r="D2874" s="3" t="s">
        <v>58</v>
      </c>
      <c r="E2874" s="42"/>
      <c r="F2874" s="32" t="s">
        <v>478</v>
      </c>
      <c r="G2874" s="32" t="s">
        <v>267</v>
      </c>
      <c r="H2874" s="15">
        <v>3205205</v>
      </c>
      <c r="I2874" s="3" t="s">
        <v>698</v>
      </c>
      <c r="J2874" s="3" t="s">
        <v>587</v>
      </c>
      <c r="K2874" s="32" t="s">
        <v>563</v>
      </c>
    </row>
    <row r="2875" spans="2:11" x14ac:dyDescent="0.3">
      <c r="B2875" s="44">
        <v>46046</v>
      </c>
      <c r="C2875" s="3" t="s">
        <v>416</v>
      </c>
      <c r="D2875" s="3" t="s">
        <v>488</v>
      </c>
      <c r="E2875" s="42"/>
      <c r="F2875" s="4" t="s">
        <v>690</v>
      </c>
      <c r="G2875" s="4" t="s">
        <v>118</v>
      </c>
      <c r="H2875" s="4">
        <v>3356005</v>
      </c>
      <c r="I2875" s="4" t="s">
        <v>684</v>
      </c>
      <c r="J2875" s="4" t="s">
        <v>121</v>
      </c>
      <c r="K2875" s="4">
        <v>3354309</v>
      </c>
    </row>
    <row r="2876" spans="2:11" x14ac:dyDescent="0.3">
      <c r="B2876" s="44">
        <v>46046</v>
      </c>
      <c r="C2876" s="3" t="s">
        <v>416</v>
      </c>
      <c r="D2876" s="3" t="s">
        <v>56</v>
      </c>
      <c r="E2876" s="42"/>
      <c r="F2876" s="3" t="s">
        <v>690</v>
      </c>
      <c r="G2876" s="3" t="s">
        <v>250</v>
      </c>
      <c r="H2876" s="4">
        <v>3070100</v>
      </c>
      <c r="I2876" s="4" t="s">
        <v>661</v>
      </c>
      <c r="J2876" s="4" t="s">
        <v>439</v>
      </c>
      <c r="K2876" s="4">
        <v>3023701</v>
      </c>
    </row>
    <row r="2877" spans="2:11" x14ac:dyDescent="0.3">
      <c r="B2877" s="44">
        <v>46046</v>
      </c>
      <c r="C2877" s="3" t="s">
        <v>416</v>
      </c>
      <c r="D2877" s="3" t="s">
        <v>61</v>
      </c>
      <c r="E2877" s="42"/>
      <c r="F2877" s="3" t="s">
        <v>690</v>
      </c>
      <c r="G2877" s="3" t="s">
        <v>304</v>
      </c>
      <c r="H2877" s="4">
        <v>3204404</v>
      </c>
      <c r="I2877" s="4" t="s">
        <v>720</v>
      </c>
      <c r="J2877" s="4" t="s">
        <v>335</v>
      </c>
      <c r="K2877" s="4">
        <v>3194201</v>
      </c>
    </row>
    <row r="2878" spans="2:11" x14ac:dyDescent="0.3">
      <c r="B2878" s="44">
        <v>46046</v>
      </c>
      <c r="C2878" s="3" t="s">
        <v>416</v>
      </c>
      <c r="D2878" s="3" t="s">
        <v>491</v>
      </c>
      <c r="E2878" s="42"/>
      <c r="F2878" s="4" t="s">
        <v>690</v>
      </c>
      <c r="G2878" s="4" t="s">
        <v>179</v>
      </c>
      <c r="H2878" s="4">
        <v>3818900</v>
      </c>
      <c r="I2878" s="3" t="s">
        <v>478</v>
      </c>
      <c r="J2878" s="3" t="s">
        <v>463</v>
      </c>
      <c r="K2878" s="74">
        <v>3125500</v>
      </c>
    </row>
    <row r="2879" spans="2:11" x14ac:dyDescent="0.3">
      <c r="B2879" s="44">
        <v>46046</v>
      </c>
      <c r="C2879" s="3" t="s">
        <v>416</v>
      </c>
      <c r="D2879" s="3" t="s">
        <v>66</v>
      </c>
      <c r="E2879" s="42"/>
      <c r="F2879" s="3" t="s">
        <v>690</v>
      </c>
      <c r="G2879" s="3" t="s">
        <v>605</v>
      </c>
      <c r="H2879" s="74">
        <v>3900109</v>
      </c>
      <c r="I2879" s="3" t="s">
        <v>478</v>
      </c>
      <c r="J2879" s="3" t="s">
        <v>604</v>
      </c>
      <c r="K2879" s="74">
        <v>3205507</v>
      </c>
    </row>
    <row r="2880" spans="2:11" x14ac:dyDescent="0.3">
      <c r="B2880" s="44">
        <v>46046</v>
      </c>
      <c r="C2880" s="3" t="s">
        <v>416</v>
      </c>
      <c r="D2880" s="3" t="s">
        <v>65</v>
      </c>
      <c r="E2880" s="42"/>
      <c r="F2880" s="3" t="s">
        <v>718</v>
      </c>
      <c r="G2880" s="3" t="s">
        <v>359</v>
      </c>
      <c r="H2880" s="4">
        <v>3204602</v>
      </c>
      <c r="I2880" s="4" t="s">
        <v>693</v>
      </c>
      <c r="J2880" s="4" t="s">
        <v>357</v>
      </c>
      <c r="K2880" s="4">
        <v>3206704</v>
      </c>
    </row>
    <row r="2881" spans="2:13" x14ac:dyDescent="0.3">
      <c r="B2881" s="44">
        <v>46046</v>
      </c>
      <c r="C2881" s="3" t="s">
        <v>416</v>
      </c>
      <c r="D2881" s="3" t="s">
        <v>486</v>
      </c>
      <c r="E2881" s="42"/>
      <c r="F2881" s="4" t="s">
        <v>682</v>
      </c>
      <c r="G2881" s="4" t="s">
        <v>559</v>
      </c>
      <c r="H2881" s="4">
        <v>3969200</v>
      </c>
      <c r="I2881" s="4" t="s">
        <v>646</v>
      </c>
      <c r="J2881" s="4" t="s">
        <v>102</v>
      </c>
      <c r="K2881" s="4">
        <v>3125406</v>
      </c>
    </row>
    <row r="2882" spans="2:13" x14ac:dyDescent="0.3">
      <c r="B2882" s="44">
        <v>46046</v>
      </c>
      <c r="C2882" s="3" t="s">
        <v>416</v>
      </c>
      <c r="D2882" s="3" t="s">
        <v>57</v>
      </c>
      <c r="E2882" s="42"/>
      <c r="F2882" s="3" t="s">
        <v>682</v>
      </c>
      <c r="G2882" s="3" t="s">
        <v>584</v>
      </c>
      <c r="H2882" s="4">
        <v>3069303</v>
      </c>
      <c r="I2882" s="32" t="s">
        <v>476</v>
      </c>
      <c r="J2882" s="32" t="s">
        <v>249</v>
      </c>
      <c r="K2882" s="15">
        <v>3038202</v>
      </c>
    </row>
    <row r="2883" spans="2:13" x14ac:dyDescent="0.3">
      <c r="B2883" s="44">
        <v>46046</v>
      </c>
      <c r="C2883" s="3" t="s">
        <v>416</v>
      </c>
      <c r="D2883" s="3" t="s">
        <v>610</v>
      </c>
      <c r="E2883" s="42"/>
      <c r="F2883" s="3" t="s">
        <v>682</v>
      </c>
      <c r="G2883" s="3" t="s">
        <v>611</v>
      </c>
      <c r="H2883" s="4">
        <v>3204800</v>
      </c>
      <c r="I2883" s="4" t="s">
        <v>646</v>
      </c>
      <c r="J2883" s="4" t="s">
        <v>350</v>
      </c>
      <c r="K2883" s="4">
        <v>3202802</v>
      </c>
    </row>
    <row r="2884" spans="2:13" x14ac:dyDescent="0.3">
      <c r="B2884" s="44">
        <v>46046</v>
      </c>
      <c r="C2884" s="3" t="s">
        <v>416</v>
      </c>
      <c r="D2884" s="3" t="s">
        <v>501</v>
      </c>
      <c r="E2884" s="42"/>
      <c r="F2884" s="3" t="s">
        <v>682</v>
      </c>
      <c r="G2884" s="3" t="s">
        <v>579</v>
      </c>
      <c r="H2884" s="53">
        <v>3970007</v>
      </c>
      <c r="I2884" s="3" t="s">
        <v>708</v>
      </c>
      <c r="J2884" s="3" t="s">
        <v>598</v>
      </c>
      <c r="K2884" s="4">
        <v>3354903</v>
      </c>
      <c r="L2884" s="4"/>
      <c r="M2884" s="4"/>
    </row>
    <row r="2885" spans="2:13" x14ac:dyDescent="0.3">
      <c r="B2885" s="44">
        <v>46046</v>
      </c>
      <c r="C2885" s="3" t="s">
        <v>416</v>
      </c>
      <c r="D2885" s="3" t="s">
        <v>488</v>
      </c>
      <c r="E2885" s="42"/>
      <c r="F2885" s="3" t="s">
        <v>702</v>
      </c>
      <c r="G2885" s="3" t="s">
        <v>119</v>
      </c>
      <c r="H2885" s="4">
        <v>3067909</v>
      </c>
      <c r="I2885" s="4" t="s">
        <v>645</v>
      </c>
      <c r="J2885" s="4" t="s">
        <v>151</v>
      </c>
      <c r="K2885" s="4">
        <v>3351208</v>
      </c>
    </row>
    <row r="2886" spans="2:13" x14ac:dyDescent="0.3">
      <c r="B2886" s="44">
        <v>46046</v>
      </c>
      <c r="C2886" s="3" t="s">
        <v>416</v>
      </c>
      <c r="D2886" s="3" t="s">
        <v>58</v>
      </c>
      <c r="E2886" s="42"/>
      <c r="F2886" s="3" t="s">
        <v>702</v>
      </c>
      <c r="G2886" s="3" t="s">
        <v>447</v>
      </c>
      <c r="H2886" s="4">
        <v>3055207</v>
      </c>
      <c r="I2886" s="3" t="s">
        <v>690</v>
      </c>
      <c r="J2886" s="3" t="s">
        <v>303</v>
      </c>
      <c r="K2886" s="4">
        <v>3205101</v>
      </c>
    </row>
    <row r="2887" spans="2:13" x14ac:dyDescent="0.3">
      <c r="B2887" s="44">
        <v>46046</v>
      </c>
      <c r="C2887" s="3" t="s">
        <v>416</v>
      </c>
      <c r="D2887" s="3" t="s">
        <v>487</v>
      </c>
      <c r="E2887" s="4"/>
      <c r="F2887" s="3" t="s">
        <v>695</v>
      </c>
      <c r="G2887" s="3" t="s">
        <v>101</v>
      </c>
      <c r="H2887" s="4">
        <v>3067305</v>
      </c>
      <c r="I2887" s="4" t="s">
        <v>692</v>
      </c>
      <c r="J2887" s="4" t="s">
        <v>115</v>
      </c>
      <c r="K2887" s="4">
        <v>3068106</v>
      </c>
    </row>
    <row r="2888" spans="2:13" x14ac:dyDescent="0.3">
      <c r="B2888" s="44">
        <v>46046</v>
      </c>
      <c r="C2888" s="3" t="s">
        <v>416</v>
      </c>
      <c r="D2888" s="3" t="s">
        <v>491</v>
      </c>
      <c r="E2888" s="42"/>
      <c r="F2888" s="3" t="s">
        <v>695</v>
      </c>
      <c r="G2888" s="3" t="s">
        <v>148</v>
      </c>
      <c r="H2888" s="4">
        <v>3355402</v>
      </c>
      <c r="I2888" s="4" t="s">
        <v>645</v>
      </c>
      <c r="J2888" s="4" t="s">
        <v>464</v>
      </c>
      <c r="K2888" s="4">
        <v>3351406</v>
      </c>
    </row>
    <row r="2889" spans="2:13" x14ac:dyDescent="0.3">
      <c r="B2889" s="44">
        <v>46046</v>
      </c>
      <c r="C2889" s="3" t="s">
        <v>416</v>
      </c>
      <c r="D2889" s="3" t="s">
        <v>488</v>
      </c>
      <c r="E2889" s="42"/>
      <c r="F2889" s="3" t="s">
        <v>704</v>
      </c>
      <c r="G2889" s="3" t="s">
        <v>120</v>
      </c>
      <c r="H2889" s="4">
        <v>3355506</v>
      </c>
      <c r="I2889" s="4" t="s">
        <v>698</v>
      </c>
      <c r="J2889" s="4" t="s">
        <v>561</v>
      </c>
      <c r="K2889" s="4" t="s">
        <v>563</v>
      </c>
    </row>
    <row r="2890" spans="2:13" x14ac:dyDescent="0.3">
      <c r="B2890" s="44">
        <v>46046</v>
      </c>
      <c r="C2890" s="3" t="s">
        <v>416</v>
      </c>
      <c r="D2890" s="3" t="s">
        <v>58</v>
      </c>
      <c r="E2890" s="42"/>
      <c r="F2890" s="3" t="s">
        <v>704</v>
      </c>
      <c r="G2890" s="3" t="s">
        <v>297</v>
      </c>
      <c r="H2890" s="4">
        <v>3204008</v>
      </c>
      <c r="I2890" s="3" t="s">
        <v>721</v>
      </c>
      <c r="J2890" s="3" t="s">
        <v>271</v>
      </c>
      <c r="K2890" s="32">
        <v>3194701</v>
      </c>
    </row>
    <row r="2891" spans="2:13" x14ac:dyDescent="0.3">
      <c r="B2891" s="44">
        <v>46046</v>
      </c>
      <c r="C2891" s="3" t="s">
        <v>416</v>
      </c>
      <c r="D2891" s="3" t="s">
        <v>60</v>
      </c>
      <c r="E2891" s="42"/>
      <c r="F2891" s="3" t="s">
        <v>473</v>
      </c>
      <c r="G2891" s="3" t="s">
        <v>298</v>
      </c>
      <c r="H2891" s="4">
        <v>3817807</v>
      </c>
      <c r="I2891" s="3" t="s">
        <v>721</v>
      </c>
      <c r="J2891" s="3" t="s">
        <v>300</v>
      </c>
      <c r="K2891" s="32">
        <v>3194805</v>
      </c>
    </row>
    <row r="2892" spans="2:13" x14ac:dyDescent="0.3">
      <c r="B2892" s="44">
        <v>46046</v>
      </c>
      <c r="C2892" s="3" t="s">
        <v>416</v>
      </c>
      <c r="D2892" s="3" t="s">
        <v>494</v>
      </c>
      <c r="E2892" s="42"/>
      <c r="F2892" s="3" t="s">
        <v>708</v>
      </c>
      <c r="G2892" s="3" t="s">
        <v>220</v>
      </c>
      <c r="H2892" s="4">
        <v>3354809</v>
      </c>
      <c r="I2892" s="4" t="s">
        <v>662</v>
      </c>
      <c r="J2892" s="4" t="s">
        <v>242</v>
      </c>
      <c r="K2892" s="4">
        <v>3358107</v>
      </c>
    </row>
    <row r="2893" spans="2:13" x14ac:dyDescent="0.3">
      <c r="B2893" s="44">
        <v>46046</v>
      </c>
      <c r="C2893" s="3" t="s">
        <v>416</v>
      </c>
      <c r="D2893" s="3" t="s">
        <v>488</v>
      </c>
      <c r="E2893" s="42"/>
      <c r="F2893" s="3" t="s">
        <v>703</v>
      </c>
      <c r="G2893" s="3" t="s">
        <v>560</v>
      </c>
      <c r="H2893" s="4" t="s">
        <v>562</v>
      </c>
      <c r="I2893" s="3" t="s">
        <v>720</v>
      </c>
      <c r="J2893" s="3" t="s">
        <v>153</v>
      </c>
      <c r="K2893" s="4">
        <v>3033405</v>
      </c>
    </row>
    <row r="2894" spans="2:13" x14ac:dyDescent="0.3">
      <c r="B2894" s="44">
        <v>46046</v>
      </c>
      <c r="C2894" s="3" t="s">
        <v>416</v>
      </c>
      <c r="D2894" s="3" t="s">
        <v>57</v>
      </c>
      <c r="E2894" s="42"/>
      <c r="F2894" s="15" t="s">
        <v>703</v>
      </c>
      <c r="G2894" s="15" t="s">
        <v>585</v>
      </c>
      <c r="H2894" s="74" t="s">
        <v>556</v>
      </c>
      <c r="I2894" s="4" t="s">
        <v>647</v>
      </c>
      <c r="J2894" s="4" t="s">
        <v>282</v>
      </c>
      <c r="K2894" s="4">
        <v>3193900</v>
      </c>
    </row>
    <row r="2895" spans="2:13" x14ac:dyDescent="0.3">
      <c r="B2895" s="44">
        <v>46046</v>
      </c>
      <c r="C2895" s="3" t="s">
        <v>416</v>
      </c>
      <c r="D2895" s="3" t="s">
        <v>58</v>
      </c>
      <c r="E2895" s="42"/>
      <c r="F2895" s="3" t="s">
        <v>703</v>
      </c>
      <c r="G2895" s="3" t="s">
        <v>586</v>
      </c>
      <c r="H2895" s="4" t="s">
        <v>588</v>
      </c>
      <c r="I2895" s="3" t="s">
        <v>683</v>
      </c>
      <c r="J2895" s="3" t="s">
        <v>305</v>
      </c>
      <c r="K2895" s="32">
        <v>3202906</v>
      </c>
    </row>
    <row r="2896" spans="2:13" x14ac:dyDescent="0.3">
      <c r="B2896" s="44">
        <v>46046</v>
      </c>
      <c r="C2896" s="3" t="s">
        <v>416</v>
      </c>
      <c r="D2896" s="3" t="s">
        <v>61</v>
      </c>
      <c r="E2896" s="42"/>
      <c r="F2896" s="3" t="s">
        <v>703</v>
      </c>
      <c r="G2896" s="3" t="s">
        <v>596</v>
      </c>
      <c r="H2896" s="4" t="s">
        <v>556</v>
      </c>
      <c r="I2896" s="4" t="s">
        <v>477</v>
      </c>
      <c r="J2896" s="4" t="s">
        <v>332</v>
      </c>
      <c r="K2896" s="4">
        <v>3199206</v>
      </c>
    </row>
    <row r="2897" spans="2:11" x14ac:dyDescent="0.3">
      <c r="B2897" s="44">
        <v>46046</v>
      </c>
      <c r="C2897" s="3" t="s">
        <v>416</v>
      </c>
      <c r="D2897" s="3" t="s">
        <v>66</v>
      </c>
      <c r="E2897" s="42"/>
      <c r="F2897" s="3" t="s">
        <v>709</v>
      </c>
      <c r="G2897" s="3" t="s">
        <v>607</v>
      </c>
      <c r="H2897" s="4">
        <v>3596309</v>
      </c>
      <c r="I2897" s="3" t="s">
        <v>703</v>
      </c>
      <c r="J2897" s="3" t="s">
        <v>606</v>
      </c>
      <c r="K2897" s="74" t="s">
        <v>588</v>
      </c>
    </row>
    <row r="2898" spans="2:11" x14ac:dyDescent="0.3">
      <c r="B2898" s="44">
        <v>46046</v>
      </c>
      <c r="C2898" s="3" t="s">
        <v>416</v>
      </c>
      <c r="D2898" s="3" t="s">
        <v>61</v>
      </c>
      <c r="E2898" s="42"/>
      <c r="F2898" s="3" t="s">
        <v>684</v>
      </c>
      <c r="G2898" s="3" t="s">
        <v>306</v>
      </c>
      <c r="H2898" s="4">
        <v>3202604</v>
      </c>
      <c r="I2898" s="3" t="s">
        <v>696</v>
      </c>
      <c r="J2898" s="3" t="s">
        <v>307</v>
      </c>
      <c r="K2898" s="4">
        <v>3201907</v>
      </c>
    </row>
    <row r="2899" spans="2:11" x14ac:dyDescent="0.3">
      <c r="B2899" s="44">
        <v>46046</v>
      </c>
      <c r="C2899" s="3" t="s">
        <v>416</v>
      </c>
      <c r="D2899" s="3" t="s">
        <v>63</v>
      </c>
      <c r="E2899" s="42"/>
      <c r="F2899" s="3" t="s">
        <v>684</v>
      </c>
      <c r="G2899" s="3" t="s">
        <v>369</v>
      </c>
      <c r="H2899" s="74">
        <v>3202708</v>
      </c>
      <c r="I2899" s="3" t="s">
        <v>478</v>
      </c>
      <c r="J2899" s="3" t="s">
        <v>331</v>
      </c>
      <c r="K2899" s="74">
        <v>3205403</v>
      </c>
    </row>
    <row r="2900" spans="2:11" x14ac:dyDescent="0.3">
      <c r="B2900" s="44">
        <v>46046</v>
      </c>
      <c r="C2900" s="3" t="s">
        <v>416</v>
      </c>
      <c r="D2900" s="3" t="s">
        <v>491</v>
      </c>
      <c r="E2900" s="42"/>
      <c r="F2900" s="104" t="s">
        <v>684</v>
      </c>
      <c r="G2900" s="104" t="s">
        <v>182</v>
      </c>
      <c r="H2900" s="53">
        <v>3900203</v>
      </c>
      <c r="I2900" s="3" t="s">
        <v>684</v>
      </c>
      <c r="J2900" s="3" t="s">
        <v>149</v>
      </c>
      <c r="K2900" s="4">
        <v>3354507</v>
      </c>
    </row>
    <row r="2901" spans="2:11" x14ac:dyDescent="0.3">
      <c r="B2901" s="44">
        <v>46046</v>
      </c>
      <c r="C2901" s="3" t="s">
        <v>416</v>
      </c>
      <c r="D2901" s="3" t="s">
        <v>56</v>
      </c>
      <c r="E2901" s="42"/>
      <c r="F2901" s="3" t="s">
        <v>646</v>
      </c>
      <c r="G2901" s="3" t="s">
        <v>251</v>
      </c>
      <c r="H2901" s="4">
        <v>3036704</v>
      </c>
      <c r="I2901" s="3" t="s">
        <v>471</v>
      </c>
      <c r="J2901" s="3" t="s">
        <v>254</v>
      </c>
      <c r="K2901" s="4">
        <v>3068908</v>
      </c>
    </row>
    <row r="2902" spans="2:11" x14ac:dyDescent="0.3">
      <c r="B2902" s="44">
        <v>46046</v>
      </c>
      <c r="C2902" s="3" t="s">
        <v>416</v>
      </c>
      <c r="D2902" s="3" t="s">
        <v>492</v>
      </c>
      <c r="E2902" s="42"/>
      <c r="F2902" s="3" t="s">
        <v>646</v>
      </c>
      <c r="G2902" s="3" t="s">
        <v>159</v>
      </c>
      <c r="H2902" s="4">
        <v>3354403</v>
      </c>
      <c r="I2902" s="4" t="s">
        <v>670</v>
      </c>
      <c r="J2902" s="4" t="s">
        <v>145</v>
      </c>
      <c r="K2902" s="4">
        <v>3347404</v>
      </c>
    </row>
    <row r="2903" spans="2:11" x14ac:dyDescent="0.3">
      <c r="B2903" s="44">
        <v>46046</v>
      </c>
      <c r="C2903" s="3" t="s">
        <v>416</v>
      </c>
      <c r="D2903" s="3" t="s">
        <v>64</v>
      </c>
      <c r="E2903" s="42">
        <v>4370907</v>
      </c>
      <c r="F2903" s="3" t="s">
        <v>646</v>
      </c>
      <c r="G2903" s="3" t="s">
        <v>349</v>
      </c>
      <c r="H2903" s="4">
        <v>3202500</v>
      </c>
      <c r="I2903" s="4" t="s">
        <v>662</v>
      </c>
      <c r="J2903" s="4" t="s">
        <v>372</v>
      </c>
      <c r="K2903" s="4">
        <v>3207703</v>
      </c>
    </row>
    <row r="2904" spans="2:11" x14ac:dyDescent="0.3">
      <c r="B2904" s="44">
        <v>46046</v>
      </c>
      <c r="C2904" s="3" t="s">
        <v>416</v>
      </c>
      <c r="D2904" s="4" t="s">
        <v>614</v>
      </c>
      <c r="E2904" s="42"/>
      <c r="F2904" s="3" t="s">
        <v>646</v>
      </c>
      <c r="G2904" s="3" t="s">
        <v>380</v>
      </c>
      <c r="H2904" s="4">
        <v>3202208</v>
      </c>
      <c r="I2904" s="4" t="s">
        <v>682</v>
      </c>
      <c r="J2904" s="4" t="s">
        <v>622</v>
      </c>
      <c r="K2904" s="4">
        <v>3969502</v>
      </c>
    </row>
    <row r="2905" spans="2:11" x14ac:dyDescent="0.3">
      <c r="B2905" s="44">
        <v>46046</v>
      </c>
      <c r="C2905" s="3" t="s">
        <v>416</v>
      </c>
      <c r="D2905" s="3" t="s">
        <v>495</v>
      </c>
      <c r="E2905" s="42"/>
      <c r="F2905" s="3" t="s">
        <v>646</v>
      </c>
      <c r="G2905" s="3" t="s">
        <v>195</v>
      </c>
      <c r="H2905" s="74">
        <v>3361600</v>
      </c>
      <c r="I2905" s="3" t="s">
        <v>685</v>
      </c>
      <c r="J2905" s="3" t="s">
        <v>196</v>
      </c>
      <c r="K2905" s="4">
        <v>3353102</v>
      </c>
    </row>
    <row r="2906" spans="2:11" x14ac:dyDescent="0.3">
      <c r="B2906" s="44">
        <v>46046</v>
      </c>
      <c r="C2906" s="3" t="s">
        <v>416</v>
      </c>
      <c r="D2906" s="3" t="s">
        <v>66</v>
      </c>
      <c r="E2906" s="42"/>
      <c r="F2906" s="3" t="s">
        <v>696</v>
      </c>
      <c r="G2906" s="3" t="s">
        <v>609</v>
      </c>
      <c r="H2906" s="74">
        <v>3900401</v>
      </c>
      <c r="I2906" s="3" t="s">
        <v>684</v>
      </c>
      <c r="J2906" s="3" t="s">
        <v>608</v>
      </c>
      <c r="K2906" s="74">
        <v>3819107</v>
      </c>
    </row>
    <row r="2907" spans="2:11" x14ac:dyDescent="0.3">
      <c r="B2907" s="44">
        <v>46046</v>
      </c>
      <c r="C2907" s="3" t="s">
        <v>416</v>
      </c>
      <c r="D2907" s="3" t="s">
        <v>489</v>
      </c>
      <c r="E2907" s="4"/>
      <c r="F2907" s="3" t="s">
        <v>672</v>
      </c>
      <c r="G2907" s="3" t="s">
        <v>129</v>
      </c>
      <c r="H2907" s="4">
        <v>3067503</v>
      </c>
      <c r="I2907" s="3" t="s">
        <v>650</v>
      </c>
      <c r="J2907" s="3" t="s">
        <v>163</v>
      </c>
      <c r="K2907" s="4">
        <v>3351802</v>
      </c>
    </row>
    <row r="2908" spans="2:11" x14ac:dyDescent="0.3">
      <c r="B2908" s="44">
        <v>46046</v>
      </c>
      <c r="C2908" s="3" t="s">
        <v>416</v>
      </c>
      <c r="D2908" s="3" t="s">
        <v>56</v>
      </c>
      <c r="E2908" s="42"/>
      <c r="F2908" s="106" t="s">
        <v>672</v>
      </c>
      <c r="G2908" s="106" t="s">
        <v>252</v>
      </c>
      <c r="H2908" s="106">
        <v>3070204</v>
      </c>
      <c r="I2908" s="4" t="s">
        <v>696</v>
      </c>
      <c r="J2908" s="4" t="s">
        <v>261</v>
      </c>
      <c r="K2908" s="4">
        <v>3202302</v>
      </c>
    </row>
    <row r="2909" spans="2:11" x14ac:dyDescent="0.3">
      <c r="B2909" s="44">
        <v>46046</v>
      </c>
      <c r="C2909" s="3" t="s">
        <v>416</v>
      </c>
      <c r="D2909" s="3" t="s">
        <v>70</v>
      </c>
      <c r="E2909" s="42"/>
      <c r="F2909" s="3" t="s">
        <v>672</v>
      </c>
      <c r="G2909" s="3" t="s">
        <v>401</v>
      </c>
      <c r="H2909" s="4">
        <v>3202000</v>
      </c>
      <c r="I2909" s="3" t="s">
        <v>692</v>
      </c>
      <c r="J2909" s="3" t="s">
        <v>378</v>
      </c>
      <c r="K2909" s="4">
        <v>3197802</v>
      </c>
    </row>
    <row r="2910" spans="2:11" x14ac:dyDescent="0.3">
      <c r="B2910" s="44">
        <v>46046</v>
      </c>
      <c r="C2910" s="3" t="s">
        <v>416</v>
      </c>
      <c r="D2910" s="3" t="s">
        <v>58</v>
      </c>
      <c r="E2910" s="42"/>
      <c r="F2910" s="3" t="s">
        <v>697</v>
      </c>
      <c r="G2910" s="3" t="s">
        <v>262</v>
      </c>
      <c r="H2910" s="4">
        <v>3055405</v>
      </c>
      <c r="I2910" s="3" t="s">
        <v>706</v>
      </c>
      <c r="J2910" s="3" t="s">
        <v>269</v>
      </c>
      <c r="K2910" s="4">
        <v>3069407</v>
      </c>
    </row>
    <row r="2911" spans="2:11" x14ac:dyDescent="0.3">
      <c r="B2911" s="44">
        <v>46046</v>
      </c>
      <c r="C2911" s="3" t="s">
        <v>416</v>
      </c>
      <c r="D2911" s="3" t="s">
        <v>491</v>
      </c>
      <c r="E2911" s="42"/>
      <c r="F2911" s="3" t="s">
        <v>697</v>
      </c>
      <c r="G2911" s="3" t="s">
        <v>150</v>
      </c>
      <c r="H2911" s="4">
        <v>3353706</v>
      </c>
      <c r="I2911" s="4" t="s">
        <v>709</v>
      </c>
      <c r="J2911" s="4" t="s">
        <v>566</v>
      </c>
      <c r="K2911" s="4">
        <v>3560703</v>
      </c>
    </row>
    <row r="2912" spans="2:11" x14ac:dyDescent="0.3">
      <c r="B2912" s="44">
        <v>46046</v>
      </c>
      <c r="C2912" s="3" t="s">
        <v>416</v>
      </c>
      <c r="D2912" s="3" t="s">
        <v>63</v>
      </c>
      <c r="E2912" s="42"/>
      <c r="F2912" s="3" t="s">
        <v>697</v>
      </c>
      <c r="G2912" s="3" t="s">
        <v>448</v>
      </c>
      <c r="H2912" s="4">
        <v>3036808</v>
      </c>
      <c r="I2912" s="3" t="s">
        <v>680</v>
      </c>
      <c r="J2912" s="3" t="s">
        <v>329</v>
      </c>
      <c r="K2912" s="74">
        <v>3208108</v>
      </c>
    </row>
    <row r="2913" spans="2:11" x14ac:dyDescent="0.3">
      <c r="B2913" s="44">
        <v>46046</v>
      </c>
      <c r="C2913" s="3" t="s">
        <v>416</v>
      </c>
      <c r="D2913" s="3" t="s">
        <v>57</v>
      </c>
      <c r="E2913" s="42"/>
      <c r="F2913" s="53" t="s">
        <v>694</v>
      </c>
      <c r="G2913" s="53" t="s">
        <v>276</v>
      </c>
      <c r="H2913" s="74">
        <v>3201709</v>
      </c>
      <c r="I2913" s="32" t="s">
        <v>709</v>
      </c>
      <c r="J2913" s="32" t="s">
        <v>268</v>
      </c>
      <c r="K2913" s="15">
        <v>3203103</v>
      </c>
    </row>
    <row r="2914" spans="2:11" x14ac:dyDescent="0.3">
      <c r="B2914" s="44">
        <v>46046</v>
      </c>
      <c r="C2914" s="3" t="s">
        <v>416</v>
      </c>
      <c r="D2914" s="3" t="s">
        <v>494</v>
      </c>
      <c r="E2914" s="42"/>
      <c r="F2914" s="4" t="s">
        <v>694</v>
      </c>
      <c r="G2914" s="4" t="s">
        <v>188</v>
      </c>
      <c r="H2914" s="4">
        <v>3353508</v>
      </c>
      <c r="I2914" s="4" t="s">
        <v>708</v>
      </c>
      <c r="J2914" s="4" t="s">
        <v>141</v>
      </c>
      <c r="K2914" s="4">
        <v>3125802</v>
      </c>
    </row>
    <row r="2915" spans="2:11" x14ac:dyDescent="0.3">
      <c r="B2915" s="44">
        <v>46046</v>
      </c>
      <c r="C2915" s="3" t="s">
        <v>416</v>
      </c>
      <c r="D2915" s="3" t="s">
        <v>62</v>
      </c>
      <c r="E2915" s="42"/>
      <c r="F2915" s="4" t="s">
        <v>694</v>
      </c>
      <c r="G2915" s="4" t="s">
        <v>340</v>
      </c>
      <c r="H2915" s="4">
        <v>3201803</v>
      </c>
      <c r="I2915" s="4" t="s">
        <v>679</v>
      </c>
      <c r="J2915" s="4" t="s">
        <v>292</v>
      </c>
      <c r="K2915" s="4">
        <v>3195304</v>
      </c>
    </row>
    <row r="2916" spans="2:11" x14ac:dyDescent="0.3">
      <c r="B2916" s="44">
        <v>46046</v>
      </c>
      <c r="C2916" s="3" t="s">
        <v>416</v>
      </c>
      <c r="D2916" s="3" t="s">
        <v>494</v>
      </c>
      <c r="E2916" s="42"/>
      <c r="F2916" s="3" t="s">
        <v>694</v>
      </c>
      <c r="G2916" s="3" t="s">
        <v>221</v>
      </c>
      <c r="H2916" s="4">
        <v>3353404</v>
      </c>
      <c r="I2916" s="4" t="s">
        <v>472</v>
      </c>
      <c r="J2916" s="4" t="s">
        <v>186</v>
      </c>
      <c r="K2916" s="4">
        <v>3357702</v>
      </c>
    </row>
    <row r="2917" spans="2:11" x14ac:dyDescent="0.3">
      <c r="B2917" s="44">
        <v>46046</v>
      </c>
      <c r="C2917" s="3" t="s">
        <v>416</v>
      </c>
      <c r="D2917" s="3" t="s">
        <v>69</v>
      </c>
      <c r="E2917" s="42"/>
      <c r="F2917" s="3" t="s">
        <v>694</v>
      </c>
      <c r="G2917" s="3" t="s">
        <v>376</v>
      </c>
      <c r="H2917" s="53">
        <v>3201303</v>
      </c>
      <c r="I2917" s="3" t="s">
        <v>681</v>
      </c>
      <c r="J2917" s="3" t="s">
        <v>365</v>
      </c>
      <c r="K2917" s="4">
        <v>3195804</v>
      </c>
    </row>
    <row r="2918" spans="2:11" x14ac:dyDescent="0.3">
      <c r="B2918" s="44">
        <v>46046</v>
      </c>
      <c r="C2918" s="3" t="s">
        <v>416</v>
      </c>
      <c r="D2918" s="3" t="s">
        <v>498</v>
      </c>
      <c r="E2918" s="42"/>
      <c r="F2918" s="3" t="s">
        <v>694</v>
      </c>
      <c r="G2918" s="3" t="s">
        <v>245</v>
      </c>
      <c r="H2918" s="4">
        <v>3352905</v>
      </c>
      <c r="I2918" s="3" t="s">
        <v>717</v>
      </c>
      <c r="J2918" s="3" t="s">
        <v>429</v>
      </c>
      <c r="K2918" s="4">
        <v>3346905</v>
      </c>
    </row>
    <row r="2919" spans="2:11" x14ac:dyDescent="0.3">
      <c r="B2919" s="44">
        <v>46046</v>
      </c>
      <c r="C2919" s="3" t="s">
        <v>416</v>
      </c>
      <c r="D2919" s="3" t="s">
        <v>593</v>
      </c>
      <c r="E2919" s="42"/>
      <c r="F2919" s="3" t="s">
        <v>694</v>
      </c>
      <c r="G2919" s="3" t="s">
        <v>632</v>
      </c>
      <c r="H2919" s="4">
        <v>4023303</v>
      </c>
      <c r="I2919" s="4" t="s">
        <v>653</v>
      </c>
      <c r="J2919" s="4" t="s">
        <v>459</v>
      </c>
      <c r="K2919" s="4">
        <v>3211101</v>
      </c>
    </row>
    <row r="2920" spans="2:11" x14ac:dyDescent="0.3">
      <c r="B2920" s="44">
        <v>46046</v>
      </c>
      <c r="C2920" s="3" t="s">
        <v>416</v>
      </c>
      <c r="D2920" s="3" t="s">
        <v>59</v>
      </c>
      <c r="E2920" s="42"/>
      <c r="F2920" s="3" t="s">
        <v>655</v>
      </c>
      <c r="G2920" s="3" t="s">
        <v>288</v>
      </c>
      <c r="H2920" s="4">
        <v>3200908</v>
      </c>
      <c r="I2920" s="4" t="s">
        <v>646</v>
      </c>
      <c r="J2920" s="4" t="s">
        <v>275</v>
      </c>
      <c r="K2920" s="4">
        <v>3202406</v>
      </c>
    </row>
    <row r="2921" spans="2:11" x14ac:dyDescent="0.3">
      <c r="B2921" s="44">
        <v>46046</v>
      </c>
      <c r="C2921" s="3" t="s">
        <v>416</v>
      </c>
      <c r="D2921" s="3" t="s">
        <v>69</v>
      </c>
      <c r="E2921" s="42"/>
      <c r="F2921" s="3" t="s">
        <v>655</v>
      </c>
      <c r="G2921" s="3" t="s">
        <v>394</v>
      </c>
      <c r="H2921" s="4">
        <v>3201105</v>
      </c>
      <c r="I2921" s="3" t="s">
        <v>691</v>
      </c>
      <c r="J2921" s="3" t="s">
        <v>395</v>
      </c>
      <c r="K2921" s="4">
        <v>3197604</v>
      </c>
    </row>
    <row r="2922" spans="2:11" x14ac:dyDescent="0.3">
      <c r="B2922" s="44">
        <v>46046</v>
      </c>
      <c r="C2922" s="3" t="s">
        <v>416</v>
      </c>
      <c r="D2922" s="3" t="s">
        <v>610</v>
      </c>
      <c r="E2922" s="42"/>
      <c r="F2922" s="3" t="s">
        <v>711</v>
      </c>
      <c r="G2922" s="3" t="s">
        <v>381</v>
      </c>
      <c r="H2922" s="4">
        <v>3201209</v>
      </c>
      <c r="I2922" s="4" t="s">
        <v>675</v>
      </c>
      <c r="J2922" s="4" t="s">
        <v>450</v>
      </c>
      <c r="K2922" s="4">
        <v>3198405</v>
      </c>
    </row>
    <row r="2923" spans="2:11" x14ac:dyDescent="0.3">
      <c r="B2923" s="44">
        <v>46046</v>
      </c>
      <c r="C2923" s="3" t="s">
        <v>416</v>
      </c>
      <c r="D2923" s="3" t="s">
        <v>610</v>
      </c>
      <c r="E2923" s="42"/>
      <c r="F2923" s="3" t="s">
        <v>685</v>
      </c>
      <c r="G2923" s="3" t="s">
        <v>382</v>
      </c>
      <c r="H2923" s="4">
        <v>3200804</v>
      </c>
      <c r="I2923" s="4" t="s">
        <v>685</v>
      </c>
      <c r="J2923" s="4" t="s">
        <v>351</v>
      </c>
      <c r="K2923" s="4">
        <v>3201001</v>
      </c>
    </row>
    <row r="2924" spans="2:11" x14ac:dyDescent="0.3">
      <c r="B2924" s="44">
        <v>46046</v>
      </c>
      <c r="C2924" s="3" t="s">
        <v>416</v>
      </c>
      <c r="D2924" s="3" t="s">
        <v>495</v>
      </c>
      <c r="E2924" s="42"/>
      <c r="F2924" s="3" t="s">
        <v>685</v>
      </c>
      <c r="G2924" s="3" t="s">
        <v>197</v>
      </c>
      <c r="H2924" s="4">
        <v>3353300</v>
      </c>
      <c r="I2924" s="3" t="s">
        <v>570</v>
      </c>
      <c r="J2924" s="3" t="s">
        <v>570</v>
      </c>
      <c r="K2924" s="4" t="s">
        <v>556</v>
      </c>
    </row>
    <row r="2925" spans="2:11" x14ac:dyDescent="0.3">
      <c r="B2925" s="44">
        <v>46046</v>
      </c>
      <c r="C2925" s="3" t="s">
        <v>416</v>
      </c>
      <c r="D2925" s="3" t="s">
        <v>56</v>
      </c>
      <c r="E2925" s="42"/>
      <c r="F2925" s="73" t="s">
        <v>474</v>
      </c>
      <c r="G2925" s="73" t="s">
        <v>253</v>
      </c>
      <c r="H2925" s="4">
        <v>3037109</v>
      </c>
      <c r="I2925" s="4" t="s">
        <v>688</v>
      </c>
      <c r="J2925" s="4" t="s">
        <v>264</v>
      </c>
      <c r="K2925" s="4">
        <v>3055603</v>
      </c>
    </row>
    <row r="2926" spans="2:11" x14ac:dyDescent="0.3">
      <c r="B2926" s="44">
        <v>46046</v>
      </c>
      <c r="C2926" s="3" t="s">
        <v>416</v>
      </c>
      <c r="D2926" s="3" t="s">
        <v>486</v>
      </c>
      <c r="E2926" s="42"/>
      <c r="F2926" s="3" t="s">
        <v>474</v>
      </c>
      <c r="G2926" s="3" t="s">
        <v>103</v>
      </c>
      <c r="H2926" s="4">
        <v>3353206</v>
      </c>
      <c r="I2926" s="4" t="s">
        <v>645</v>
      </c>
      <c r="J2926" s="4" t="s">
        <v>104</v>
      </c>
      <c r="K2926" s="4">
        <v>3036308</v>
      </c>
    </row>
    <row r="2927" spans="2:11" x14ac:dyDescent="0.3">
      <c r="B2927" s="44">
        <v>46046</v>
      </c>
      <c r="C2927" s="3" t="s">
        <v>416</v>
      </c>
      <c r="D2927" s="3" t="s">
        <v>489</v>
      </c>
      <c r="E2927" s="4"/>
      <c r="F2927" s="4" t="s">
        <v>474</v>
      </c>
      <c r="G2927" s="4" t="s">
        <v>130</v>
      </c>
      <c r="H2927" s="4">
        <v>3352405</v>
      </c>
      <c r="I2927" s="3" t="s">
        <v>688</v>
      </c>
      <c r="J2927" s="3" t="s">
        <v>10</v>
      </c>
      <c r="K2927" s="4">
        <v>3036204</v>
      </c>
    </row>
    <row r="2928" spans="2:11" x14ac:dyDescent="0.3">
      <c r="B2928" s="44">
        <v>46046</v>
      </c>
      <c r="C2928" s="3" t="s">
        <v>416</v>
      </c>
      <c r="D2928" s="3" t="s">
        <v>610</v>
      </c>
      <c r="E2928" s="42"/>
      <c r="F2928" s="3" t="s">
        <v>474</v>
      </c>
      <c r="G2928" s="3" t="s">
        <v>458</v>
      </c>
      <c r="H2928" s="4">
        <v>3200304</v>
      </c>
      <c r="I2928" s="4" t="s">
        <v>666</v>
      </c>
      <c r="J2928" s="4" t="s">
        <v>348</v>
      </c>
      <c r="K2928" s="4">
        <v>3205903</v>
      </c>
    </row>
    <row r="2929" spans="2:11" x14ac:dyDescent="0.3">
      <c r="B2929" s="44">
        <v>46046</v>
      </c>
      <c r="C2929" s="3" t="s">
        <v>416</v>
      </c>
      <c r="D2929" s="3" t="s">
        <v>68</v>
      </c>
      <c r="E2929" s="42"/>
      <c r="F2929" s="3" t="s">
        <v>474</v>
      </c>
      <c r="G2929" s="3" t="s">
        <v>383</v>
      </c>
      <c r="H2929" s="4">
        <v>3200502</v>
      </c>
      <c r="I2929" s="4" t="s">
        <v>651</v>
      </c>
      <c r="J2929" s="4" t="s">
        <v>387</v>
      </c>
      <c r="K2929" s="4">
        <v>3211403</v>
      </c>
    </row>
    <row r="2930" spans="2:11" x14ac:dyDescent="0.3">
      <c r="B2930" s="44">
        <v>46046</v>
      </c>
      <c r="C2930" s="3" t="s">
        <v>416</v>
      </c>
      <c r="D2930" s="3" t="s">
        <v>492</v>
      </c>
      <c r="E2930" s="42"/>
      <c r="F2930" s="3" t="s">
        <v>714</v>
      </c>
      <c r="G2930" s="3" t="s">
        <v>162</v>
      </c>
      <c r="H2930" s="4">
        <v>3348903</v>
      </c>
      <c r="I2930" s="3" t="s">
        <v>474</v>
      </c>
      <c r="J2930" s="3" t="s">
        <v>161</v>
      </c>
      <c r="K2930" s="4">
        <v>3352509</v>
      </c>
    </row>
    <row r="2931" spans="2:11" x14ac:dyDescent="0.3">
      <c r="B2931" s="44">
        <v>46046</v>
      </c>
      <c r="C2931" s="3" t="s">
        <v>416</v>
      </c>
      <c r="D2931" s="3" t="s">
        <v>590</v>
      </c>
      <c r="E2931" s="42"/>
      <c r="F2931" s="4" t="s">
        <v>650</v>
      </c>
      <c r="G2931" s="4" t="s">
        <v>277</v>
      </c>
      <c r="H2931" s="4">
        <v>3088400</v>
      </c>
      <c r="I2931" s="4" t="s">
        <v>474</v>
      </c>
      <c r="J2931" s="4" t="s">
        <v>317</v>
      </c>
      <c r="K2931" s="4">
        <v>3200700</v>
      </c>
    </row>
    <row r="2932" spans="2:11" x14ac:dyDescent="0.3">
      <c r="B2932" s="44">
        <v>46046</v>
      </c>
      <c r="C2932" s="3" t="s">
        <v>416</v>
      </c>
      <c r="D2932" s="3" t="s">
        <v>610</v>
      </c>
      <c r="E2932" s="42"/>
      <c r="F2932" s="3" t="s">
        <v>650</v>
      </c>
      <c r="G2932" s="3" t="s">
        <v>353</v>
      </c>
      <c r="H2932" s="4">
        <v>3200200</v>
      </c>
      <c r="I2932" s="4" t="s">
        <v>652</v>
      </c>
      <c r="J2932" s="4" t="s">
        <v>347</v>
      </c>
      <c r="K2932" s="4">
        <v>3818504</v>
      </c>
    </row>
    <row r="2933" spans="2:11" x14ac:dyDescent="0.3">
      <c r="B2933" s="44">
        <v>46046</v>
      </c>
      <c r="C2933" s="3" t="s">
        <v>416</v>
      </c>
      <c r="D2933" s="3" t="s">
        <v>69</v>
      </c>
      <c r="E2933" s="42"/>
      <c r="F2933" s="3" t="s">
        <v>656</v>
      </c>
      <c r="G2933" s="3" t="s">
        <v>361</v>
      </c>
      <c r="H2933" s="4">
        <v>3200002</v>
      </c>
      <c r="I2933" s="3" t="s">
        <v>471</v>
      </c>
      <c r="J2933" s="3" t="s">
        <v>364</v>
      </c>
      <c r="K2933" s="4">
        <v>3197000</v>
      </c>
    </row>
    <row r="2934" spans="2:11" x14ac:dyDescent="0.3">
      <c r="B2934" s="44">
        <v>46046</v>
      </c>
      <c r="C2934" s="3" t="s">
        <v>416</v>
      </c>
      <c r="D2934" s="3" t="s">
        <v>59</v>
      </c>
      <c r="E2934" s="42"/>
      <c r="F2934" s="3" t="s">
        <v>710</v>
      </c>
      <c r="G2934" s="3" t="s">
        <v>279</v>
      </c>
      <c r="H2934" s="4">
        <v>3199706</v>
      </c>
      <c r="I2934" s="4" t="s">
        <v>653</v>
      </c>
      <c r="J2934" s="4" t="s">
        <v>272</v>
      </c>
      <c r="K2934" s="4">
        <v>3211205</v>
      </c>
    </row>
    <row r="2935" spans="2:11" x14ac:dyDescent="0.3">
      <c r="B2935" s="44">
        <v>46046</v>
      </c>
      <c r="C2935" s="3" t="s">
        <v>416</v>
      </c>
      <c r="D2935" s="3" t="s">
        <v>64</v>
      </c>
      <c r="E2935" s="42">
        <v>4370907</v>
      </c>
      <c r="F2935" s="3" t="s">
        <v>710</v>
      </c>
      <c r="G2935" s="3" t="s">
        <v>354</v>
      </c>
      <c r="H2935" s="4">
        <v>3199404</v>
      </c>
      <c r="I2935" s="4" t="s">
        <v>688</v>
      </c>
      <c r="J2935" s="4" t="s">
        <v>318</v>
      </c>
      <c r="K2935" s="4">
        <v>3037401</v>
      </c>
    </row>
    <row r="2936" spans="2:11" x14ac:dyDescent="0.3">
      <c r="B2936" s="44">
        <v>46046</v>
      </c>
      <c r="C2936" s="3" t="s">
        <v>416</v>
      </c>
      <c r="D2936" s="3" t="s">
        <v>496</v>
      </c>
      <c r="E2936" s="42"/>
      <c r="F2936" s="3" t="s">
        <v>710</v>
      </c>
      <c r="G2936" s="3" t="s">
        <v>462</v>
      </c>
      <c r="H2936" s="4">
        <v>3352207</v>
      </c>
      <c r="I2936" s="4" t="s">
        <v>687</v>
      </c>
      <c r="J2936" s="4" t="s">
        <v>207</v>
      </c>
      <c r="K2936" s="4">
        <v>3346801</v>
      </c>
    </row>
    <row r="2937" spans="2:11" x14ac:dyDescent="0.3">
      <c r="B2937" s="44">
        <v>46046</v>
      </c>
      <c r="C2937" s="3" t="s">
        <v>416</v>
      </c>
      <c r="D2937" s="3" t="s">
        <v>60</v>
      </c>
      <c r="E2937" s="42"/>
      <c r="F2937" s="3" t="s">
        <v>706</v>
      </c>
      <c r="G2937" s="3" t="s">
        <v>299</v>
      </c>
      <c r="H2937" s="4">
        <v>3199102</v>
      </c>
      <c r="I2937" s="3" t="s">
        <v>473</v>
      </c>
      <c r="J2937" s="3" t="s">
        <v>446</v>
      </c>
      <c r="K2937" s="32">
        <v>3204206</v>
      </c>
    </row>
    <row r="2938" spans="2:11" x14ac:dyDescent="0.3">
      <c r="B2938" s="44">
        <v>46046</v>
      </c>
      <c r="C2938" s="3" t="s">
        <v>416</v>
      </c>
      <c r="D2938" s="3" t="s">
        <v>504</v>
      </c>
      <c r="E2938" s="42"/>
      <c r="F2938" s="3" t="s">
        <v>645</v>
      </c>
      <c r="G2938" s="3" t="s">
        <v>37</v>
      </c>
      <c r="H2938" s="4">
        <v>3029903</v>
      </c>
      <c r="I2938" s="4" t="s">
        <v>694</v>
      </c>
      <c r="J2938" s="4" t="s">
        <v>112</v>
      </c>
      <c r="K2938" s="4">
        <v>3353602</v>
      </c>
    </row>
    <row r="2939" spans="2:11" x14ac:dyDescent="0.3">
      <c r="B2939" s="44">
        <v>46046</v>
      </c>
      <c r="C2939" s="3" t="s">
        <v>416</v>
      </c>
      <c r="D2939" s="3" t="s">
        <v>61</v>
      </c>
      <c r="E2939" s="42"/>
      <c r="F2939" s="4" t="s">
        <v>645</v>
      </c>
      <c r="G2939" s="4" t="s">
        <v>309</v>
      </c>
      <c r="H2939" s="4">
        <v>3082104</v>
      </c>
      <c r="I2939" s="4" t="s">
        <v>658</v>
      </c>
      <c r="J2939" s="4" t="s">
        <v>301</v>
      </c>
      <c r="K2939" s="4">
        <v>3210300</v>
      </c>
    </row>
    <row r="2940" spans="2:11" x14ac:dyDescent="0.3">
      <c r="B2940" s="44">
        <v>46046</v>
      </c>
      <c r="C2940" s="3" t="s">
        <v>416</v>
      </c>
      <c r="D2940" s="3" t="s">
        <v>487</v>
      </c>
      <c r="E2940" s="4"/>
      <c r="F2940" s="4" t="s">
        <v>645</v>
      </c>
      <c r="G2940" s="4" t="s">
        <v>114</v>
      </c>
      <c r="H2940" s="4">
        <v>3351000</v>
      </c>
      <c r="I2940" s="4" t="s">
        <v>710</v>
      </c>
      <c r="J2940" s="4" t="s">
        <v>113</v>
      </c>
      <c r="K2940" s="4">
        <v>3352009</v>
      </c>
    </row>
    <row r="2941" spans="2:11" x14ac:dyDescent="0.3">
      <c r="B2941" s="44">
        <v>46046</v>
      </c>
      <c r="C2941" s="3" t="s">
        <v>416</v>
      </c>
      <c r="D2941" s="3" t="s">
        <v>488</v>
      </c>
      <c r="E2941" s="42"/>
      <c r="F2941" s="3" t="s">
        <v>645</v>
      </c>
      <c r="G2941" s="3" t="s">
        <v>123</v>
      </c>
      <c r="H2941" s="4">
        <v>3351104</v>
      </c>
      <c r="I2941" s="4" t="s">
        <v>695</v>
      </c>
      <c r="J2941" s="4" t="s">
        <v>147</v>
      </c>
      <c r="K2941" s="4">
        <v>3067409</v>
      </c>
    </row>
    <row r="2942" spans="2:11" x14ac:dyDescent="0.3">
      <c r="B2942" s="44">
        <v>46046</v>
      </c>
      <c r="C2942" s="3" t="s">
        <v>416</v>
      </c>
      <c r="D2942" s="3" t="s">
        <v>491</v>
      </c>
      <c r="E2942" s="42"/>
      <c r="F2942" s="3" t="s">
        <v>645</v>
      </c>
      <c r="G2942" s="3" t="s">
        <v>152</v>
      </c>
      <c r="H2942" s="4">
        <v>3351302</v>
      </c>
      <c r="I2942" s="4" t="s">
        <v>680</v>
      </c>
      <c r="J2942" s="4" t="s">
        <v>177</v>
      </c>
      <c r="K2942" s="4">
        <v>3899709</v>
      </c>
    </row>
    <row r="2943" spans="2:11" x14ac:dyDescent="0.3">
      <c r="B2943" s="44">
        <v>46046</v>
      </c>
      <c r="C2943" s="3" t="s">
        <v>416</v>
      </c>
      <c r="D2943" s="3" t="s">
        <v>496</v>
      </c>
      <c r="E2943" s="42"/>
      <c r="F2943" s="4" t="s">
        <v>716</v>
      </c>
      <c r="G2943" s="4" t="s">
        <v>427</v>
      </c>
      <c r="H2943" s="4">
        <v>3351500</v>
      </c>
      <c r="I2943" s="4" t="s">
        <v>665</v>
      </c>
      <c r="J2943" s="4" t="s">
        <v>204</v>
      </c>
      <c r="K2943" s="4">
        <v>3357400</v>
      </c>
    </row>
    <row r="2944" spans="2:11" x14ac:dyDescent="0.3">
      <c r="B2944" s="44">
        <v>46046</v>
      </c>
      <c r="C2944" s="3" t="s">
        <v>416</v>
      </c>
      <c r="D2944" s="3" t="s">
        <v>610</v>
      </c>
      <c r="E2944" s="42"/>
      <c r="F2944" s="3" t="s">
        <v>716</v>
      </c>
      <c r="G2944" s="3" t="s">
        <v>433</v>
      </c>
      <c r="H2944" s="4">
        <v>3198905</v>
      </c>
      <c r="I2944" s="4" t="s">
        <v>714</v>
      </c>
      <c r="J2944" s="4" t="s">
        <v>352</v>
      </c>
      <c r="K2944" s="4">
        <v>3197208</v>
      </c>
    </row>
    <row r="2945" spans="2:13" x14ac:dyDescent="0.3">
      <c r="B2945" s="44">
        <v>46046</v>
      </c>
      <c r="C2945" s="3" t="s">
        <v>416</v>
      </c>
      <c r="D2945" s="3" t="s">
        <v>65</v>
      </c>
      <c r="E2945" s="42"/>
      <c r="F2945" s="3" t="s">
        <v>678</v>
      </c>
      <c r="G2945" s="3" t="s">
        <v>452</v>
      </c>
      <c r="H2945" s="4">
        <v>3198207</v>
      </c>
      <c r="I2945" s="4" t="s">
        <v>656</v>
      </c>
      <c r="J2945" s="4" t="s">
        <v>326</v>
      </c>
      <c r="K2945" s="4">
        <v>3199904</v>
      </c>
    </row>
    <row r="2946" spans="2:13" x14ac:dyDescent="0.3">
      <c r="B2946" s="44">
        <v>46046</v>
      </c>
      <c r="C2946" s="3" t="s">
        <v>416</v>
      </c>
      <c r="D2946" s="3" t="s">
        <v>497</v>
      </c>
      <c r="E2946" s="42"/>
      <c r="F2946" s="3" t="s">
        <v>678</v>
      </c>
      <c r="G2946" s="3" t="s">
        <v>172</v>
      </c>
      <c r="H2946" s="74">
        <v>3350709</v>
      </c>
      <c r="I2946" s="15" t="s">
        <v>471</v>
      </c>
      <c r="J2946" s="15" t="s">
        <v>240</v>
      </c>
      <c r="K2946" s="74">
        <v>3348403</v>
      </c>
    </row>
    <row r="2947" spans="2:13" x14ac:dyDescent="0.3">
      <c r="B2947" s="44">
        <v>46046</v>
      </c>
      <c r="C2947" s="3" t="s">
        <v>416</v>
      </c>
      <c r="D2947" s="3" t="s">
        <v>496</v>
      </c>
      <c r="E2947" s="42"/>
      <c r="F2947" s="3" t="s">
        <v>675</v>
      </c>
      <c r="G2947" s="3" t="s">
        <v>198</v>
      </c>
      <c r="H2947" s="4">
        <v>3350803</v>
      </c>
      <c r="I2947" s="3" t="s">
        <v>650</v>
      </c>
      <c r="J2947" s="3" t="s">
        <v>205</v>
      </c>
      <c r="K2947" s="74">
        <v>3351906</v>
      </c>
    </row>
    <row r="2948" spans="2:13" x14ac:dyDescent="0.3">
      <c r="B2948" s="44">
        <v>46046</v>
      </c>
      <c r="C2948" s="3" t="s">
        <v>416</v>
      </c>
      <c r="D2948" s="3" t="s">
        <v>499</v>
      </c>
      <c r="E2948" s="42"/>
      <c r="F2948" s="3" t="s">
        <v>675</v>
      </c>
      <c r="G2948" s="3" t="s">
        <v>572</v>
      </c>
      <c r="H2948" s="53">
        <v>3350303</v>
      </c>
      <c r="I2948" s="3" t="s">
        <v>710</v>
      </c>
      <c r="J2948" s="3" t="s">
        <v>230</v>
      </c>
      <c r="K2948" s="4">
        <v>3900609</v>
      </c>
      <c r="M2948" s="4"/>
    </row>
    <row r="2949" spans="2:13" x14ac:dyDescent="0.3">
      <c r="B2949" s="44">
        <v>46046</v>
      </c>
      <c r="C2949" s="3" t="s">
        <v>416</v>
      </c>
      <c r="D2949" s="3" t="s">
        <v>590</v>
      </c>
      <c r="E2949" s="42"/>
      <c r="F2949" s="3" t="s">
        <v>691</v>
      </c>
      <c r="G2949" s="3" t="s">
        <v>289</v>
      </c>
      <c r="H2949" s="4">
        <v>3068804</v>
      </c>
      <c r="I2949" s="3" t="s">
        <v>671</v>
      </c>
      <c r="J2949" s="3" t="s">
        <v>311</v>
      </c>
      <c r="K2949" s="4">
        <v>3209003</v>
      </c>
    </row>
    <row r="2950" spans="2:13" x14ac:dyDescent="0.3">
      <c r="B2950" s="44">
        <v>46046</v>
      </c>
      <c r="C2950" s="3" t="s">
        <v>416</v>
      </c>
      <c r="D2950" s="3" t="s">
        <v>65</v>
      </c>
      <c r="E2950" s="42"/>
      <c r="F2950" s="15" t="s">
        <v>691</v>
      </c>
      <c r="G2950" s="15" t="s">
        <v>327</v>
      </c>
      <c r="H2950" s="74">
        <v>3198603</v>
      </c>
      <c r="I2950" s="4" t="s">
        <v>653</v>
      </c>
      <c r="J2950" s="4" t="s">
        <v>451</v>
      </c>
      <c r="K2950" s="4">
        <v>3211309</v>
      </c>
    </row>
    <row r="2951" spans="2:13" x14ac:dyDescent="0.3">
      <c r="B2951" s="44">
        <v>46046</v>
      </c>
      <c r="C2951" s="3" t="s">
        <v>416</v>
      </c>
      <c r="D2951" s="3" t="s">
        <v>500</v>
      </c>
      <c r="E2951" s="42"/>
      <c r="F2951" s="3" t="s">
        <v>691</v>
      </c>
      <c r="G2951" s="3" t="s">
        <v>238</v>
      </c>
      <c r="H2951" s="4">
        <v>3350105</v>
      </c>
      <c r="I2951" s="4" t="s">
        <v>701</v>
      </c>
      <c r="J2951" s="4" t="s">
        <v>236</v>
      </c>
      <c r="K2951" s="4">
        <v>3355704</v>
      </c>
    </row>
    <row r="2952" spans="2:13" x14ac:dyDescent="0.3">
      <c r="B2952" s="44">
        <v>46046</v>
      </c>
      <c r="C2952" s="3" t="s">
        <v>416</v>
      </c>
      <c r="D2952" s="3" t="s">
        <v>494</v>
      </c>
      <c r="E2952" s="42"/>
      <c r="F2952" s="3" t="s">
        <v>689</v>
      </c>
      <c r="G2952" s="3" t="s">
        <v>189</v>
      </c>
      <c r="H2952" s="4">
        <v>3350209</v>
      </c>
      <c r="I2952" s="4" t="s">
        <v>647</v>
      </c>
      <c r="J2952" s="4" t="s">
        <v>191</v>
      </c>
      <c r="K2952" s="4">
        <v>3345708</v>
      </c>
    </row>
    <row r="2953" spans="2:13" x14ac:dyDescent="0.3">
      <c r="B2953" s="44">
        <v>46046</v>
      </c>
      <c r="C2953" s="3" t="s">
        <v>416</v>
      </c>
      <c r="D2953" s="3" t="s">
        <v>498</v>
      </c>
      <c r="E2953" s="42"/>
      <c r="F2953" s="3" t="s">
        <v>689</v>
      </c>
      <c r="G2953" s="3" t="s">
        <v>468</v>
      </c>
      <c r="H2953" s="4">
        <v>3349902</v>
      </c>
      <c r="I2953" s="3" t="s">
        <v>692</v>
      </c>
      <c r="J2953" s="3" t="s">
        <v>223</v>
      </c>
      <c r="K2953" s="4">
        <v>3348007</v>
      </c>
    </row>
    <row r="2954" spans="2:13" x14ac:dyDescent="0.3">
      <c r="B2954" s="44">
        <v>46046</v>
      </c>
      <c r="C2954" s="3" t="s">
        <v>416</v>
      </c>
      <c r="D2954" s="3" t="s">
        <v>70</v>
      </c>
      <c r="E2954" s="42"/>
      <c r="F2954" s="3" t="s">
        <v>689</v>
      </c>
      <c r="G2954" s="3" t="s">
        <v>404</v>
      </c>
      <c r="H2954" s="53">
        <v>3196605</v>
      </c>
      <c r="I2954" s="3" t="s">
        <v>472</v>
      </c>
      <c r="J2954" s="3" t="s">
        <v>400</v>
      </c>
      <c r="K2954" s="4">
        <v>3818608</v>
      </c>
    </row>
    <row r="2955" spans="2:13" x14ac:dyDescent="0.3">
      <c r="B2955" s="44">
        <v>46046</v>
      </c>
      <c r="C2955" s="3" t="s">
        <v>416</v>
      </c>
      <c r="D2955" s="3" t="s">
        <v>501</v>
      </c>
      <c r="E2955" s="42"/>
      <c r="F2955" s="3" t="s">
        <v>689</v>
      </c>
      <c r="G2955" s="3" t="s">
        <v>581</v>
      </c>
      <c r="H2955" s="4">
        <v>4022804</v>
      </c>
      <c r="I2955" s="3" t="s">
        <v>662</v>
      </c>
      <c r="J2955" s="3" t="s">
        <v>243</v>
      </c>
      <c r="K2955" s="4">
        <v>3899907</v>
      </c>
      <c r="L2955" s="4"/>
      <c r="M2955" s="4"/>
    </row>
    <row r="2956" spans="2:13" x14ac:dyDescent="0.3">
      <c r="B2956" s="44">
        <v>46046</v>
      </c>
      <c r="C2956" s="3" t="s">
        <v>416</v>
      </c>
      <c r="D2956" s="3" t="s">
        <v>500</v>
      </c>
      <c r="E2956" s="42"/>
      <c r="F2956" s="3" t="s">
        <v>654</v>
      </c>
      <c r="G2956" s="3" t="s">
        <v>576</v>
      </c>
      <c r="H2956" s="4">
        <v>4009003</v>
      </c>
      <c r="I2956" s="4" t="s">
        <v>676</v>
      </c>
      <c r="J2956" s="4" t="s">
        <v>577</v>
      </c>
      <c r="K2956" s="4" t="s">
        <v>556</v>
      </c>
    </row>
    <row r="2957" spans="2:13" x14ac:dyDescent="0.3">
      <c r="B2957" s="44">
        <v>46046</v>
      </c>
      <c r="C2957" s="3" t="s">
        <v>416</v>
      </c>
      <c r="D2957" s="3" t="s">
        <v>489</v>
      </c>
      <c r="E2957" s="4"/>
      <c r="F2957" s="4" t="s">
        <v>712</v>
      </c>
      <c r="G2957" s="4" t="s">
        <v>132</v>
      </c>
      <c r="H2957" s="4">
        <v>3068304</v>
      </c>
      <c r="I2957" s="3" t="s">
        <v>678</v>
      </c>
      <c r="J2957" s="3" t="s">
        <v>131</v>
      </c>
      <c r="K2957" s="4">
        <v>3350605</v>
      </c>
    </row>
    <row r="2958" spans="2:13" x14ac:dyDescent="0.3">
      <c r="B2958" s="44">
        <v>46046</v>
      </c>
      <c r="C2958" s="3" t="s">
        <v>416</v>
      </c>
      <c r="D2958" s="3" t="s">
        <v>63</v>
      </c>
      <c r="E2958" s="42"/>
      <c r="F2958" s="104" t="s">
        <v>712</v>
      </c>
      <c r="G2958" s="104" t="s">
        <v>334</v>
      </c>
      <c r="H2958" s="74">
        <v>3198009</v>
      </c>
      <c r="I2958" s="104" t="s">
        <v>645</v>
      </c>
      <c r="J2958" s="104" t="s">
        <v>333</v>
      </c>
      <c r="K2958" s="74">
        <v>3198801</v>
      </c>
    </row>
    <row r="2959" spans="2:13" x14ac:dyDescent="0.3">
      <c r="B2959" s="44">
        <v>46046</v>
      </c>
      <c r="C2959" s="3" t="s">
        <v>416</v>
      </c>
      <c r="D2959" s="4" t="s">
        <v>614</v>
      </c>
      <c r="E2959" s="42"/>
      <c r="F2959" s="3" t="s">
        <v>713</v>
      </c>
      <c r="G2959" s="3" t="s">
        <v>386</v>
      </c>
      <c r="H2959" s="4">
        <v>3900807</v>
      </c>
      <c r="I2959" s="4" t="s">
        <v>674</v>
      </c>
      <c r="J2959" s="4" t="s">
        <v>346</v>
      </c>
      <c r="K2959" s="4">
        <v>3208900</v>
      </c>
    </row>
    <row r="2960" spans="2:13" x14ac:dyDescent="0.3">
      <c r="B2960" s="44">
        <v>46046</v>
      </c>
      <c r="C2960" s="3" t="s">
        <v>416</v>
      </c>
      <c r="D2960" s="4" t="s">
        <v>614</v>
      </c>
      <c r="E2960" s="42"/>
      <c r="F2960" s="3" t="s">
        <v>713</v>
      </c>
      <c r="G2960" s="3" t="s">
        <v>623</v>
      </c>
      <c r="H2960" s="4">
        <v>3819305</v>
      </c>
      <c r="I2960" s="4" t="s">
        <v>675</v>
      </c>
      <c r="J2960" s="4" t="s">
        <v>403</v>
      </c>
      <c r="K2960" s="4">
        <v>3198509</v>
      </c>
    </row>
    <row r="2961" spans="2:14" x14ac:dyDescent="0.3">
      <c r="B2961" s="44">
        <v>46046</v>
      </c>
      <c r="C2961" s="3" t="s">
        <v>416</v>
      </c>
      <c r="D2961" s="3" t="s">
        <v>487</v>
      </c>
      <c r="E2961" s="4"/>
      <c r="F2961" s="3" t="s">
        <v>663</v>
      </c>
      <c r="G2961" s="3" t="s">
        <v>419</v>
      </c>
      <c r="H2961" s="4">
        <v>3349204</v>
      </c>
      <c r="I2961" s="3" t="s">
        <v>709</v>
      </c>
      <c r="J2961" s="3" t="s">
        <v>111</v>
      </c>
      <c r="K2961" s="4">
        <v>3354601</v>
      </c>
    </row>
    <row r="2962" spans="2:14" x14ac:dyDescent="0.3">
      <c r="B2962" s="44">
        <v>46046</v>
      </c>
      <c r="C2962" s="3" t="s">
        <v>416</v>
      </c>
      <c r="D2962" s="3" t="s">
        <v>65</v>
      </c>
      <c r="E2962" s="42"/>
      <c r="F2962" s="3" t="s">
        <v>663</v>
      </c>
      <c r="G2962" s="3" t="s">
        <v>290</v>
      </c>
      <c r="H2962" s="4">
        <v>3197500</v>
      </c>
      <c r="I2962" s="4" t="s">
        <v>479</v>
      </c>
      <c r="J2962" s="4" t="s">
        <v>320</v>
      </c>
      <c r="K2962" s="4">
        <v>3210602</v>
      </c>
    </row>
    <row r="2963" spans="2:14" x14ac:dyDescent="0.3">
      <c r="B2963" s="44">
        <v>46046</v>
      </c>
      <c r="C2963" s="3" t="s">
        <v>416</v>
      </c>
      <c r="D2963" s="3" t="s">
        <v>593</v>
      </c>
      <c r="E2963" s="42"/>
      <c r="F2963" s="3" t="s">
        <v>663</v>
      </c>
      <c r="G2963" s="3" t="s">
        <v>396</v>
      </c>
      <c r="H2963" s="4">
        <v>3197104</v>
      </c>
      <c r="I2963" s="4" t="s">
        <v>676</v>
      </c>
      <c r="J2963" s="4" t="s">
        <v>639</v>
      </c>
      <c r="K2963" s="4">
        <v>3776805</v>
      </c>
    </row>
    <row r="2964" spans="2:14" x14ac:dyDescent="0.3">
      <c r="B2964" s="44">
        <v>46046</v>
      </c>
      <c r="C2964" s="3" t="s">
        <v>416</v>
      </c>
      <c r="D2964" s="3" t="s">
        <v>504</v>
      </c>
      <c r="E2964" s="42"/>
      <c r="F2964" s="3" t="s">
        <v>471</v>
      </c>
      <c r="G2964" s="3" t="s">
        <v>14</v>
      </c>
      <c r="H2964" s="4">
        <v>3348601</v>
      </c>
      <c r="I2964" s="4" t="s">
        <v>720</v>
      </c>
      <c r="J2964" s="4" t="s">
        <v>13</v>
      </c>
      <c r="K2964" s="4">
        <v>3125906</v>
      </c>
    </row>
    <row r="2965" spans="2:14" x14ac:dyDescent="0.3">
      <c r="B2965" s="44">
        <v>46046</v>
      </c>
      <c r="C2965" s="3" t="s">
        <v>416</v>
      </c>
      <c r="D2965" s="3" t="s">
        <v>493</v>
      </c>
      <c r="E2965" s="42"/>
      <c r="F2965" s="3" t="s">
        <v>471</v>
      </c>
      <c r="G2965" s="3" t="s">
        <v>174</v>
      </c>
      <c r="H2965" s="4">
        <v>3348101</v>
      </c>
      <c r="I2965" s="4" t="s">
        <v>476</v>
      </c>
      <c r="J2965" s="4" t="s">
        <v>170</v>
      </c>
      <c r="K2965" s="4">
        <v>3356703</v>
      </c>
    </row>
    <row r="2966" spans="2:14" x14ac:dyDescent="0.3">
      <c r="B2966" s="44">
        <v>46046</v>
      </c>
      <c r="C2966" s="3" t="s">
        <v>416</v>
      </c>
      <c r="D2966" s="3" t="s">
        <v>62</v>
      </c>
      <c r="E2966" s="42"/>
      <c r="F2966" s="3" t="s">
        <v>471</v>
      </c>
      <c r="G2966" s="3" t="s">
        <v>328</v>
      </c>
      <c r="H2966" s="4">
        <v>3196803</v>
      </c>
      <c r="I2966" s="4" t="s">
        <v>700</v>
      </c>
      <c r="J2966" s="4" t="s">
        <v>442</v>
      </c>
      <c r="K2966" s="4">
        <v>3205007</v>
      </c>
    </row>
    <row r="2967" spans="2:14" x14ac:dyDescent="0.3">
      <c r="B2967" s="44">
        <v>46046</v>
      </c>
      <c r="C2967" s="3" t="s">
        <v>416</v>
      </c>
      <c r="D2967" s="3" t="s">
        <v>493</v>
      </c>
      <c r="E2967" s="42"/>
      <c r="F2967" s="3" t="s">
        <v>471</v>
      </c>
      <c r="G2967" s="3" t="s">
        <v>190</v>
      </c>
      <c r="H2967" s="4">
        <v>3348205</v>
      </c>
      <c r="I2967" s="4" t="s">
        <v>701</v>
      </c>
      <c r="J2967" s="4" t="s">
        <v>171</v>
      </c>
      <c r="K2967" s="4">
        <v>3355600</v>
      </c>
    </row>
    <row r="2968" spans="2:14" x14ac:dyDescent="0.3">
      <c r="B2968" s="44">
        <v>46046</v>
      </c>
      <c r="C2968" s="3" t="s">
        <v>416</v>
      </c>
      <c r="D2968" s="3" t="s">
        <v>65</v>
      </c>
      <c r="E2968" s="42"/>
      <c r="F2968" s="3" t="s">
        <v>471</v>
      </c>
      <c r="G2968" s="3" t="s">
        <v>363</v>
      </c>
      <c r="H2968" s="4">
        <v>3196907</v>
      </c>
      <c r="I2968" s="4" t="s">
        <v>655</v>
      </c>
      <c r="J2968" s="4" t="s">
        <v>325</v>
      </c>
      <c r="K2968" s="4">
        <v>3201501</v>
      </c>
    </row>
    <row r="2969" spans="2:14" x14ac:dyDescent="0.3">
      <c r="B2969" s="44">
        <v>46046</v>
      </c>
      <c r="C2969" s="3" t="s">
        <v>416</v>
      </c>
      <c r="D2969" s="3" t="s">
        <v>500</v>
      </c>
      <c r="E2969" s="42"/>
      <c r="F2969" s="3" t="s">
        <v>471</v>
      </c>
      <c r="G2969" s="3" t="s">
        <v>467</v>
      </c>
      <c r="H2969" s="4">
        <v>3819409</v>
      </c>
      <c r="I2969" s="4" t="s">
        <v>679</v>
      </c>
      <c r="J2969" s="4" t="s">
        <v>466</v>
      </c>
      <c r="K2969" s="4">
        <v>3346707</v>
      </c>
    </row>
    <row r="2970" spans="2:14" x14ac:dyDescent="0.3">
      <c r="B2970" s="44">
        <v>46046</v>
      </c>
      <c r="C2970" s="3" t="s">
        <v>416</v>
      </c>
      <c r="D2970" s="3" t="s">
        <v>64</v>
      </c>
      <c r="E2970" s="42">
        <v>4370907</v>
      </c>
      <c r="F2970" s="3" t="s">
        <v>692</v>
      </c>
      <c r="G2970" s="3" t="s">
        <v>342</v>
      </c>
      <c r="H2970" s="4">
        <v>3196501</v>
      </c>
      <c r="I2970" s="4" t="s">
        <v>717</v>
      </c>
      <c r="J2970" s="4" t="s">
        <v>432</v>
      </c>
      <c r="K2970" s="4">
        <v>3195106</v>
      </c>
    </row>
    <row r="2971" spans="2:14" x14ac:dyDescent="0.3">
      <c r="B2971" s="44">
        <v>46046</v>
      </c>
      <c r="C2971" s="3" t="s">
        <v>416</v>
      </c>
      <c r="D2971" s="3" t="s">
        <v>494</v>
      </c>
      <c r="E2971" s="42"/>
      <c r="F2971" s="3" t="s">
        <v>692</v>
      </c>
      <c r="G2971" s="3" t="s">
        <v>144</v>
      </c>
      <c r="H2971" s="4">
        <v>3347904</v>
      </c>
      <c r="I2971" s="3" t="s">
        <v>475</v>
      </c>
      <c r="J2971" s="3" t="s">
        <v>183</v>
      </c>
      <c r="K2971" s="4">
        <v>3362901</v>
      </c>
    </row>
    <row r="2972" spans="2:14" x14ac:dyDescent="0.3">
      <c r="B2972" s="44">
        <v>46046</v>
      </c>
      <c r="C2972" s="3" t="s">
        <v>416</v>
      </c>
      <c r="D2972" s="3" t="s">
        <v>501</v>
      </c>
      <c r="E2972" s="42"/>
      <c r="F2972" s="3" t="s">
        <v>692</v>
      </c>
      <c r="G2972" s="3" t="s">
        <v>582</v>
      </c>
      <c r="H2972" s="53">
        <v>3900901</v>
      </c>
      <c r="I2972" s="3" t="s">
        <v>717</v>
      </c>
      <c r="J2972" s="3" t="s">
        <v>583</v>
      </c>
      <c r="K2972" s="4">
        <v>4022908</v>
      </c>
      <c r="M2972" s="4"/>
      <c r="N2972" s="4"/>
    </row>
    <row r="2973" spans="2:14" x14ac:dyDescent="0.3">
      <c r="B2973" s="44">
        <v>46046</v>
      </c>
      <c r="C2973" s="3" t="s">
        <v>416</v>
      </c>
      <c r="D2973" s="3" t="s">
        <v>491</v>
      </c>
      <c r="E2973" s="42"/>
      <c r="F2973" s="3" t="s">
        <v>698</v>
      </c>
      <c r="G2973" s="3" t="s">
        <v>567</v>
      </c>
      <c r="H2973" s="4" t="s">
        <v>556</v>
      </c>
      <c r="I2973" s="4" t="s">
        <v>702</v>
      </c>
      <c r="J2973" s="4" t="s">
        <v>180</v>
      </c>
      <c r="K2973" s="4">
        <v>3355308</v>
      </c>
    </row>
    <row r="2974" spans="2:14" x14ac:dyDescent="0.3">
      <c r="B2974" s="44">
        <v>46046</v>
      </c>
      <c r="C2974" s="3" t="s">
        <v>416</v>
      </c>
      <c r="D2974" s="3" t="s">
        <v>60</v>
      </c>
      <c r="E2974" s="42"/>
      <c r="F2974" s="3" t="s">
        <v>698</v>
      </c>
      <c r="G2974" s="3" t="s">
        <v>595</v>
      </c>
      <c r="H2974" s="4" t="s">
        <v>563</v>
      </c>
      <c r="I2974" s="3" t="s">
        <v>473</v>
      </c>
      <c r="J2974" s="3" t="s">
        <v>445</v>
      </c>
      <c r="K2974" s="4">
        <v>3204102</v>
      </c>
    </row>
    <row r="2975" spans="2:14" x14ac:dyDescent="0.3">
      <c r="B2975" s="44">
        <v>46046</v>
      </c>
      <c r="C2975" s="3" t="s">
        <v>416</v>
      </c>
      <c r="D2975" s="3" t="s">
        <v>495</v>
      </c>
      <c r="E2975" s="42"/>
      <c r="F2975" s="3" t="s">
        <v>699</v>
      </c>
      <c r="G2975" s="3" t="s">
        <v>569</v>
      </c>
      <c r="H2975" s="4">
        <v>3125708</v>
      </c>
      <c r="I2975" s="3" t="s">
        <v>682</v>
      </c>
      <c r="J2975" s="3" t="s">
        <v>568</v>
      </c>
      <c r="K2975" s="4">
        <v>3969908</v>
      </c>
    </row>
    <row r="2976" spans="2:14" x14ac:dyDescent="0.3">
      <c r="B2976" s="44">
        <v>46046</v>
      </c>
      <c r="C2976" s="3" t="s">
        <v>416</v>
      </c>
      <c r="D2976" s="3" t="s">
        <v>590</v>
      </c>
      <c r="E2976" s="42"/>
      <c r="F2976" s="3" t="s">
        <v>699</v>
      </c>
      <c r="G2976" s="3" t="s">
        <v>594</v>
      </c>
      <c r="H2976" s="4">
        <v>3196407</v>
      </c>
      <c r="I2976" s="4" t="s">
        <v>472</v>
      </c>
      <c r="J2976" s="4" t="s">
        <v>315</v>
      </c>
      <c r="K2976" s="4">
        <v>3455307</v>
      </c>
    </row>
    <row r="2977" spans="2:11" x14ac:dyDescent="0.3">
      <c r="B2977" s="44">
        <v>46046</v>
      </c>
      <c r="C2977" s="3" t="s">
        <v>416</v>
      </c>
      <c r="D2977" s="4" t="s">
        <v>614</v>
      </c>
      <c r="E2977" s="42"/>
      <c r="F2977" s="3" t="s">
        <v>699</v>
      </c>
      <c r="G2977" s="3" t="s">
        <v>624</v>
      </c>
      <c r="H2977" s="4">
        <v>3196105</v>
      </c>
      <c r="I2977" s="4" t="s">
        <v>710</v>
      </c>
      <c r="J2977" s="4" t="s">
        <v>385</v>
      </c>
      <c r="K2977" s="4">
        <v>3199602</v>
      </c>
    </row>
    <row r="2978" spans="2:11" x14ac:dyDescent="0.3">
      <c r="B2978" s="44">
        <v>46046</v>
      </c>
      <c r="C2978" s="3" t="s">
        <v>416</v>
      </c>
      <c r="D2978" s="3" t="s">
        <v>486</v>
      </c>
      <c r="E2978" s="42"/>
      <c r="F2978" s="3" t="s">
        <v>681</v>
      </c>
      <c r="G2978" s="3" t="s">
        <v>105</v>
      </c>
      <c r="H2978" s="4">
        <v>3035809</v>
      </c>
      <c r="I2978" s="4" t="s">
        <v>652</v>
      </c>
      <c r="J2978" s="4" t="s">
        <v>110</v>
      </c>
      <c r="K2978" s="4">
        <v>3359106</v>
      </c>
    </row>
    <row r="2979" spans="2:11" x14ac:dyDescent="0.3">
      <c r="B2979" s="44">
        <v>46046</v>
      </c>
      <c r="C2979" s="3" t="s">
        <v>416</v>
      </c>
      <c r="D2979" s="3" t="s">
        <v>497</v>
      </c>
      <c r="E2979" s="42"/>
      <c r="F2979" s="3" t="s">
        <v>681</v>
      </c>
      <c r="G2979" s="3" t="s">
        <v>175</v>
      </c>
      <c r="H2979" s="74">
        <v>3347800</v>
      </c>
      <c r="I2979" s="4" t="s">
        <v>654</v>
      </c>
      <c r="J2979" s="4" t="s">
        <v>216</v>
      </c>
      <c r="K2979" s="4">
        <v>3349808</v>
      </c>
    </row>
    <row r="2980" spans="2:11" x14ac:dyDescent="0.3">
      <c r="B2980" s="44">
        <v>46046</v>
      </c>
      <c r="C2980" s="3" t="s">
        <v>416</v>
      </c>
      <c r="D2980" s="3" t="s">
        <v>593</v>
      </c>
      <c r="E2980" s="42"/>
      <c r="F2980" s="3" t="s">
        <v>681</v>
      </c>
      <c r="G2980" s="3" t="s">
        <v>397</v>
      </c>
      <c r="H2980" s="4">
        <v>3195908</v>
      </c>
      <c r="I2980" s="4" t="s">
        <v>693</v>
      </c>
      <c r="J2980" s="4" t="s">
        <v>629</v>
      </c>
      <c r="K2980" s="4">
        <v>3961708</v>
      </c>
    </row>
    <row r="2981" spans="2:11" x14ac:dyDescent="0.3">
      <c r="B2981" s="44">
        <v>46046</v>
      </c>
      <c r="C2981" s="3" t="s">
        <v>416</v>
      </c>
      <c r="D2981" s="3" t="s">
        <v>64</v>
      </c>
      <c r="E2981" s="42">
        <v>4370907</v>
      </c>
      <c r="F2981" s="3" t="s">
        <v>670</v>
      </c>
      <c r="G2981" s="3" t="s">
        <v>343</v>
      </c>
      <c r="H2981" s="4">
        <v>3195606</v>
      </c>
      <c r="I2981" s="4" t="s">
        <v>475</v>
      </c>
      <c r="J2981" s="4" t="s">
        <v>310</v>
      </c>
      <c r="K2981" s="4">
        <v>3212402</v>
      </c>
    </row>
    <row r="2982" spans="2:11" x14ac:dyDescent="0.3">
      <c r="B2982" s="44">
        <v>46046</v>
      </c>
      <c r="C2982" s="3" t="s">
        <v>416</v>
      </c>
      <c r="D2982" s="3" t="s">
        <v>495</v>
      </c>
      <c r="E2982" s="42"/>
      <c r="F2982" s="3" t="s">
        <v>670</v>
      </c>
      <c r="G2982" s="3" t="s">
        <v>224</v>
      </c>
      <c r="H2982" s="4">
        <v>3347008</v>
      </c>
      <c r="I2982" s="3" t="s">
        <v>673</v>
      </c>
      <c r="J2982" s="3" t="s">
        <v>200</v>
      </c>
      <c r="K2982" s="53">
        <v>3901004</v>
      </c>
    </row>
    <row r="2983" spans="2:11" x14ac:dyDescent="0.3">
      <c r="B2983" s="44">
        <v>46046</v>
      </c>
      <c r="C2983" s="3" t="s">
        <v>416</v>
      </c>
      <c r="D2983" s="3" t="s">
        <v>486</v>
      </c>
      <c r="E2983" s="42"/>
      <c r="F2983" s="3" t="s">
        <v>673</v>
      </c>
      <c r="G2983" s="3" t="s">
        <v>106</v>
      </c>
      <c r="H2983" s="4">
        <v>3067607</v>
      </c>
      <c r="I2983" s="3" t="s">
        <v>480</v>
      </c>
      <c r="J2983" s="3" t="s">
        <v>406</v>
      </c>
      <c r="K2983" s="4">
        <v>3124501</v>
      </c>
    </row>
    <row r="2984" spans="2:11" x14ac:dyDescent="0.3">
      <c r="B2984" s="44">
        <v>46046</v>
      </c>
      <c r="C2984" s="3" t="s">
        <v>416</v>
      </c>
      <c r="D2984" s="3" t="s">
        <v>64</v>
      </c>
      <c r="E2984" s="42">
        <v>4370907</v>
      </c>
      <c r="F2984" s="3" t="s">
        <v>673</v>
      </c>
      <c r="G2984" s="3" t="s">
        <v>355</v>
      </c>
      <c r="H2984" s="4">
        <v>3195002</v>
      </c>
      <c r="I2984" s="4" t="s">
        <v>672</v>
      </c>
      <c r="J2984" s="4" t="s">
        <v>316</v>
      </c>
      <c r="K2984" s="4">
        <v>3069105</v>
      </c>
    </row>
    <row r="2985" spans="2:11" x14ac:dyDescent="0.3">
      <c r="B2985" s="44">
        <v>46046</v>
      </c>
      <c r="C2985" s="3" t="s">
        <v>416</v>
      </c>
      <c r="D2985" s="4" t="s">
        <v>614</v>
      </c>
      <c r="E2985" s="42"/>
      <c r="F2985" s="3" t="s">
        <v>673</v>
      </c>
      <c r="G2985" s="3" t="s">
        <v>455</v>
      </c>
      <c r="H2985" s="4">
        <v>3961604</v>
      </c>
      <c r="I2985" s="4" t="s">
        <v>710</v>
      </c>
      <c r="J2985" s="4" t="s">
        <v>384</v>
      </c>
      <c r="K2985" s="4">
        <v>3199508</v>
      </c>
    </row>
    <row r="2986" spans="2:11" x14ac:dyDescent="0.3">
      <c r="B2986" s="44">
        <v>46046</v>
      </c>
      <c r="C2986" s="3" t="s">
        <v>416</v>
      </c>
      <c r="D2986" s="3" t="s">
        <v>490</v>
      </c>
      <c r="E2986" s="4"/>
      <c r="F2986" s="3" t="s">
        <v>717</v>
      </c>
      <c r="G2986" s="3" t="s">
        <v>425</v>
      </c>
      <c r="H2986" s="4">
        <v>3347206</v>
      </c>
      <c r="I2986" s="4" t="s">
        <v>479</v>
      </c>
      <c r="J2986" s="4" t="s">
        <v>166</v>
      </c>
      <c r="K2986" s="4">
        <v>3361006</v>
      </c>
    </row>
    <row r="2987" spans="2:11" x14ac:dyDescent="0.3">
      <c r="B2987" s="44">
        <v>46046</v>
      </c>
      <c r="C2987" s="3" t="s">
        <v>416</v>
      </c>
      <c r="D2987" s="3" t="s">
        <v>70</v>
      </c>
      <c r="E2987" s="42"/>
      <c r="F2987" s="3" t="s">
        <v>717</v>
      </c>
      <c r="G2987" s="3" t="s">
        <v>434</v>
      </c>
      <c r="H2987" s="4">
        <v>3195408</v>
      </c>
      <c r="I2987" s="3" t="s">
        <v>688</v>
      </c>
      <c r="J2987" s="3" t="s">
        <v>379</v>
      </c>
      <c r="K2987" s="4">
        <v>3194409</v>
      </c>
    </row>
    <row r="2988" spans="2:11" x14ac:dyDescent="0.3">
      <c r="B2988" s="44">
        <v>46046</v>
      </c>
      <c r="C2988" s="3" t="s">
        <v>416</v>
      </c>
      <c r="D2988" s="3" t="s">
        <v>489</v>
      </c>
      <c r="E2988" s="4"/>
      <c r="F2988" s="4" t="s">
        <v>679</v>
      </c>
      <c r="G2988" s="4" t="s">
        <v>135</v>
      </c>
      <c r="H2988" s="4">
        <v>3346603</v>
      </c>
      <c r="I2988" s="4" t="s">
        <v>685</v>
      </c>
      <c r="J2988" s="4" t="s">
        <v>160</v>
      </c>
      <c r="K2988" s="4">
        <v>3353008</v>
      </c>
    </row>
    <row r="2989" spans="2:11" x14ac:dyDescent="0.3">
      <c r="B2989" s="44">
        <v>46046</v>
      </c>
      <c r="C2989" s="3" t="s">
        <v>416</v>
      </c>
      <c r="D2989" s="3" t="s">
        <v>593</v>
      </c>
      <c r="E2989" s="42"/>
      <c r="F2989" s="3" t="s">
        <v>679</v>
      </c>
      <c r="G2989" s="3" t="s">
        <v>633</v>
      </c>
      <c r="H2989" s="4">
        <v>3194607</v>
      </c>
      <c r="I2989" s="4" t="s">
        <v>701</v>
      </c>
      <c r="J2989" s="4" t="s">
        <v>631</v>
      </c>
      <c r="K2989" s="4">
        <v>4023209</v>
      </c>
    </row>
    <row r="2990" spans="2:11" x14ac:dyDescent="0.3">
      <c r="B2990" s="44">
        <v>46046</v>
      </c>
      <c r="C2990" s="3" t="s">
        <v>416</v>
      </c>
      <c r="D2990" s="3" t="s">
        <v>498</v>
      </c>
      <c r="E2990" s="42"/>
      <c r="F2990" s="3" t="s">
        <v>688</v>
      </c>
      <c r="G2990" s="3" t="s">
        <v>146</v>
      </c>
      <c r="H2990" s="53">
        <v>3346405</v>
      </c>
      <c r="I2990" s="3" t="s">
        <v>647</v>
      </c>
      <c r="J2990" s="3" t="s">
        <v>225</v>
      </c>
      <c r="K2990" s="4">
        <v>3345802</v>
      </c>
    </row>
    <row r="2991" spans="2:11" x14ac:dyDescent="0.3">
      <c r="B2991" s="44">
        <v>46046</v>
      </c>
      <c r="C2991" s="3" t="s">
        <v>416</v>
      </c>
      <c r="D2991" s="3" t="s">
        <v>67</v>
      </c>
      <c r="E2991" s="42"/>
      <c r="F2991" s="3" t="s">
        <v>688</v>
      </c>
      <c r="G2991" s="3" t="s">
        <v>344</v>
      </c>
      <c r="H2991" s="4">
        <v>3194909</v>
      </c>
      <c r="I2991" s="4" t="s">
        <v>672</v>
      </c>
      <c r="J2991" s="4" t="s">
        <v>375</v>
      </c>
      <c r="K2991" s="4">
        <v>3069209</v>
      </c>
    </row>
    <row r="2992" spans="2:11" x14ac:dyDescent="0.3">
      <c r="B2992" s="44">
        <v>46046</v>
      </c>
      <c r="C2992" s="3" t="s">
        <v>416</v>
      </c>
      <c r="D2992" s="3" t="s">
        <v>70</v>
      </c>
      <c r="E2992" s="42"/>
      <c r="F2992" s="3" t="s">
        <v>688</v>
      </c>
      <c r="G2992" s="3" t="s">
        <v>460</v>
      </c>
      <c r="H2992" s="4">
        <v>3194503</v>
      </c>
      <c r="I2992" s="3" t="s">
        <v>662</v>
      </c>
      <c r="J2992" s="3" t="s">
        <v>399</v>
      </c>
      <c r="K2992" s="4">
        <v>3207401</v>
      </c>
    </row>
    <row r="2993" spans="2:13" x14ac:dyDescent="0.3">
      <c r="B2993" s="44">
        <v>46046</v>
      </c>
      <c r="C2993" s="3" t="s">
        <v>416</v>
      </c>
      <c r="D2993" s="3" t="s">
        <v>487</v>
      </c>
      <c r="E2993" s="4"/>
      <c r="F2993" s="3" t="s">
        <v>647</v>
      </c>
      <c r="G2993" s="3" t="s">
        <v>116</v>
      </c>
      <c r="H2993" s="4">
        <v>3346009</v>
      </c>
      <c r="I2993" s="4" t="s">
        <v>471</v>
      </c>
      <c r="J2993" s="4" t="s">
        <v>133</v>
      </c>
      <c r="K2993" s="4">
        <v>3348705</v>
      </c>
    </row>
    <row r="2994" spans="2:13" x14ac:dyDescent="0.3">
      <c r="B2994" s="44">
        <v>46046</v>
      </c>
      <c r="C2994" s="3" t="s">
        <v>416</v>
      </c>
      <c r="D2994" s="3" t="s">
        <v>67</v>
      </c>
      <c r="E2994" s="42"/>
      <c r="F2994" s="3" t="s">
        <v>647</v>
      </c>
      <c r="G2994" s="3" t="s">
        <v>345</v>
      </c>
      <c r="H2994" s="4">
        <v>3194003</v>
      </c>
      <c r="I2994" s="4" t="s">
        <v>715</v>
      </c>
      <c r="J2994" s="4" t="s">
        <v>377</v>
      </c>
      <c r="K2994" s="4">
        <v>3200106</v>
      </c>
    </row>
    <row r="2995" spans="2:13" x14ac:dyDescent="0.3">
      <c r="B2995" s="44">
        <v>46046</v>
      </c>
      <c r="C2995" s="3" t="s">
        <v>416</v>
      </c>
      <c r="D2995" s="3" t="s">
        <v>592</v>
      </c>
      <c r="E2995" s="42"/>
      <c r="F2995" s="3" t="s">
        <v>647</v>
      </c>
      <c r="G2995" s="3" t="s">
        <v>405</v>
      </c>
      <c r="H2995" s="74">
        <v>3901108</v>
      </c>
      <c r="I2995" s="3" t="s">
        <v>670</v>
      </c>
      <c r="J2995" s="3" t="s">
        <v>636</v>
      </c>
      <c r="K2995" s="74">
        <v>3195502</v>
      </c>
    </row>
    <row r="2996" spans="2:13" x14ac:dyDescent="0.3">
      <c r="B2996" s="44">
        <v>46046</v>
      </c>
      <c r="C2996" s="3" t="s">
        <v>416</v>
      </c>
      <c r="D2996" s="3" t="s">
        <v>68</v>
      </c>
      <c r="E2996" s="42"/>
      <c r="F2996" s="3" t="s">
        <v>687</v>
      </c>
      <c r="G2996" s="3" t="s">
        <v>391</v>
      </c>
      <c r="H2996" s="4">
        <v>3193806</v>
      </c>
      <c r="I2996" s="4" t="s">
        <v>649</v>
      </c>
      <c r="J2996" s="4" t="s">
        <v>456</v>
      </c>
      <c r="K2996" s="4">
        <v>3545602</v>
      </c>
    </row>
    <row r="2997" spans="2:13" x14ac:dyDescent="0.3">
      <c r="B2997" s="44">
        <v>46046</v>
      </c>
      <c r="C2997" s="3" t="s">
        <v>416</v>
      </c>
      <c r="D2997" s="3" t="s">
        <v>499</v>
      </c>
      <c r="E2997" s="42"/>
      <c r="F2997" s="3" t="s">
        <v>687</v>
      </c>
      <c r="G2997" s="3" t="s">
        <v>231</v>
      </c>
      <c r="H2997" s="4">
        <v>3819503</v>
      </c>
      <c r="I2997" s="3" t="s">
        <v>474</v>
      </c>
      <c r="J2997" s="3" t="s">
        <v>597</v>
      </c>
      <c r="K2997" s="4">
        <v>3352707</v>
      </c>
      <c r="M2997" s="4"/>
    </row>
    <row r="2998" spans="2:13" x14ac:dyDescent="0.3">
      <c r="B2998" s="44">
        <v>46053</v>
      </c>
      <c r="C2998" s="3" t="s">
        <v>416</v>
      </c>
      <c r="D2998" s="3" t="s">
        <v>490</v>
      </c>
      <c r="E2998" s="4"/>
      <c r="F2998" s="3" t="s">
        <v>475</v>
      </c>
      <c r="G2998" s="3" t="s">
        <v>125</v>
      </c>
      <c r="H2998" s="4">
        <v>3362807</v>
      </c>
      <c r="I2998" s="4" t="s">
        <v>660</v>
      </c>
      <c r="J2998" s="4" t="s">
        <v>137</v>
      </c>
      <c r="K2998" s="4">
        <v>3359908</v>
      </c>
    </row>
    <row r="2999" spans="2:13" x14ac:dyDescent="0.3">
      <c r="B2999" s="44">
        <v>46053</v>
      </c>
      <c r="C2999" s="3" t="s">
        <v>416</v>
      </c>
      <c r="D2999" s="3" t="s">
        <v>64</v>
      </c>
      <c r="E2999" s="42">
        <v>4370907</v>
      </c>
      <c r="F2999" s="3" t="s">
        <v>475</v>
      </c>
      <c r="G2999" s="3" t="s">
        <v>310</v>
      </c>
      <c r="H2999" s="4">
        <v>3212402</v>
      </c>
      <c r="I2999" s="4" t="s">
        <v>673</v>
      </c>
      <c r="J2999" s="4" t="s">
        <v>355</v>
      </c>
      <c r="K2999" s="4">
        <v>3195002</v>
      </c>
    </row>
    <row r="3000" spans="2:13" x14ac:dyDescent="0.3">
      <c r="B3000" s="44">
        <v>46053</v>
      </c>
      <c r="C3000" s="3" t="s">
        <v>416</v>
      </c>
      <c r="D3000" s="3" t="s">
        <v>494</v>
      </c>
      <c r="E3000" s="42"/>
      <c r="F3000" s="3" t="s">
        <v>475</v>
      </c>
      <c r="G3000" s="3" t="s">
        <v>183</v>
      </c>
      <c r="H3000" s="4">
        <v>3362901</v>
      </c>
      <c r="I3000" s="4" t="s">
        <v>708</v>
      </c>
      <c r="J3000" s="4" t="s">
        <v>141</v>
      </c>
      <c r="K3000" s="4">
        <v>3125802</v>
      </c>
    </row>
    <row r="3001" spans="2:13" x14ac:dyDescent="0.3">
      <c r="B3001" s="44">
        <v>46053</v>
      </c>
      <c r="C3001" s="3" t="s">
        <v>416</v>
      </c>
      <c r="D3001" s="3" t="s">
        <v>498</v>
      </c>
      <c r="E3001" s="42"/>
      <c r="F3001" s="3" t="s">
        <v>475</v>
      </c>
      <c r="G3001" s="3" t="s">
        <v>184</v>
      </c>
      <c r="H3001" s="53">
        <v>3363004</v>
      </c>
      <c r="I3001" s="3" t="s">
        <v>688</v>
      </c>
      <c r="J3001" s="3" t="s">
        <v>146</v>
      </c>
      <c r="K3001" s="53">
        <v>3346405</v>
      </c>
    </row>
    <row r="3002" spans="2:13" x14ac:dyDescent="0.3">
      <c r="B3002" s="44">
        <v>46053</v>
      </c>
      <c r="C3002" s="3" t="s">
        <v>416</v>
      </c>
      <c r="D3002" s="3" t="s">
        <v>70</v>
      </c>
      <c r="E3002" s="42"/>
      <c r="F3002" s="3" t="s">
        <v>475</v>
      </c>
      <c r="G3002" s="3" t="s">
        <v>371</v>
      </c>
      <c r="H3002" s="53">
        <v>3212006</v>
      </c>
      <c r="I3002" s="3" t="s">
        <v>689</v>
      </c>
      <c r="J3002" s="3" t="s">
        <v>404</v>
      </c>
      <c r="K3002" s="53">
        <v>3196605</v>
      </c>
    </row>
    <row r="3003" spans="2:13" x14ac:dyDescent="0.3">
      <c r="B3003" s="44">
        <v>46053</v>
      </c>
      <c r="C3003" s="3" t="s">
        <v>416</v>
      </c>
      <c r="D3003" s="3" t="s">
        <v>501</v>
      </c>
      <c r="E3003" s="42"/>
      <c r="F3003" s="3" t="s">
        <v>475</v>
      </c>
      <c r="G3003" s="3" t="s">
        <v>241</v>
      </c>
      <c r="H3003" s="4">
        <v>3362401</v>
      </c>
      <c r="I3003" s="3" t="s">
        <v>708</v>
      </c>
      <c r="J3003" s="3" t="s">
        <v>598</v>
      </c>
      <c r="K3003" s="4">
        <v>3354903</v>
      </c>
      <c r="M3003" s="51"/>
    </row>
    <row r="3004" spans="2:13" x14ac:dyDescent="0.3">
      <c r="B3004" s="44">
        <v>46053</v>
      </c>
      <c r="C3004" s="3" t="s">
        <v>416</v>
      </c>
      <c r="D3004" s="3" t="s">
        <v>590</v>
      </c>
      <c r="E3004" s="42"/>
      <c r="F3004" s="3" t="s">
        <v>648</v>
      </c>
      <c r="G3004" s="3" t="s">
        <v>449</v>
      </c>
      <c r="H3004" s="4">
        <v>3961500</v>
      </c>
      <c r="I3004" s="4" t="s">
        <v>691</v>
      </c>
      <c r="J3004" s="4" t="s">
        <v>289</v>
      </c>
      <c r="K3004" s="4">
        <v>3068804</v>
      </c>
    </row>
    <row r="3005" spans="2:13" x14ac:dyDescent="0.3">
      <c r="B3005" s="44">
        <v>46053</v>
      </c>
      <c r="C3005" s="3" t="s">
        <v>416</v>
      </c>
      <c r="D3005" s="3" t="s">
        <v>68</v>
      </c>
      <c r="E3005" s="42"/>
      <c r="F3005" s="3" t="s">
        <v>649</v>
      </c>
      <c r="G3005" s="3" t="s">
        <v>456</v>
      </c>
      <c r="H3005" s="4">
        <v>3545602</v>
      </c>
      <c r="I3005" s="4" t="s">
        <v>474</v>
      </c>
      <c r="J3005" s="4" t="s">
        <v>383</v>
      </c>
      <c r="K3005" s="4">
        <v>3200502</v>
      </c>
    </row>
    <row r="3006" spans="2:13" x14ac:dyDescent="0.3">
      <c r="B3006" s="44">
        <v>46053</v>
      </c>
      <c r="C3006" s="3" t="s">
        <v>416</v>
      </c>
      <c r="D3006" s="3" t="s">
        <v>486</v>
      </c>
      <c r="E3006" s="42"/>
      <c r="F3006" s="4" t="s">
        <v>651</v>
      </c>
      <c r="G3006" s="4" t="s">
        <v>97</v>
      </c>
      <c r="H3006" s="4">
        <v>3362005</v>
      </c>
      <c r="I3006" s="3" t="s">
        <v>681</v>
      </c>
      <c r="J3006" s="3" t="s">
        <v>105</v>
      </c>
      <c r="K3006" s="4">
        <v>3035809</v>
      </c>
    </row>
    <row r="3007" spans="2:13" x14ac:dyDescent="0.3">
      <c r="B3007" s="44">
        <v>46053</v>
      </c>
      <c r="C3007" s="3" t="s">
        <v>416</v>
      </c>
      <c r="D3007" s="3" t="s">
        <v>68</v>
      </c>
      <c r="E3007" s="42"/>
      <c r="F3007" s="3" t="s">
        <v>651</v>
      </c>
      <c r="G3007" s="3" t="s">
        <v>387</v>
      </c>
      <c r="H3007" s="4">
        <v>3211403</v>
      </c>
      <c r="I3007" s="4" t="s">
        <v>665</v>
      </c>
      <c r="J3007" s="4" t="s">
        <v>627</v>
      </c>
      <c r="K3007" s="4" t="s">
        <v>638</v>
      </c>
    </row>
    <row r="3008" spans="2:13" x14ac:dyDescent="0.3">
      <c r="B3008" s="44">
        <v>46053</v>
      </c>
      <c r="C3008" s="3" t="s">
        <v>416</v>
      </c>
      <c r="D3008" s="3" t="s">
        <v>499</v>
      </c>
      <c r="E3008" s="42"/>
      <c r="F3008" s="3" t="s">
        <v>651</v>
      </c>
      <c r="G3008" s="3" t="s">
        <v>226</v>
      </c>
      <c r="H3008" s="4">
        <v>3361902</v>
      </c>
      <c r="I3008" s="3" t="s">
        <v>665</v>
      </c>
      <c r="J3008" s="3" t="s">
        <v>461</v>
      </c>
      <c r="K3008" s="4">
        <v>3818702</v>
      </c>
    </row>
    <row r="3009" spans="1:43" x14ac:dyDescent="0.3">
      <c r="B3009" s="44">
        <v>46053</v>
      </c>
      <c r="C3009" s="3" t="s">
        <v>416</v>
      </c>
      <c r="D3009" s="3" t="s">
        <v>59</v>
      </c>
      <c r="E3009" s="42"/>
      <c r="F3009" s="4" t="s">
        <v>653</v>
      </c>
      <c r="G3009" s="4" t="s">
        <v>272</v>
      </c>
      <c r="H3009" s="4">
        <v>3211205</v>
      </c>
      <c r="I3009" s="3" t="s">
        <v>662</v>
      </c>
      <c r="J3009" s="3" t="s">
        <v>314</v>
      </c>
      <c r="K3009" s="4">
        <v>3208004</v>
      </c>
    </row>
    <row r="3010" spans="1:43" x14ac:dyDescent="0.3">
      <c r="B3010" s="44">
        <v>46053</v>
      </c>
      <c r="C3010" s="3" t="s">
        <v>416</v>
      </c>
      <c r="D3010" s="3" t="s">
        <v>497</v>
      </c>
      <c r="E3010" s="42"/>
      <c r="F3010" s="17" t="s">
        <v>653</v>
      </c>
      <c r="G3010" s="17" t="s">
        <v>208</v>
      </c>
      <c r="H3010" s="74">
        <v>3361308</v>
      </c>
      <c r="I3010" s="3" t="s">
        <v>681</v>
      </c>
      <c r="J3010" s="3" t="s">
        <v>175</v>
      </c>
      <c r="K3010" s="74">
        <v>3347800</v>
      </c>
    </row>
    <row r="3011" spans="1:43" x14ac:dyDescent="0.3">
      <c r="B3011" s="44">
        <v>46053</v>
      </c>
      <c r="C3011" s="3" t="s">
        <v>416</v>
      </c>
      <c r="D3011" s="3" t="s">
        <v>593</v>
      </c>
      <c r="E3011" s="42"/>
      <c r="F3011" s="3" t="s">
        <v>653</v>
      </c>
      <c r="G3011" s="3" t="s">
        <v>459</v>
      </c>
      <c r="H3011" s="4">
        <v>3211101</v>
      </c>
      <c r="I3011" s="4" t="s">
        <v>661</v>
      </c>
      <c r="J3011" s="4" t="s">
        <v>640</v>
      </c>
      <c r="K3011" s="4">
        <v>3210102</v>
      </c>
    </row>
    <row r="3012" spans="1:43" x14ac:dyDescent="0.3">
      <c r="A3012" s="4"/>
      <c r="B3012" s="100">
        <v>46053</v>
      </c>
      <c r="C3012" s="98" t="s">
        <v>553</v>
      </c>
      <c r="D3012" s="4" t="s">
        <v>521</v>
      </c>
      <c r="E3012" s="4"/>
      <c r="F3012" s="73" t="s">
        <v>479</v>
      </c>
      <c r="G3012" s="73" t="s">
        <v>479</v>
      </c>
      <c r="H3012" s="73"/>
      <c r="I3012" s="73" t="s">
        <v>529</v>
      </c>
      <c r="J3012" s="73" t="s">
        <v>529</v>
      </c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</row>
    <row r="3013" spans="1:43" x14ac:dyDescent="0.3">
      <c r="B3013" s="44">
        <v>46053</v>
      </c>
      <c r="C3013" s="3" t="s">
        <v>416</v>
      </c>
      <c r="D3013" s="3" t="s">
        <v>504</v>
      </c>
      <c r="E3013" s="42"/>
      <c r="F3013" s="3" t="s">
        <v>479</v>
      </c>
      <c r="G3013" s="3" t="s">
        <v>9</v>
      </c>
      <c r="H3013" s="4">
        <v>3033405</v>
      </c>
      <c r="I3013" s="4" t="s">
        <v>480</v>
      </c>
      <c r="J3013" s="4" t="s">
        <v>505</v>
      </c>
      <c r="K3013" s="4">
        <v>3033207</v>
      </c>
    </row>
    <row r="3014" spans="1:43" x14ac:dyDescent="0.3">
      <c r="B3014" s="44">
        <v>46053</v>
      </c>
      <c r="C3014" s="3" t="s">
        <v>416</v>
      </c>
      <c r="D3014" s="3" t="s">
        <v>490</v>
      </c>
      <c r="E3014" s="4"/>
      <c r="F3014" s="3" t="s">
        <v>479</v>
      </c>
      <c r="G3014" s="3" t="s">
        <v>136</v>
      </c>
      <c r="H3014" s="4">
        <v>3360903</v>
      </c>
      <c r="I3014" s="4" t="s">
        <v>472</v>
      </c>
      <c r="J3014" s="4" t="s">
        <v>140</v>
      </c>
      <c r="K3014" s="4">
        <v>3357900</v>
      </c>
    </row>
    <row r="3015" spans="1:43" x14ac:dyDescent="0.3">
      <c r="B3015" s="44">
        <v>46053</v>
      </c>
      <c r="C3015" s="3" t="s">
        <v>416</v>
      </c>
      <c r="D3015" s="3" t="s">
        <v>590</v>
      </c>
      <c r="E3015" s="42"/>
      <c r="F3015" s="4" t="s">
        <v>479</v>
      </c>
      <c r="G3015" s="4" t="s">
        <v>284</v>
      </c>
      <c r="H3015" s="4">
        <v>3210904</v>
      </c>
      <c r="I3015" s="3" t="s">
        <v>474</v>
      </c>
      <c r="J3015" s="3" t="s">
        <v>317</v>
      </c>
      <c r="K3015" s="4">
        <v>3200700</v>
      </c>
    </row>
    <row r="3016" spans="1:43" x14ac:dyDescent="0.3">
      <c r="B3016" s="44">
        <v>46053</v>
      </c>
      <c r="C3016" s="3" t="s">
        <v>416</v>
      </c>
      <c r="D3016" s="3" t="s">
        <v>490</v>
      </c>
      <c r="E3016" s="4"/>
      <c r="F3016" s="3" t="s">
        <v>479</v>
      </c>
      <c r="G3016" s="3" t="s">
        <v>166</v>
      </c>
      <c r="H3016" s="4">
        <v>3361006</v>
      </c>
      <c r="I3016" s="4" t="s">
        <v>654</v>
      </c>
      <c r="J3016" s="4" t="s">
        <v>143</v>
      </c>
      <c r="K3016" s="4">
        <v>3349704</v>
      </c>
    </row>
    <row r="3017" spans="1:43" x14ac:dyDescent="0.3">
      <c r="B3017" s="44">
        <v>46053</v>
      </c>
      <c r="C3017" s="3" t="s">
        <v>416</v>
      </c>
      <c r="D3017" s="3" t="s">
        <v>62</v>
      </c>
      <c r="E3017" s="42"/>
      <c r="F3017" s="4" t="s">
        <v>479</v>
      </c>
      <c r="G3017" s="4" t="s">
        <v>319</v>
      </c>
      <c r="H3017" s="4">
        <v>3210508</v>
      </c>
      <c r="I3017" s="3" t="s">
        <v>471</v>
      </c>
      <c r="J3017" s="3" t="s">
        <v>328</v>
      </c>
      <c r="K3017" s="4">
        <v>3196803</v>
      </c>
    </row>
    <row r="3018" spans="1:43" x14ac:dyDescent="0.3">
      <c r="B3018" s="44">
        <v>46053</v>
      </c>
      <c r="C3018" s="3" t="s">
        <v>416</v>
      </c>
      <c r="D3018" s="3" t="s">
        <v>493</v>
      </c>
      <c r="E3018" s="42"/>
      <c r="F3018" s="3" t="s">
        <v>479</v>
      </c>
      <c r="G3018" s="3" t="s">
        <v>210</v>
      </c>
      <c r="H3018" s="4">
        <v>3361100</v>
      </c>
      <c r="I3018" s="4" t="s">
        <v>471</v>
      </c>
      <c r="J3018" s="4" t="s">
        <v>174</v>
      </c>
      <c r="K3018" s="4">
        <v>3348101</v>
      </c>
    </row>
    <row r="3019" spans="1:43" x14ac:dyDescent="0.3">
      <c r="B3019" s="44">
        <v>46053</v>
      </c>
      <c r="C3019" s="3" t="s">
        <v>416</v>
      </c>
      <c r="D3019" s="3" t="s">
        <v>65</v>
      </c>
      <c r="E3019" s="42"/>
      <c r="F3019" s="3" t="s">
        <v>479</v>
      </c>
      <c r="G3019" s="3" t="s">
        <v>320</v>
      </c>
      <c r="H3019" s="4">
        <v>3210602</v>
      </c>
      <c r="I3019" s="4" t="s">
        <v>476</v>
      </c>
      <c r="J3019" s="4" t="s">
        <v>358</v>
      </c>
      <c r="K3019" s="4">
        <v>3206402</v>
      </c>
    </row>
    <row r="3020" spans="1:43" x14ac:dyDescent="0.3">
      <c r="A3020" s="4"/>
      <c r="B3020" s="100">
        <v>46053</v>
      </c>
      <c r="C3020" s="98" t="s">
        <v>553</v>
      </c>
      <c r="D3020" s="4" t="s">
        <v>508</v>
      </c>
      <c r="E3020" s="4"/>
      <c r="F3020" s="73" t="s">
        <v>554</v>
      </c>
      <c r="G3020" s="73" t="s">
        <v>9</v>
      </c>
      <c r="H3020" s="73"/>
      <c r="I3020" s="73" t="s">
        <v>509</v>
      </c>
      <c r="J3020" s="73" t="s">
        <v>509</v>
      </c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</row>
    <row r="3021" spans="1:43" x14ac:dyDescent="0.3">
      <c r="B3021" s="44">
        <v>46053</v>
      </c>
      <c r="C3021" s="3" t="s">
        <v>416</v>
      </c>
      <c r="D3021" s="3" t="s">
        <v>63</v>
      </c>
      <c r="E3021" s="42"/>
      <c r="F3021" s="3" t="s">
        <v>658</v>
      </c>
      <c r="G3021" s="3" t="s">
        <v>366</v>
      </c>
      <c r="H3021" s="74">
        <v>3210404</v>
      </c>
      <c r="I3021" s="3" t="s">
        <v>478</v>
      </c>
      <c r="J3021" s="3" t="s">
        <v>331</v>
      </c>
      <c r="K3021" s="74">
        <v>3205403</v>
      </c>
    </row>
    <row r="3022" spans="1:43" x14ac:dyDescent="0.3">
      <c r="B3022" s="44">
        <v>46053</v>
      </c>
      <c r="C3022" s="3" t="s">
        <v>416</v>
      </c>
      <c r="D3022" s="3" t="s">
        <v>486</v>
      </c>
      <c r="E3022" s="42"/>
      <c r="F3022" s="3" t="s">
        <v>480</v>
      </c>
      <c r="G3022" s="3" t="s">
        <v>406</v>
      </c>
      <c r="H3022" s="4">
        <v>3124501</v>
      </c>
      <c r="I3022" s="4" t="s">
        <v>646</v>
      </c>
      <c r="J3022" s="4" t="s">
        <v>102</v>
      </c>
      <c r="K3022" s="4">
        <v>3125406</v>
      </c>
    </row>
    <row r="3023" spans="1:43" x14ac:dyDescent="0.3">
      <c r="B3023" s="44">
        <v>46053</v>
      </c>
      <c r="C3023" s="3" t="s">
        <v>416</v>
      </c>
      <c r="D3023" s="3" t="s">
        <v>497</v>
      </c>
      <c r="E3023" s="42"/>
      <c r="F3023" s="17" t="s">
        <v>480</v>
      </c>
      <c r="G3023" s="17" t="s">
        <v>428</v>
      </c>
      <c r="H3023" s="74">
        <v>3360309</v>
      </c>
      <c r="I3023" s="17" t="s">
        <v>653</v>
      </c>
      <c r="J3023" s="17" t="s">
        <v>209</v>
      </c>
      <c r="K3023" s="74">
        <v>3360705</v>
      </c>
    </row>
    <row r="3024" spans="1:43" x14ac:dyDescent="0.3">
      <c r="B3024" s="44">
        <v>46053</v>
      </c>
      <c r="C3024" s="3" t="s">
        <v>416</v>
      </c>
      <c r="D3024" s="3" t="s">
        <v>56</v>
      </c>
      <c r="E3024" s="42"/>
      <c r="F3024" s="4" t="s">
        <v>661</v>
      </c>
      <c r="G3024" s="4" t="s">
        <v>439</v>
      </c>
      <c r="H3024" s="4">
        <v>3023701</v>
      </c>
      <c r="I3024" s="106" t="s">
        <v>672</v>
      </c>
      <c r="J3024" s="106" t="s">
        <v>252</v>
      </c>
      <c r="K3024" s="106">
        <v>3070204</v>
      </c>
    </row>
    <row r="3025" spans="2:11" x14ac:dyDescent="0.3">
      <c r="B3025" s="44">
        <v>46053</v>
      </c>
      <c r="C3025" s="3" t="s">
        <v>416</v>
      </c>
      <c r="D3025" s="3" t="s">
        <v>487</v>
      </c>
      <c r="E3025" s="4"/>
      <c r="F3025" s="4" t="s">
        <v>657</v>
      </c>
      <c r="G3025" s="4" t="s">
        <v>107</v>
      </c>
      <c r="H3025" s="4">
        <v>3068408</v>
      </c>
      <c r="I3025" s="3" t="s">
        <v>663</v>
      </c>
      <c r="J3025" s="3" t="s">
        <v>419</v>
      </c>
      <c r="K3025" s="4">
        <v>3349204</v>
      </c>
    </row>
    <row r="3026" spans="2:11" x14ac:dyDescent="0.3">
      <c r="B3026" s="44">
        <v>46053</v>
      </c>
      <c r="C3026" s="3" t="s">
        <v>416</v>
      </c>
      <c r="D3026" s="3" t="s">
        <v>590</v>
      </c>
      <c r="E3026" s="42"/>
      <c r="F3026" s="4" t="s">
        <v>657</v>
      </c>
      <c r="G3026" s="4" t="s">
        <v>321</v>
      </c>
      <c r="H3026" s="4">
        <v>3209607</v>
      </c>
      <c r="I3026" s="3" t="s">
        <v>699</v>
      </c>
      <c r="J3026" s="3" t="s">
        <v>594</v>
      </c>
      <c r="K3026" s="4">
        <v>3196407</v>
      </c>
    </row>
    <row r="3027" spans="2:11" x14ac:dyDescent="0.3">
      <c r="B3027" s="44">
        <v>46053</v>
      </c>
      <c r="C3027" s="3" t="s">
        <v>416</v>
      </c>
      <c r="D3027" s="3" t="s">
        <v>497</v>
      </c>
      <c r="E3027" s="42"/>
      <c r="F3027" s="17" t="s">
        <v>657</v>
      </c>
      <c r="G3027" s="17" t="s">
        <v>213</v>
      </c>
      <c r="H3027" s="74">
        <v>3359502</v>
      </c>
      <c r="I3027" s="3" t="s">
        <v>654</v>
      </c>
      <c r="J3027" s="3" t="s">
        <v>438</v>
      </c>
      <c r="K3027" s="74">
        <v>3906207</v>
      </c>
    </row>
    <row r="3028" spans="2:11" x14ac:dyDescent="0.3">
      <c r="B3028" s="44">
        <v>46053</v>
      </c>
      <c r="C3028" s="3" t="s">
        <v>416</v>
      </c>
      <c r="D3028" s="3" t="s">
        <v>495</v>
      </c>
      <c r="E3028" s="42"/>
      <c r="F3028" s="3" t="s">
        <v>570</v>
      </c>
      <c r="G3028" s="3" t="s">
        <v>570</v>
      </c>
      <c r="H3028" s="4" t="s">
        <v>556</v>
      </c>
      <c r="I3028" s="3" t="s">
        <v>666</v>
      </c>
      <c r="J3028" s="3" t="s">
        <v>193</v>
      </c>
      <c r="K3028" s="4">
        <v>3357108</v>
      </c>
    </row>
    <row r="3029" spans="2:11" x14ac:dyDescent="0.3">
      <c r="B3029" s="44">
        <v>46053</v>
      </c>
      <c r="C3029" s="3" t="s">
        <v>416</v>
      </c>
      <c r="D3029" s="3" t="s">
        <v>67</v>
      </c>
      <c r="E3029" s="42"/>
      <c r="F3029" s="4" t="s">
        <v>570</v>
      </c>
      <c r="G3029" s="4" t="s">
        <v>570</v>
      </c>
      <c r="H3029" s="4" t="s">
        <v>556</v>
      </c>
      <c r="I3029" s="3" t="s">
        <v>647</v>
      </c>
      <c r="J3029" s="3" t="s">
        <v>345</v>
      </c>
      <c r="K3029" s="4">
        <v>3194003</v>
      </c>
    </row>
    <row r="3030" spans="2:11" x14ac:dyDescent="0.3">
      <c r="B3030" s="44">
        <v>46053</v>
      </c>
      <c r="C3030" s="3" t="s">
        <v>416</v>
      </c>
      <c r="D3030" s="3" t="s">
        <v>68</v>
      </c>
      <c r="E3030" s="42"/>
      <c r="F3030" s="3" t="s">
        <v>570</v>
      </c>
      <c r="G3030" s="3" t="s">
        <v>570</v>
      </c>
      <c r="H3030" s="4" t="s">
        <v>556</v>
      </c>
      <c r="I3030" s="15" t="s">
        <v>664</v>
      </c>
      <c r="J3030" s="15" t="s">
        <v>388</v>
      </c>
      <c r="K3030" s="74">
        <v>3165306</v>
      </c>
    </row>
    <row r="3031" spans="2:11" x14ac:dyDescent="0.3">
      <c r="B3031" s="44">
        <v>46053</v>
      </c>
      <c r="C3031" s="3" t="s">
        <v>416</v>
      </c>
      <c r="D3031" s="3" t="s">
        <v>60</v>
      </c>
      <c r="E3031" s="42"/>
      <c r="F3031" s="3" t="s">
        <v>667</v>
      </c>
      <c r="G3031" s="3" t="s">
        <v>444</v>
      </c>
      <c r="H3031" s="4">
        <v>3209909</v>
      </c>
      <c r="I3031" s="3" t="s">
        <v>707</v>
      </c>
      <c r="J3031" s="3" t="s">
        <v>295</v>
      </c>
      <c r="K3031" s="32">
        <v>3207505</v>
      </c>
    </row>
    <row r="3032" spans="2:11" x14ac:dyDescent="0.3">
      <c r="B3032" s="44">
        <v>46053</v>
      </c>
      <c r="C3032" s="3" t="s">
        <v>416</v>
      </c>
      <c r="D3032" s="3" t="s">
        <v>60</v>
      </c>
      <c r="E3032" s="42"/>
      <c r="F3032" s="3" t="s">
        <v>667</v>
      </c>
      <c r="G3032" s="3" t="s">
        <v>294</v>
      </c>
      <c r="H3032" s="4">
        <v>3209409</v>
      </c>
      <c r="I3032" s="32" t="s">
        <v>705</v>
      </c>
      <c r="J3032" s="32" t="s">
        <v>293</v>
      </c>
      <c r="K3032" s="15">
        <v>3211705</v>
      </c>
    </row>
    <row r="3033" spans="2:11" x14ac:dyDescent="0.3">
      <c r="B3033" s="44">
        <v>46053</v>
      </c>
      <c r="C3033" s="3" t="s">
        <v>416</v>
      </c>
      <c r="D3033" s="3" t="s">
        <v>504</v>
      </c>
      <c r="E3033" s="42"/>
      <c r="F3033" s="4" t="s">
        <v>671</v>
      </c>
      <c r="G3033" s="4" t="s">
        <v>8</v>
      </c>
      <c r="H3033" s="4">
        <v>3034008</v>
      </c>
      <c r="I3033" s="3" t="s">
        <v>666</v>
      </c>
      <c r="J3033" s="3" t="s">
        <v>12</v>
      </c>
      <c r="K3033" s="4">
        <v>3034206</v>
      </c>
    </row>
    <row r="3034" spans="2:11" x14ac:dyDescent="0.3">
      <c r="B3034" s="44">
        <v>46053</v>
      </c>
      <c r="C3034" s="3" t="s">
        <v>416</v>
      </c>
      <c r="D3034" s="3" t="s">
        <v>590</v>
      </c>
      <c r="E3034" s="42"/>
      <c r="F3034" s="4" t="s">
        <v>671</v>
      </c>
      <c r="G3034" s="4" t="s">
        <v>311</v>
      </c>
      <c r="H3034" s="4">
        <v>3209003</v>
      </c>
      <c r="I3034" s="3" t="s">
        <v>676</v>
      </c>
      <c r="J3034" s="3" t="s">
        <v>285</v>
      </c>
      <c r="K3034" s="4">
        <v>3208504</v>
      </c>
    </row>
    <row r="3035" spans="2:11" x14ac:dyDescent="0.3">
      <c r="B3035" s="44">
        <v>46053</v>
      </c>
      <c r="C3035" s="3" t="s">
        <v>416</v>
      </c>
      <c r="D3035" s="3" t="s">
        <v>496</v>
      </c>
      <c r="E3035" s="42"/>
      <c r="F3035" s="3" t="s">
        <v>671</v>
      </c>
      <c r="G3035" s="3" t="s">
        <v>203</v>
      </c>
      <c r="H3035" s="4">
        <v>3359304</v>
      </c>
      <c r="I3035" s="3" t="s">
        <v>675</v>
      </c>
      <c r="J3035" s="3" t="s">
        <v>198</v>
      </c>
      <c r="K3035" s="4">
        <v>3350803</v>
      </c>
    </row>
    <row r="3036" spans="2:11" x14ac:dyDescent="0.3">
      <c r="B3036" s="44">
        <v>46053</v>
      </c>
      <c r="C3036" s="3" t="s">
        <v>416</v>
      </c>
      <c r="D3036" s="3" t="s">
        <v>496</v>
      </c>
      <c r="E3036" s="42"/>
      <c r="F3036" s="3" t="s">
        <v>671</v>
      </c>
      <c r="G3036" s="3" t="s">
        <v>227</v>
      </c>
      <c r="H3036" s="4">
        <v>3359408</v>
      </c>
      <c r="I3036" s="4" t="s">
        <v>665</v>
      </c>
      <c r="J3036" s="4" t="s">
        <v>204</v>
      </c>
      <c r="K3036" s="4">
        <v>3357400</v>
      </c>
    </row>
    <row r="3037" spans="2:11" x14ac:dyDescent="0.3">
      <c r="B3037" s="44">
        <v>46053</v>
      </c>
      <c r="C3037" s="3" t="s">
        <v>416</v>
      </c>
      <c r="D3037" s="3" t="s">
        <v>66</v>
      </c>
      <c r="E3037" s="42"/>
      <c r="F3037" s="104" t="s">
        <v>659</v>
      </c>
      <c r="G3037" s="104" t="s">
        <v>602</v>
      </c>
      <c r="H3037" s="74">
        <v>4023001</v>
      </c>
      <c r="I3037" s="3" t="s">
        <v>696</v>
      </c>
      <c r="J3037" s="3" t="s">
        <v>609</v>
      </c>
      <c r="K3037" s="74">
        <v>3900401</v>
      </c>
    </row>
    <row r="3038" spans="2:11" x14ac:dyDescent="0.3">
      <c r="B3038" s="44">
        <v>46053</v>
      </c>
      <c r="C3038" s="3" t="s">
        <v>416</v>
      </c>
      <c r="D3038" s="4" t="s">
        <v>614</v>
      </c>
      <c r="E3038" s="42"/>
      <c r="F3038" s="3" t="s">
        <v>674</v>
      </c>
      <c r="G3038" s="3" t="s">
        <v>346</v>
      </c>
      <c r="H3038" s="4">
        <v>3208900</v>
      </c>
      <c r="I3038" s="4" t="s">
        <v>699</v>
      </c>
      <c r="J3038" s="4" t="s">
        <v>624</v>
      </c>
      <c r="K3038" s="4">
        <v>3196105</v>
      </c>
    </row>
    <row r="3039" spans="2:11" x14ac:dyDescent="0.3">
      <c r="B3039" s="44">
        <v>46053</v>
      </c>
      <c r="C3039" s="3" t="s">
        <v>416</v>
      </c>
      <c r="D3039" s="3" t="s">
        <v>490</v>
      </c>
      <c r="E3039" s="4"/>
      <c r="F3039" s="3" t="s">
        <v>676</v>
      </c>
      <c r="G3039" s="3" t="s">
        <v>138</v>
      </c>
      <c r="H3039" s="4">
        <v>3067805</v>
      </c>
      <c r="I3039" s="4" t="s">
        <v>480</v>
      </c>
      <c r="J3039" s="4" t="s">
        <v>420</v>
      </c>
      <c r="K3039" s="4">
        <v>3360101</v>
      </c>
    </row>
    <row r="3040" spans="2:11" x14ac:dyDescent="0.3">
      <c r="B3040" s="44">
        <v>46053</v>
      </c>
      <c r="C3040" s="3" t="s">
        <v>416</v>
      </c>
      <c r="D3040" s="3" t="s">
        <v>65</v>
      </c>
      <c r="E3040" s="42"/>
      <c r="F3040" s="3" t="s">
        <v>676</v>
      </c>
      <c r="G3040" s="3" t="s">
        <v>356</v>
      </c>
      <c r="H3040" s="4">
        <v>3208608</v>
      </c>
      <c r="I3040" s="4" t="s">
        <v>471</v>
      </c>
      <c r="J3040" s="4" t="s">
        <v>363</v>
      </c>
      <c r="K3040" s="4">
        <v>3196907</v>
      </c>
    </row>
    <row r="3041" spans="2:13" x14ac:dyDescent="0.3">
      <c r="B3041" s="44">
        <v>46053</v>
      </c>
      <c r="C3041" s="3" t="s">
        <v>416</v>
      </c>
      <c r="D3041" s="3" t="s">
        <v>500</v>
      </c>
      <c r="E3041" s="42"/>
      <c r="F3041" s="3" t="s">
        <v>676</v>
      </c>
      <c r="G3041" s="3" t="s">
        <v>577</v>
      </c>
      <c r="H3041" s="4" t="s">
        <v>556</v>
      </c>
      <c r="I3041" s="4" t="s">
        <v>479</v>
      </c>
      <c r="J3041" s="4" t="s">
        <v>465</v>
      </c>
      <c r="K3041" s="4">
        <v>3962207</v>
      </c>
    </row>
    <row r="3042" spans="2:13" x14ac:dyDescent="0.3">
      <c r="B3042" s="44">
        <v>46053</v>
      </c>
      <c r="C3042" s="3" t="s">
        <v>416</v>
      </c>
      <c r="D3042" s="3" t="s">
        <v>593</v>
      </c>
      <c r="E3042" s="42"/>
      <c r="F3042" s="3" t="s">
        <v>676</v>
      </c>
      <c r="G3042" s="3" t="s">
        <v>639</v>
      </c>
      <c r="H3042" s="4">
        <v>3776805</v>
      </c>
      <c r="I3042" s="4" t="s">
        <v>479</v>
      </c>
      <c r="J3042" s="4" t="s">
        <v>628</v>
      </c>
      <c r="K3042" s="4" t="s">
        <v>642</v>
      </c>
    </row>
    <row r="3043" spans="2:13" x14ac:dyDescent="0.3">
      <c r="B3043" s="44">
        <v>46053</v>
      </c>
      <c r="C3043" s="3" t="s">
        <v>416</v>
      </c>
      <c r="D3043" s="3" t="s">
        <v>486</v>
      </c>
      <c r="E3043" s="42"/>
      <c r="F3043" s="4" t="s">
        <v>680</v>
      </c>
      <c r="G3043" s="4" t="s">
        <v>98</v>
      </c>
      <c r="H3043" s="4">
        <v>3358909</v>
      </c>
      <c r="I3043" s="3" t="s">
        <v>682</v>
      </c>
      <c r="J3043" s="3" t="s">
        <v>559</v>
      </c>
      <c r="K3043" s="4">
        <v>3969200</v>
      </c>
    </row>
    <row r="3044" spans="2:13" x14ac:dyDescent="0.3">
      <c r="B3044" s="44">
        <v>46053</v>
      </c>
      <c r="C3044" s="3" t="s">
        <v>416</v>
      </c>
      <c r="D3044" s="3" t="s">
        <v>57</v>
      </c>
      <c r="E3044" s="42"/>
      <c r="F3044" s="4" t="s">
        <v>680</v>
      </c>
      <c r="G3044" s="4" t="s">
        <v>266</v>
      </c>
      <c r="H3044" s="4">
        <v>3208306</v>
      </c>
      <c r="I3044" s="74" t="s">
        <v>694</v>
      </c>
      <c r="J3044" s="74" t="s">
        <v>276</v>
      </c>
      <c r="K3044" s="74">
        <v>3201709</v>
      </c>
    </row>
    <row r="3045" spans="2:13" x14ac:dyDescent="0.3">
      <c r="B3045" s="44">
        <v>46053</v>
      </c>
      <c r="C3045" s="3" t="s">
        <v>416</v>
      </c>
      <c r="D3045" s="3" t="s">
        <v>63</v>
      </c>
      <c r="E3045" s="42"/>
      <c r="F3045" s="3" t="s">
        <v>680</v>
      </c>
      <c r="G3045" s="3" t="s">
        <v>329</v>
      </c>
      <c r="H3045" s="74">
        <v>3208108</v>
      </c>
      <c r="I3045" s="3" t="s">
        <v>683</v>
      </c>
      <c r="J3045" s="3" t="s">
        <v>368</v>
      </c>
      <c r="K3045" s="74">
        <v>3203009</v>
      </c>
    </row>
    <row r="3046" spans="2:13" x14ac:dyDescent="0.3">
      <c r="B3046" s="44">
        <v>46053</v>
      </c>
      <c r="C3046" s="3" t="s">
        <v>416</v>
      </c>
      <c r="D3046" s="3" t="s">
        <v>491</v>
      </c>
      <c r="E3046" s="42"/>
      <c r="F3046" s="4" t="s">
        <v>680</v>
      </c>
      <c r="G3046" s="4" t="s">
        <v>177</v>
      </c>
      <c r="H3046" s="4">
        <v>3899709</v>
      </c>
      <c r="I3046" s="3" t="s">
        <v>695</v>
      </c>
      <c r="J3046" s="3" t="s">
        <v>148</v>
      </c>
      <c r="K3046" s="4">
        <v>3355402</v>
      </c>
    </row>
    <row r="3047" spans="2:13" x14ac:dyDescent="0.3">
      <c r="B3047" s="44">
        <v>46053</v>
      </c>
      <c r="C3047" s="3" t="s">
        <v>416</v>
      </c>
      <c r="D3047" s="3" t="s">
        <v>66</v>
      </c>
      <c r="E3047" s="42"/>
      <c r="F3047" s="104" t="s">
        <v>680</v>
      </c>
      <c r="G3047" s="104" t="s">
        <v>603</v>
      </c>
      <c r="H3047" s="74">
        <v>3945400</v>
      </c>
      <c r="I3047" s="3" t="s">
        <v>709</v>
      </c>
      <c r="J3047" s="3" t="s">
        <v>607</v>
      </c>
      <c r="K3047" s="4">
        <v>3596309</v>
      </c>
    </row>
    <row r="3048" spans="2:13" x14ac:dyDescent="0.3">
      <c r="B3048" s="44">
        <v>46053</v>
      </c>
      <c r="C3048" s="3" t="s">
        <v>416</v>
      </c>
      <c r="D3048" s="3" t="s">
        <v>486</v>
      </c>
      <c r="E3048" s="42"/>
      <c r="F3048" s="4" t="s">
        <v>652</v>
      </c>
      <c r="G3048" s="4" t="s">
        <v>110</v>
      </c>
      <c r="H3048" s="4">
        <v>3359106</v>
      </c>
      <c r="I3048" s="3" t="s">
        <v>474</v>
      </c>
      <c r="J3048" s="3" t="s">
        <v>103</v>
      </c>
      <c r="K3048" s="4">
        <v>3353206</v>
      </c>
    </row>
    <row r="3049" spans="2:13" x14ac:dyDescent="0.3">
      <c r="B3049" s="44">
        <v>46053</v>
      </c>
      <c r="C3049" s="3" t="s">
        <v>416</v>
      </c>
      <c r="D3049" s="3" t="s">
        <v>610</v>
      </c>
      <c r="E3049" s="42"/>
      <c r="F3049" s="3" t="s">
        <v>652</v>
      </c>
      <c r="G3049" s="3" t="s">
        <v>347</v>
      </c>
      <c r="H3049" s="4">
        <v>3818504</v>
      </c>
      <c r="I3049" s="4" t="s">
        <v>682</v>
      </c>
      <c r="J3049" s="4" t="s">
        <v>611</v>
      </c>
      <c r="K3049" s="4">
        <v>3204800</v>
      </c>
    </row>
    <row r="3050" spans="2:13" x14ac:dyDescent="0.3">
      <c r="B3050" s="44">
        <v>46053</v>
      </c>
      <c r="C3050" s="3" t="s">
        <v>416</v>
      </c>
      <c r="D3050" s="3" t="s">
        <v>68</v>
      </c>
      <c r="E3050" s="42"/>
      <c r="F3050" s="3" t="s">
        <v>652</v>
      </c>
      <c r="G3050" s="3" t="s">
        <v>625</v>
      </c>
      <c r="H3050" s="4">
        <v>3899803</v>
      </c>
      <c r="I3050" s="4" t="s">
        <v>687</v>
      </c>
      <c r="J3050" s="4" t="s">
        <v>391</v>
      </c>
      <c r="K3050" s="4">
        <v>3193806</v>
      </c>
    </row>
    <row r="3051" spans="2:13" x14ac:dyDescent="0.3">
      <c r="B3051" s="44">
        <v>46053</v>
      </c>
      <c r="C3051" s="3" t="s">
        <v>416</v>
      </c>
      <c r="D3051" s="3" t="s">
        <v>499</v>
      </c>
      <c r="E3051" s="42"/>
      <c r="F3051" s="3" t="s">
        <v>652</v>
      </c>
      <c r="G3051" s="3" t="s">
        <v>573</v>
      </c>
      <c r="H3051" s="4">
        <v>3818400</v>
      </c>
      <c r="I3051" s="3" t="s">
        <v>687</v>
      </c>
      <c r="J3051" s="3" t="s">
        <v>231</v>
      </c>
      <c r="K3051" s="4">
        <v>3819503</v>
      </c>
      <c r="M3051" s="51"/>
    </row>
    <row r="3052" spans="2:13" x14ac:dyDescent="0.3">
      <c r="B3052" s="44">
        <v>46053</v>
      </c>
      <c r="C3052" s="3" t="s">
        <v>416</v>
      </c>
      <c r="D3052" s="3" t="s">
        <v>68</v>
      </c>
      <c r="E3052" s="42"/>
      <c r="F3052" s="3" t="s">
        <v>686</v>
      </c>
      <c r="G3052" s="3" t="s">
        <v>626</v>
      </c>
      <c r="H3052" s="4" t="s">
        <v>637</v>
      </c>
      <c r="I3052" s="4" t="s">
        <v>665</v>
      </c>
      <c r="J3052" s="4" t="s">
        <v>457</v>
      </c>
      <c r="K3052" s="4">
        <v>3818806</v>
      </c>
    </row>
    <row r="3053" spans="2:13" x14ac:dyDescent="0.3">
      <c r="B3053" s="44">
        <v>46053</v>
      </c>
      <c r="C3053" s="3" t="s">
        <v>416</v>
      </c>
      <c r="D3053" s="3" t="s">
        <v>504</v>
      </c>
      <c r="E3053" s="42"/>
      <c r="F3053" s="3" t="s">
        <v>662</v>
      </c>
      <c r="G3053" s="3" t="s">
        <v>99</v>
      </c>
      <c r="H3053" s="4">
        <v>3125604</v>
      </c>
      <c r="I3053" s="3" t="s">
        <v>471</v>
      </c>
      <c r="J3053" s="3" t="s">
        <v>14</v>
      </c>
      <c r="K3053" s="4">
        <v>3348601</v>
      </c>
    </row>
    <row r="3054" spans="2:13" x14ac:dyDescent="0.3">
      <c r="B3054" s="44">
        <v>46053</v>
      </c>
      <c r="C3054" s="3" t="s">
        <v>416</v>
      </c>
      <c r="D3054" s="3" t="s">
        <v>64</v>
      </c>
      <c r="E3054" s="42">
        <v>4370907</v>
      </c>
      <c r="F3054" s="3" t="s">
        <v>662</v>
      </c>
      <c r="G3054" s="3" t="s">
        <v>372</v>
      </c>
      <c r="H3054" s="4">
        <v>3207703</v>
      </c>
      <c r="I3054" s="4" t="s">
        <v>692</v>
      </c>
      <c r="J3054" s="4" t="s">
        <v>342</v>
      </c>
      <c r="K3054" s="4">
        <v>3196501</v>
      </c>
    </row>
    <row r="3055" spans="2:13" x14ac:dyDescent="0.3">
      <c r="B3055" s="44">
        <v>46053</v>
      </c>
      <c r="C3055" s="3" t="s">
        <v>416</v>
      </c>
      <c r="D3055" s="3" t="s">
        <v>494</v>
      </c>
      <c r="E3055" s="42"/>
      <c r="F3055" s="4" t="s">
        <v>662</v>
      </c>
      <c r="G3055" s="4" t="s">
        <v>242</v>
      </c>
      <c r="H3055" s="4">
        <v>3358107</v>
      </c>
      <c r="I3055" s="3" t="s">
        <v>694</v>
      </c>
      <c r="J3055" s="3" t="s">
        <v>221</v>
      </c>
      <c r="K3055" s="4">
        <v>3353404</v>
      </c>
    </row>
    <row r="3056" spans="2:13" x14ac:dyDescent="0.3">
      <c r="B3056" s="44">
        <v>46053</v>
      </c>
      <c r="C3056" s="3" t="s">
        <v>416</v>
      </c>
      <c r="D3056" s="3" t="s">
        <v>70</v>
      </c>
      <c r="E3056" s="42"/>
      <c r="F3056" s="3" t="s">
        <v>662</v>
      </c>
      <c r="G3056" s="3" t="s">
        <v>399</v>
      </c>
      <c r="H3056" s="4">
        <v>3207401</v>
      </c>
      <c r="I3056" s="3" t="s">
        <v>717</v>
      </c>
      <c r="J3056" s="3" t="s">
        <v>434</v>
      </c>
      <c r="K3056" s="4">
        <v>3195408</v>
      </c>
    </row>
    <row r="3057" spans="1:43" x14ac:dyDescent="0.3">
      <c r="B3057" s="44">
        <v>46053</v>
      </c>
      <c r="C3057" s="3" t="s">
        <v>416</v>
      </c>
      <c r="D3057" s="3" t="s">
        <v>501</v>
      </c>
      <c r="E3057" s="42"/>
      <c r="F3057" s="3" t="s">
        <v>662</v>
      </c>
      <c r="G3057" s="3" t="s">
        <v>243</v>
      </c>
      <c r="H3057" s="4">
        <v>3899907</v>
      </c>
      <c r="I3057" s="3" t="s">
        <v>722</v>
      </c>
      <c r="J3057" s="3" t="s">
        <v>600</v>
      </c>
      <c r="K3057" s="4" t="s">
        <v>556</v>
      </c>
      <c r="M3057" s="3" t="s">
        <v>243</v>
      </c>
      <c r="N3057" s="3" t="s">
        <v>597</v>
      </c>
    </row>
    <row r="3058" spans="1:43" x14ac:dyDescent="0.3">
      <c r="B3058" s="44">
        <v>46053</v>
      </c>
      <c r="C3058" s="3" t="s">
        <v>416</v>
      </c>
      <c r="D3058" s="3" t="s">
        <v>592</v>
      </c>
      <c r="E3058" s="42"/>
      <c r="F3058" s="3" t="s">
        <v>662</v>
      </c>
      <c r="G3058" s="3" t="s">
        <v>634</v>
      </c>
      <c r="H3058" s="74">
        <v>4023105</v>
      </c>
      <c r="I3058" s="3" t="s">
        <v>647</v>
      </c>
      <c r="J3058" s="3" t="s">
        <v>405</v>
      </c>
      <c r="K3058" s="74">
        <v>3901108</v>
      </c>
    </row>
    <row r="3059" spans="1:43" x14ac:dyDescent="0.3">
      <c r="A3059" s="4"/>
      <c r="B3059" s="100">
        <v>46053</v>
      </c>
      <c r="C3059" s="98" t="s">
        <v>553</v>
      </c>
      <c r="D3059" s="4" t="s">
        <v>521</v>
      </c>
      <c r="E3059" s="4"/>
      <c r="F3059" s="73" t="s">
        <v>472</v>
      </c>
      <c r="G3059" s="73" t="s">
        <v>472</v>
      </c>
      <c r="H3059" s="73"/>
      <c r="I3059" s="73" t="s">
        <v>528</v>
      </c>
      <c r="J3059" s="73" t="s">
        <v>528</v>
      </c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</row>
    <row r="3060" spans="1:43" x14ac:dyDescent="0.3">
      <c r="B3060" s="44">
        <v>46053</v>
      </c>
      <c r="C3060" s="3" t="s">
        <v>416</v>
      </c>
      <c r="D3060" s="3" t="s">
        <v>56</v>
      </c>
      <c r="E3060" s="42"/>
      <c r="F3060" s="4" t="s">
        <v>472</v>
      </c>
      <c r="G3060" s="4" t="s">
        <v>248</v>
      </c>
      <c r="H3060" s="4">
        <v>3207609</v>
      </c>
      <c r="I3060" s="73" t="s">
        <v>474</v>
      </c>
      <c r="J3060" s="73" t="s">
        <v>253</v>
      </c>
      <c r="K3060" s="4">
        <v>3037109</v>
      </c>
    </row>
    <row r="3061" spans="1:43" x14ac:dyDescent="0.3">
      <c r="B3061" s="44">
        <v>46053</v>
      </c>
      <c r="C3061" s="3" t="s">
        <v>416</v>
      </c>
      <c r="D3061" s="3" t="s">
        <v>590</v>
      </c>
      <c r="E3061" s="42"/>
      <c r="F3061" s="4" t="s">
        <v>472</v>
      </c>
      <c r="G3061" s="4" t="s">
        <v>315</v>
      </c>
      <c r="H3061" s="4">
        <v>3455307</v>
      </c>
      <c r="I3061" s="3" t="s">
        <v>693</v>
      </c>
      <c r="J3061" s="3" t="s">
        <v>322</v>
      </c>
      <c r="K3061" s="4">
        <v>3207005</v>
      </c>
    </row>
    <row r="3062" spans="1:43" x14ac:dyDescent="0.3">
      <c r="B3062" s="44">
        <v>46053</v>
      </c>
      <c r="C3062" s="3" t="s">
        <v>416</v>
      </c>
      <c r="D3062" s="3" t="s">
        <v>67</v>
      </c>
      <c r="E3062" s="42"/>
      <c r="F3062" s="4" t="s">
        <v>472</v>
      </c>
      <c r="G3062" s="4" t="s">
        <v>338</v>
      </c>
      <c r="H3062" s="4">
        <v>3207307</v>
      </c>
      <c r="I3062" s="3" t="s">
        <v>472</v>
      </c>
      <c r="J3062" s="3" t="s">
        <v>374</v>
      </c>
      <c r="K3062" s="4">
        <v>3207203</v>
      </c>
    </row>
    <row r="3063" spans="1:43" x14ac:dyDescent="0.3">
      <c r="B3063" s="44">
        <v>46053</v>
      </c>
      <c r="C3063" s="3" t="s">
        <v>416</v>
      </c>
      <c r="D3063" s="3" t="s">
        <v>494</v>
      </c>
      <c r="E3063" s="42"/>
      <c r="F3063" s="4" t="s">
        <v>472</v>
      </c>
      <c r="G3063" s="4" t="s">
        <v>185</v>
      </c>
      <c r="H3063" s="4">
        <v>3357806</v>
      </c>
      <c r="I3063" s="3" t="s">
        <v>708</v>
      </c>
      <c r="J3063" s="3" t="s">
        <v>220</v>
      </c>
      <c r="K3063" s="4">
        <v>3354809</v>
      </c>
    </row>
    <row r="3064" spans="1:43" x14ac:dyDescent="0.3">
      <c r="B3064" s="44">
        <v>46053</v>
      </c>
      <c r="C3064" s="3" t="s">
        <v>416</v>
      </c>
      <c r="D3064" s="3" t="s">
        <v>494</v>
      </c>
      <c r="E3064" s="42"/>
      <c r="F3064" s="4" t="s">
        <v>472</v>
      </c>
      <c r="G3064" s="4" t="s">
        <v>186</v>
      </c>
      <c r="H3064" s="4">
        <v>3357702</v>
      </c>
      <c r="I3064" s="3" t="s">
        <v>694</v>
      </c>
      <c r="J3064" s="3" t="s">
        <v>188</v>
      </c>
      <c r="K3064" s="4">
        <v>3353508</v>
      </c>
    </row>
    <row r="3065" spans="1:43" x14ac:dyDescent="0.3">
      <c r="B3065" s="44">
        <v>46053</v>
      </c>
      <c r="C3065" s="3" t="s">
        <v>416</v>
      </c>
      <c r="D3065" s="3" t="s">
        <v>70</v>
      </c>
      <c r="E3065" s="42"/>
      <c r="F3065" s="3" t="s">
        <v>472</v>
      </c>
      <c r="G3065" s="3" t="s">
        <v>400</v>
      </c>
      <c r="H3065" s="4">
        <v>3818608</v>
      </c>
      <c r="I3065" s="3" t="s">
        <v>672</v>
      </c>
      <c r="J3065" s="3" t="s">
        <v>401</v>
      </c>
      <c r="K3065" s="4">
        <v>3202000</v>
      </c>
    </row>
    <row r="3066" spans="1:43" x14ac:dyDescent="0.3">
      <c r="B3066" s="44">
        <v>46053</v>
      </c>
      <c r="C3066" s="3" t="s">
        <v>416</v>
      </c>
      <c r="D3066" s="3" t="s">
        <v>65</v>
      </c>
      <c r="E3066" s="42"/>
      <c r="F3066" s="3" t="s">
        <v>693</v>
      </c>
      <c r="G3066" s="3" t="s">
        <v>357</v>
      </c>
      <c r="H3066" s="4">
        <v>3206704</v>
      </c>
      <c r="I3066" s="15" t="s">
        <v>691</v>
      </c>
      <c r="J3066" s="15" t="s">
        <v>327</v>
      </c>
      <c r="K3066" s="74">
        <v>3198603</v>
      </c>
    </row>
    <row r="3067" spans="1:43" x14ac:dyDescent="0.3">
      <c r="B3067" s="44">
        <v>46053</v>
      </c>
      <c r="C3067" s="3" t="s">
        <v>416</v>
      </c>
      <c r="D3067" s="3" t="s">
        <v>593</v>
      </c>
      <c r="E3067" s="42"/>
      <c r="F3067" s="3" t="s">
        <v>693</v>
      </c>
      <c r="G3067" s="3" t="s">
        <v>629</v>
      </c>
      <c r="H3067" s="4">
        <v>3961708</v>
      </c>
      <c r="I3067" s="4" t="s">
        <v>663</v>
      </c>
      <c r="J3067" s="4" t="s">
        <v>396</v>
      </c>
      <c r="K3067" s="4">
        <v>3197104</v>
      </c>
    </row>
    <row r="3068" spans="1:43" x14ac:dyDescent="0.3">
      <c r="B3068" s="44">
        <v>46053</v>
      </c>
      <c r="C3068" s="3" t="s">
        <v>416</v>
      </c>
      <c r="D3068" s="3" t="s">
        <v>504</v>
      </c>
      <c r="E3068" s="42"/>
      <c r="F3068" s="4" t="s">
        <v>476</v>
      </c>
      <c r="G3068" s="4" t="s">
        <v>100</v>
      </c>
      <c r="H3068" s="4">
        <v>3125302</v>
      </c>
      <c r="I3068" s="3" t="s">
        <v>475</v>
      </c>
      <c r="J3068" s="3" t="s">
        <v>15</v>
      </c>
      <c r="K3068" s="4">
        <v>3029601</v>
      </c>
    </row>
    <row r="3069" spans="1:43" x14ac:dyDescent="0.3">
      <c r="B3069" s="44">
        <v>46053</v>
      </c>
      <c r="C3069" s="3" t="s">
        <v>416</v>
      </c>
      <c r="D3069" s="3" t="s">
        <v>57</v>
      </c>
      <c r="E3069" s="42"/>
      <c r="F3069" s="32" t="s">
        <v>476</v>
      </c>
      <c r="G3069" s="32" t="s">
        <v>249</v>
      </c>
      <c r="H3069" s="15">
        <v>3038202</v>
      </c>
      <c r="I3069" s="15" t="s">
        <v>703</v>
      </c>
      <c r="J3069" s="15" t="s">
        <v>585</v>
      </c>
      <c r="K3069" s="74" t="s">
        <v>556</v>
      </c>
    </row>
    <row r="3070" spans="1:43" x14ac:dyDescent="0.3">
      <c r="B3070" s="44">
        <v>46053</v>
      </c>
      <c r="C3070" s="3" t="s">
        <v>416</v>
      </c>
      <c r="D3070" s="3" t="s">
        <v>489</v>
      </c>
      <c r="E3070" s="4"/>
      <c r="F3070" s="4" t="s">
        <v>476</v>
      </c>
      <c r="G3070" s="4" t="s">
        <v>128</v>
      </c>
      <c r="H3070" s="4">
        <v>3357202</v>
      </c>
      <c r="I3070" s="4" t="s">
        <v>679</v>
      </c>
      <c r="J3070" s="4" t="s">
        <v>135</v>
      </c>
      <c r="K3070" s="4">
        <v>3346603</v>
      </c>
    </row>
    <row r="3071" spans="1:43" x14ac:dyDescent="0.3">
      <c r="B3071" s="44">
        <v>46053</v>
      </c>
      <c r="C3071" s="3" t="s">
        <v>416</v>
      </c>
      <c r="D3071" s="3" t="s">
        <v>59</v>
      </c>
      <c r="E3071" s="42"/>
      <c r="F3071" s="3" t="s">
        <v>476</v>
      </c>
      <c r="G3071" s="3" t="s">
        <v>274</v>
      </c>
      <c r="H3071" s="4">
        <v>3206902</v>
      </c>
      <c r="I3071" s="4" t="s">
        <v>652</v>
      </c>
      <c r="J3071" s="4" t="s">
        <v>313</v>
      </c>
      <c r="K3071" s="4">
        <v>3207901</v>
      </c>
    </row>
    <row r="3072" spans="1:43" x14ac:dyDescent="0.3">
      <c r="B3072" s="44">
        <v>46053</v>
      </c>
      <c r="C3072" s="3" t="s">
        <v>416</v>
      </c>
      <c r="D3072" s="3" t="s">
        <v>493</v>
      </c>
      <c r="E3072" s="42"/>
      <c r="F3072" s="3" t="s">
        <v>476</v>
      </c>
      <c r="G3072" s="3" t="s">
        <v>169</v>
      </c>
      <c r="H3072" s="4">
        <v>3356609</v>
      </c>
      <c r="I3072" s="4" t="s">
        <v>676</v>
      </c>
      <c r="J3072" s="4" t="s">
        <v>214</v>
      </c>
      <c r="K3072" s="4">
        <v>3358805</v>
      </c>
    </row>
    <row r="3073" spans="1:43" x14ac:dyDescent="0.3">
      <c r="B3073" s="44">
        <v>46053</v>
      </c>
      <c r="C3073" s="3" t="s">
        <v>416</v>
      </c>
      <c r="D3073" s="3" t="s">
        <v>493</v>
      </c>
      <c r="E3073" s="42"/>
      <c r="F3073" s="3" t="s">
        <v>476</v>
      </c>
      <c r="G3073" s="3" t="s">
        <v>170</v>
      </c>
      <c r="H3073" s="4">
        <v>3356703</v>
      </c>
      <c r="I3073" s="4" t="s">
        <v>479</v>
      </c>
      <c r="J3073" s="4" t="s">
        <v>211</v>
      </c>
      <c r="K3073" s="4">
        <v>3361204</v>
      </c>
    </row>
    <row r="3074" spans="1:43" x14ac:dyDescent="0.3">
      <c r="B3074" s="44">
        <v>46053</v>
      </c>
      <c r="C3074" s="3" t="s">
        <v>416</v>
      </c>
      <c r="D3074" s="3" t="s">
        <v>593</v>
      </c>
      <c r="E3074" s="42"/>
      <c r="F3074" s="3" t="s">
        <v>476</v>
      </c>
      <c r="G3074" s="3" t="s">
        <v>630</v>
      </c>
      <c r="H3074" s="4">
        <v>3206308</v>
      </c>
      <c r="I3074" s="15" t="s">
        <v>570</v>
      </c>
      <c r="J3074" s="15" t="s">
        <v>570</v>
      </c>
      <c r="K3074" s="74" t="s">
        <v>556</v>
      </c>
    </row>
    <row r="3075" spans="1:43" x14ac:dyDescent="0.3">
      <c r="A3075" s="4"/>
      <c r="B3075" s="100">
        <v>46053</v>
      </c>
      <c r="C3075" s="98" t="s">
        <v>553</v>
      </c>
      <c r="D3075" s="4" t="s">
        <v>516</v>
      </c>
      <c r="E3075" s="4"/>
      <c r="F3075" s="73" t="s">
        <v>534</v>
      </c>
      <c r="G3075" s="73" t="s">
        <v>524</v>
      </c>
      <c r="H3075" s="73"/>
      <c r="I3075" s="73" t="s">
        <v>476</v>
      </c>
      <c r="J3075" s="73" t="s">
        <v>476</v>
      </c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</row>
    <row r="3076" spans="1:43" x14ac:dyDescent="0.3">
      <c r="A3076" s="4"/>
      <c r="B3076" s="100">
        <v>46053</v>
      </c>
      <c r="C3076" s="98" t="s">
        <v>553</v>
      </c>
      <c r="D3076" s="4" t="s">
        <v>508</v>
      </c>
      <c r="E3076" s="4"/>
      <c r="F3076" s="73" t="s">
        <v>534</v>
      </c>
      <c r="G3076" s="73" t="s">
        <v>524</v>
      </c>
      <c r="H3076" s="73"/>
      <c r="I3076" s="73" t="s">
        <v>476</v>
      </c>
      <c r="J3076" s="73" t="s">
        <v>476</v>
      </c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</row>
    <row r="3077" spans="1:43" x14ac:dyDescent="0.3">
      <c r="B3077" s="44">
        <v>46053</v>
      </c>
      <c r="C3077" s="3" t="s">
        <v>416</v>
      </c>
      <c r="D3077" s="3" t="s">
        <v>57</v>
      </c>
      <c r="E3077" s="42"/>
      <c r="F3077" s="4" t="s">
        <v>666</v>
      </c>
      <c r="G3077" s="4" t="s">
        <v>259</v>
      </c>
      <c r="H3077" s="4">
        <v>3205809</v>
      </c>
      <c r="I3077" s="3" t="s">
        <v>682</v>
      </c>
      <c r="J3077" s="3" t="s">
        <v>584</v>
      </c>
      <c r="K3077" s="4">
        <v>3069303</v>
      </c>
    </row>
    <row r="3078" spans="1:43" x14ac:dyDescent="0.3">
      <c r="B3078" s="44">
        <v>46053</v>
      </c>
      <c r="C3078" s="3" t="s">
        <v>416</v>
      </c>
      <c r="D3078" s="3" t="s">
        <v>610</v>
      </c>
      <c r="E3078" s="42"/>
      <c r="F3078" s="3" t="s">
        <v>666</v>
      </c>
      <c r="G3078" s="3" t="s">
        <v>348</v>
      </c>
      <c r="H3078" s="4">
        <v>3205903</v>
      </c>
      <c r="I3078" s="4" t="s">
        <v>714</v>
      </c>
      <c r="J3078" s="4" t="s">
        <v>352</v>
      </c>
      <c r="K3078" s="4">
        <v>3197208</v>
      </c>
    </row>
    <row r="3079" spans="1:43" x14ac:dyDescent="0.3">
      <c r="B3079" s="44">
        <v>46053</v>
      </c>
      <c r="C3079" s="3" t="s">
        <v>416</v>
      </c>
      <c r="D3079" s="3" t="s">
        <v>495</v>
      </c>
      <c r="E3079" s="42"/>
      <c r="F3079" s="3" t="s">
        <v>666</v>
      </c>
      <c r="G3079" s="3" t="s">
        <v>192</v>
      </c>
      <c r="H3079" s="53">
        <v>3357004</v>
      </c>
      <c r="I3079" s="3" t="s">
        <v>646</v>
      </c>
      <c r="J3079" s="3" t="s">
        <v>195</v>
      </c>
      <c r="K3079" s="74">
        <v>3361600</v>
      </c>
    </row>
    <row r="3080" spans="1:43" x14ac:dyDescent="0.3">
      <c r="A3080" s="4"/>
      <c r="B3080" s="100">
        <v>46053</v>
      </c>
      <c r="C3080" s="98" t="s">
        <v>553</v>
      </c>
      <c r="D3080" s="4" t="s">
        <v>508</v>
      </c>
      <c r="E3080" s="4"/>
      <c r="F3080" s="73" t="s">
        <v>478</v>
      </c>
      <c r="G3080" s="73" t="s">
        <v>478</v>
      </c>
      <c r="H3080" s="73"/>
      <c r="I3080" s="73" t="s">
        <v>475</v>
      </c>
      <c r="J3080" s="73" t="s">
        <v>475</v>
      </c>
      <c r="K3080" s="15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</row>
    <row r="3081" spans="1:43" x14ac:dyDescent="0.3">
      <c r="B3081" s="44">
        <v>46053</v>
      </c>
      <c r="C3081" s="3" t="s">
        <v>416</v>
      </c>
      <c r="D3081" s="3" t="s">
        <v>57</v>
      </c>
      <c r="E3081" s="42"/>
      <c r="F3081" s="73" t="s">
        <v>478</v>
      </c>
      <c r="G3081" s="73" t="s">
        <v>260</v>
      </c>
      <c r="H3081" s="15">
        <v>3205705</v>
      </c>
      <c r="I3081" s="3" t="s">
        <v>693</v>
      </c>
      <c r="J3081" s="3" t="s">
        <v>258</v>
      </c>
      <c r="K3081" s="4">
        <v>3207109</v>
      </c>
    </row>
    <row r="3082" spans="1:43" x14ac:dyDescent="0.3">
      <c r="B3082" s="44">
        <v>46053</v>
      </c>
      <c r="C3082" s="3" t="s">
        <v>416</v>
      </c>
      <c r="D3082" s="3" t="s">
        <v>61</v>
      </c>
      <c r="E3082" s="42"/>
      <c r="F3082" s="4" t="s">
        <v>478</v>
      </c>
      <c r="G3082" s="4" t="s">
        <v>330</v>
      </c>
      <c r="H3082" s="4">
        <v>3205309</v>
      </c>
      <c r="I3082" s="3" t="s">
        <v>690</v>
      </c>
      <c r="J3082" s="3" t="s">
        <v>304</v>
      </c>
      <c r="K3082" s="4">
        <v>3204404</v>
      </c>
    </row>
    <row r="3083" spans="1:43" x14ac:dyDescent="0.3">
      <c r="B3083" s="44">
        <v>46053</v>
      </c>
      <c r="C3083" s="3" t="s">
        <v>416</v>
      </c>
      <c r="D3083" s="3" t="s">
        <v>58</v>
      </c>
      <c r="E3083" s="42"/>
      <c r="F3083" s="3" t="s">
        <v>690</v>
      </c>
      <c r="G3083" s="3" t="s">
        <v>303</v>
      </c>
      <c r="H3083" s="4">
        <v>3205101</v>
      </c>
      <c r="I3083" s="3" t="s">
        <v>659</v>
      </c>
      <c r="J3083" s="3" t="s">
        <v>265</v>
      </c>
      <c r="K3083" s="32">
        <v>3208702</v>
      </c>
    </row>
    <row r="3084" spans="1:43" x14ac:dyDescent="0.3">
      <c r="B3084" s="44">
        <v>46053</v>
      </c>
      <c r="C3084" s="3" t="s">
        <v>416</v>
      </c>
      <c r="D3084" s="3" t="s">
        <v>66</v>
      </c>
      <c r="E3084" s="42"/>
      <c r="F3084" s="3" t="s">
        <v>690</v>
      </c>
      <c r="G3084" s="3" t="s">
        <v>605</v>
      </c>
      <c r="H3084" s="74">
        <v>3900109</v>
      </c>
      <c r="I3084" s="3" t="s">
        <v>684</v>
      </c>
      <c r="J3084" s="3" t="s">
        <v>608</v>
      </c>
      <c r="K3084" s="74">
        <v>3819107</v>
      </c>
    </row>
    <row r="3085" spans="1:43" x14ac:dyDescent="0.3">
      <c r="B3085" s="44">
        <v>46053</v>
      </c>
      <c r="C3085" s="3" t="s">
        <v>416</v>
      </c>
      <c r="D3085" s="3" t="s">
        <v>489</v>
      </c>
      <c r="E3085" s="4"/>
      <c r="F3085" s="4" t="s">
        <v>682</v>
      </c>
      <c r="G3085" s="4" t="s">
        <v>564</v>
      </c>
      <c r="H3085" s="4">
        <v>3969804</v>
      </c>
      <c r="I3085" s="3" t="s">
        <v>662</v>
      </c>
      <c r="J3085" s="3" t="s">
        <v>139</v>
      </c>
      <c r="K3085" s="4">
        <v>3358305</v>
      </c>
    </row>
    <row r="3086" spans="1:43" x14ac:dyDescent="0.3">
      <c r="B3086" s="44">
        <v>46053</v>
      </c>
      <c r="C3086" s="3" t="s">
        <v>416</v>
      </c>
      <c r="D3086" s="4" t="s">
        <v>614</v>
      </c>
      <c r="E3086" s="42"/>
      <c r="F3086" s="3" t="s">
        <v>682</v>
      </c>
      <c r="G3086" s="3" t="s">
        <v>622</v>
      </c>
      <c r="H3086" s="4">
        <v>3969502</v>
      </c>
      <c r="I3086" s="4" t="s">
        <v>666</v>
      </c>
      <c r="J3086" s="4" t="s">
        <v>453</v>
      </c>
      <c r="K3086" s="4">
        <v>3206006</v>
      </c>
    </row>
    <row r="3087" spans="1:43" x14ac:dyDescent="0.3">
      <c r="B3087" s="44">
        <v>46053</v>
      </c>
      <c r="C3087" s="3" t="s">
        <v>416</v>
      </c>
      <c r="D3087" s="3" t="s">
        <v>501</v>
      </c>
      <c r="E3087" s="42"/>
      <c r="F3087" s="3" t="s">
        <v>682</v>
      </c>
      <c r="G3087" s="3" t="s">
        <v>579</v>
      </c>
      <c r="H3087" s="53">
        <v>3970007</v>
      </c>
      <c r="I3087" s="3" t="s">
        <v>692</v>
      </c>
      <c r="J3087" s="3" t="s">
        <v>582</v>
      </c>
      <c r="K3087" s="53">
        <v>3900901</v>
      </c>
      <c r="L3087" s="4"/>
      <c r="M3087" s="4"/>
      <c r="N3087" s="4"/>
    </row>
    <row r="3088" spans="1:43" x14ac:dyDescent="0.3">
      <c r="B3088" s="44">
        <v>46053</v>
      </c>
      <c r="C3088" s="3" t="s">
        <v>416</v>
      </c>
      <c r="D3088" s="3" t="s">
        <v>592</v>
      </c>
      <c r="E3088" s="42"/>
      <c r="F3088" s="3" t="s">
        <v>682</v>
      </c>
      <c r="G3088" s="3" t="s">
        <v>635</v>
      </c>
      <c r="H3088" s="74">
        <v>3969700</v>
      </c>
      <c r="I3088" s="3" t="s">
        <v>570</v>
      </c>
      <c r="J3088" s="3" t="s">
        <v>570</v>
      </c>
      <c r="K3088" s="4" t="s">
        <v>556</v>
      </c>
    </row>
    <row r="3089" spans="1:43" x14ac:dyDescent="0.3">
      <c r="A3089" s="4"/>
      <c r="B3089" s="100">
        <v>46053</v>
      </c>
      <c r="C3089" s="98" t="s">
        <v>553</v>
      </c>
      <c r="D3089" s="4" t="s">
        <v>521</v>
      </c>
      <c r="E3089" s="4"/>
      <c r="F3089" s="73" t="s">
        <v>530</v>
      </c>
      <c r="G3089" s="73" t="s">
        <v>530</v>
      </c>
      <c r="H3089" s="73"/>
      <c r="I3089" s="73" t="s">
        <v>471</v>
      </c>
      <c r="J3089" s="73" t="s">
        <v>471</v>
      </c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</row>
    <row r="3090" spans="1:43" x14ac:dyDescent="0.3">
      <c r="B3090" s="44">
        <v>46053</v>
      </c>
      <c r="C3090" s="3" t="s">
        <v>416</v>
      </c>
      <c r="D3090" s="3" t="s">
        <v>62</v>
      </c>
      <c r="E3090" s="42"/>
      <c r="F3090" s="3" t="s">
        <v>700</v>
      </c>
      <c r="G3090" s="3" t="s">
        <v>442</v>
      </c>
      <c r="H3090" s="4">
        <v>3205007</v>
      </c>
      <c r="I3090" s="4" t="s">
        <v>676</v>
      </c>
      <c r="J3090" s="4" t="s">
        <v>286</v>
      </c>
      <c r="K3090" s="4">
        <v>3019605</v>
      </c>
    </row>
    <row r="3091" spans="1:43" x14ac:dyDescent="0.3">
      <c r="B3091" s="44">
        <v>46053</v>
      </c>
      <c r="C3091" s="3" t="s">
        <v>416</v>
      </c>
      <c r="D3091" s="3" t="s">
        <v>493</v>
      </c>
      <c r="E3091" s="42"/>
      <c r="F3091" s="3" t="s">
        <v>701</v>
      </c>
      <c r="G3091" s="3" t="s">
        <v>171</v>
      </c>
      <c r="H3091" s="4">
        <v>3355600</v>
      </c>
      <c r="I3091" s="4" t="s">
        <v>471</v>
      </c>
      <c r="J3091" s="4" t="s">
        <v>217</v>
      </c>
      <c r="K3091" s="4">
        <v>3348309</v>
      </c>
    </row>
    <row r="3092" spans="1:43" x14ac:dyDescent="0.3">
      <c r="B3092" s="44">
        <v>46053</v>
      </c>
      <c r="C3092" s="3" t="s">
        <v>416</v>
      </c>
      <c r="D3092" s="3" t="s">
        <v>62</v>
      </c>
      <c r="E3092" s="42"/>
      <c r="F3092" s="3" t="s">
        <v>701</v>
      </c>
      <c r="G3092" s="3" t="s">
        <v>360</v>
      </c>
      <c r="H3092" s="4">
        <v>3203801</v>
      </c>
      <c r="I3092" s="3" t="s">
        <v>476</v>
      </c>
      <c r="J3092" s="3" t="s">
        <v>287</v>
      </c>
      <c r="K3092" s="4">
        <v>3206600</v>
      </c>
    </row>
    <row r="3093" spans="1:43" x14ac:dyDescent="0.3">
      <c r="B3093" s="44">
        <v>46053</v>
      </c>
      <c r="C3093" s="3" t="s">
        <v>416</v>
      </c>
      <c r="D3093" s="3" t="s">
        <v>500</v>
      </c>
      <c r="E3093" s="42"/>
      <c r="F3093" s="3" t="s">
        <v>701</v>
      </c>
      <c r="G3093" s="3" t="s">
        <v>236</v>
      </c>
      <c r="H3093" s="4">
        <v>3355704</v>
      </c>
      <c r="I3093" s="4" t="s">
        <v>471</v>
      </c>
      <c r="J3093" s="4" t="s">
        <v>467</v>
      </c>
      <c r="K3093" s="4">
        <v>3819409</v>
      </c>
    </row>
    <row r="3094" spans="1:43" x14ac:dyDescent="0.3">
      <c r="B3094" s="44">
        <v>46053</v>
      </c>
      <c r="C3094" s="3" t="s">
        <v>416</v>
      </c>
      <c r="D3094" s="3" t="s">
        <v>593</v>
      </c>
      <c r="E3094" s="42"/>
      <c r="F3094" s="3" t="s">
        <v>701</v>
      </c>
      <c r="G3094" s="3" t="s">
        <v>631</v>
      </c>
      <c r="H3094" s="4">
        <v>4023209</v>
      </c>
      <c r="I3094" s="4" t="s">
        <v>681</v>
      </c>
      <c r="J3094" s="4" t="s">
        <v>397</v>
      </c>
      <c r="K3094" s="4">
        <v>3195908</v>
      </c>
    </row>
    <row r="3095" spans="1:43" x14ac:dyDescent="0.3">
      <c r="B3095" s="44">
        <v>46053</v>
      </c>
      <c r="C3095" s="3" t="s">
        <v>416</v>
      </c>
      <c r="D3095" s="3" t="s">
        <v>491</v>
      </c>
      <c r="E3095" s="42"/>
      <c r="F3095" s="4" t="s">
        <v>702</v>
      </c>
      <c r="G3095" s="4" t="s">
        <v>180</v>
      </c>
      <c r="H3095" s="4">
        <v>3355308</v>
      </c>
      <c r="I3095" s="3" t="s">
        <v>690</v>
      </c>
      <c r="J3095" s="3" t="s">
        <v>179</v>
      </c>
      <c r="K3095" s="4">
        <v>3818900</v>
      </c>
    </row>
    <row r="3096" spans="1:43" x14ac:dyDescent="0.3">
      <c r="B3096" s="44">
        <v>46053</v>
      </c>
      <c r="C3096" s="3" t="s">
        <v>416</v>
      </c>
      <c r="D3096" s="3" t="s">
        <v>60</v>
      </c>
      <c r="E3096" s="42"/>
      <c r="F3096" s="3" t="s">
        <v>695</v>
      </c>
      <c r="G3096" s="3" t="s">
        <v>296</v>
      </c>
      <c r="H3096" s="4">
        <v>3203905</v>
      </c>
      <c r="I3096" s="3" t="s">
        <v>698</v>
      </c>
      <c r="J3096" s="3" t="s">
        <v>595</v>
      </c>
      <c r="K3096" s="32" t="s">
        <v>563</v>
      </c>
    </row>
    <row r="3097" spans="1:43" x14ac:dyDescent="0.3">
      <c r="B3097" s="44">
        <v>46053</v>
      </c>
      <c r="C3097" s="3" t="s">
        <v>416</v>
      </c>
      <c r="D3097" s="3" t="s">
        <v>488</v>
      </c>
      <c r="E3097" s="42"/>
      <c r="F3097" s="4" t="s">
        <v>695</v>
      </c>
      <c r="G3097" s="4" t="s">
        <v>147</v>
      </c>
      <c r="H3097" s="4">
        <v>3067409</v>
      </c>
      <c r="I3097" s="3" t="s">
        <v>702</v>
      </c>
      <c r="J3097" s="3" t="s">
        <v>119</v>
      </c>
      <c r="K3097" s="4">
        <v>3067909</v>
      </c>
    </row>
    <row r="3098" spans="1:43" x14ac:dyDescent="0.3">
      <c r="A3098" s="4"/>
      <c r="B3098" s="100">
        <v>46053</v>
      </c>
      <c r="C3098" s="98" t="s">
        <v>553</v>
      </c>
      <c r="D3098" s="4" t="s">
        <v>508</v>
      </c>
      <c r="E3098" s="4"/>
      <c r="F3098" s="73" t="s">
        <v>473</v>
      </c>
      <c r="G3098" s="73" t="s">
        <v>473</v>
      </c>
      <c r="H3098" s="73"/>
      <c r="I3098" s="73" t="s">
        <v>511</v>
      </c>
      <c r="J3098" s="73" t="s">
        <v>511</v>
      </c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</row>
    <row r="3099" spans="1:43" x14ac:dyDescent="0.3">
      <c r="B3099" s="44">
        <v>46053</v>
      </c>
      <c r="C3099" s="3" t="s">
        <v>416</v>
      </c>
      <c r="D3099" s="3" t="s">
        <v>60</v>
      </c>
      <c r="E3099" s="42"/>
      <c r="F3099" s="3" t="s">
        <v>473</v>
      </c>
      <c r="G3099" s="3" t="s">
        <v>445</v>
      </c>
      <c r="H3099" s="4">
        <v>3204102</v>
      </c>
      <c r="I3099" s="3" t="s">
        <v>706</v>
      </c>
      <c r="J3099" s="3" t="s">
        <v>299</v>
      </c>
      <c r="K3099" s="32">
        <v>3199102</v>
      </c>
    </row>
    <row r="3100" spans="1:43" x14ac:dyDescent="0.3">
      <c r="B3100" s="44">
        <v>46053</v>
      </c>
      <c r="C3100" s="3" t="s">
        <v>416</v>
      </c>
      <c r="D3100" s="3" t="s">
        <v>60</v>
      </c>
      <c r="E3100" s="42"/>
      <c r="F3100" s="3" t="s">
        <v>473</v>
      </c>
      <c r="G3100" s="3" t="s">
        <v>446</v>
      </c>
      <c r="H3100" s="4">
        <v>3204206</v>
      </c>
      <c r="I3100" s="3" t="s">
        <v>473</v>
      </c>
      <c r="J3100" s="3" t="s">
        <v>298</v>
      </c>
      <c r="K3100" s="32">
        <v>3817807</v>
      </c>
    </row>
    <row r="3101" spans="1:43" x14ac:dyDescent="0.3">
      <c r="B3101" s="44">
        <v>46053</v>
      </c>
      <c r="C3101" s="3" t="s">
        <v>416</v>
      </c>
      <c r="D3101" s="3" t="s">
        <v>67</v>
      </c>
      <c r="E3101" s="42"/>
      <c r="F3101" s="4" t="s">
        <v>708</v>
      </c>
      <c r="G3101" s="4" t="s">
        <v>339</v>
      </c>
      <c r="H3101" s="4">
        <v>3204300</v>
      </c>
      <c r="I3101" s="3" t="s">
        <v>688</v>
      </c>
      <c r="J3101" s="3" t="s">
        <v>344</v>
      </c>
      <c r="K3101" s="4">
        <v>3194909</v>
      </c>
    </row>
    <row r="3102" spans="1:43" x14ac:dyDescent="0.3">
      <c r="B3102" s="44">
        <v>46053</v>
      </c>
      <c r="C3102" s="3" t="s">
        <v>416</v>
      </c>
      <c r="D3102" s="3" t="s">
        <v>488</v>
      </c>
      <c r="E3102" s="42"/>
      <c r="F3102" s="3" t="s">
        <v>703</v>
      </c>
      <c r="G3102" s="3" t="s">
        <v>560</v>
      </c>
      <c r="H3102" s="4" t="s">
        <v>562</v>
      </c>
      <c r="I3102" s="3" t="s">
        <v>704</v>
      </c>
      <c r="J3102" s="3" t="s">
        <v>120</v>
      </c>
      <c r="K3102" s="4">
        <v>3355506</v>
      </c>
    </row>
    <row r="3103" spans="1:43" x14ac:dyDescent="0.3">
      <c r="B3103" s="44">
        <v>46053</v>
      </c>
      <c r="C3103" s="3" t="s">
        <v>416</v>
      </c>
      <c r="D3103" s="3" t="s">
        <v>66</v>
      </c>
      <c r="E3103" s="42"/>
      <c r="F3103" s="3" t="s">
        <v>703</v>
      </c>
      <c r="G3103" s="3" t="s">
        <v>606</v>
      </c>
      <c r="H3103" s="74" t="s">
        <v>588</v>
      </c>
      <c r="I3103" s="3" t="s">
        <v>478</v>
      </c>
      <c r="J3103" s="3" t="s">
        <v>604</v>
      </c>
      <c r="K3103" s="74">
        <v>3205507</v>
      </c>
    </row>
    <row r="3104" spans="1:43" x14ac:dyDescent="0.3">
      <c r="B3104" s="44">
        <v>46053</v>
      </c>
      <c r="C3104" s="3" t="s">
        <v>416</v>
      </c>
      <c r="D3104" s="3" t="s">
        <v>58</v>
      </c>
      <c r="E3104" s="42"/>
      <c r="F3104" s="3" t="s">
        <v>683</v>
      </c>
      <c r="G3104" s="3" t="s">
        <v>305</v>
      </c>
      <c r="H3104" s="4">
        <v>3202906</v>
      </c>
      <c r="I3104" s="3" t="s">
        <v>704</v>
      </c>
      <c r="J3104" s="3" t="s">
        <v>297</v>
      </c>
      <c r="K3104" s="32">
        <v>3204008</v>
      </c>
    </row>
    <row r="3105" spans="2:11" x14ac:dyDescent="0.3">
      <c r="B3105" s="44">
        <v>46053</v>
      </c>
      <c r="C3105" s="3" t="s">
        <v>416</v>
      </c>
      <c r="D3105" s="3" t="s">
        <v>487</v>
      </c>
      <c r="E3105" s="4"/>
      <c r="F3105" s="3" t="s">
        <v>709</v>
      </c>
      <c r="G3105" s="3" t="s">
        <v>111</v>
      </c>
      <c r="H3105" s="4">
        <v>3354601</v>
      </c>
      <c r="I3105" s="3" t="s">
        <v>695</v>
      </c>
      <c r="J3105" s="3" t="s">
        <v>101</v>
      </c>
      <c r="K3105" s="4">
        <v>3067305</v>
      </c>
    </row>
    <row r="3106" spans="2:11" x14ac:dyDescent="0.3">
      <c r="B3106" s="44">
        <v>46053</v>
      </c>
      <c r="C3106" s="3" t="s">
        <v>416</v>
      </c>
      <c r="D3106" s="3" t="s">
        <v>491</v>
      </c>
      <c r="E3106" s="42"/>
      <c r="F3106" s="4" t="s">
        <v>709</v>
      </c>
      <c r="G3106" s="4" t="s">
        <v>566</v>
      </c>
      <c r="H3106" s="4">
        <v>3560703</v>
      </c>
      <c r="I3106" s="3" t="s">
        <v>645</v>
      </c>
      <c r="J3106" s="3" t="s">
        <v>152</v>
      </c>
      <c r="K3106" s="4">
        <v>3351302</v>
      </c>
    </row>
    <row r="3107" spans="2:11" x14ac:dyDescent="0.3">
      <c r="B3107" s="44">
        <v>46053</v>
      </c>
      <c r="C3107" s="3" t="s">
        <v>416</v>
      </c>
      <c r="D3107" s="3" t="s">
        <v>61</v>
      </c>
      <c r="E3107" s="42"/>
      <c r="F3107" s="3" t="s">
        <v>684</v>
      </c>
      <c r="G3107" s="3" t="s">
        <v>306</v>
      </c>
      <c r="H3107" s="4">
        <v>3202604</v>
      </c>
      <c r="I3107" s="73" t="s">
        <v>680</v>
      </c>
      <c r="J3107" s="73" t="s">
        <v>302</v>
      </c>
      <c r="K3107" s="4">
        <v>3208400</v>
      </c>
    </row>
    <row r="3108" spans="2:11" x14ac:dyDescent="0.3">
      <c r="B3108" s="44">
        <v>46053</v>
      </c>
      <c r="C3108" s="3" t="s">
        <v>416</v>
      </c>
      <c r="D3108" s="3" t="s">
        <v>491</v>
      </c>
      <c r="E3108" s="42"/>
      <c r="F3108" s="3" t="s">
        <v>684</v>
      </c>
      <c r="G3108" s="3" t="s">
        <v>149</v>
      </c>
      <c r="H3108" s="4">
        <v>3354507</v>
      </c>
      <c r="I3108" s="3" t="s">
        <v>478</v>
      </c>
      <c r="J3108" s="3" t="s">
        <v>463</v>
      </c>
      <c r="K3108" s="74">
        <v>3125500</v>
      </c>
    </row>
    <row r="3109" spans="2:11" x14ac:dyDescent="0.3">
      <c r="B3109" s="44">
        <v>46053</v>
      </c>
      <c r="C3109" s="3" t="s">
        <v>416</v>
      </c>
      <c r="D3109" s="3" t="s">
        <v>491</v>
      </c>
      <c r="E3109" s="42"/>
      <c r="F3109" s="104" t="s">
        <v>684</v>
      </c>
      <c r="G3109" s="104" t="s">
        <v>182</v>
      </c>
      <c r="H3109" s="53">
        <v>3900203</v>
      </c>
      <c r="I3109" s="3" t="s">
        <v>697</v>
      </c>
      <c r="J3109" s="3" t="s">
        <v>150</v>
      </c>
      <c r="K3109" s="4">
        <v>3353706</v>
      </c>
    </row>
    <row r="3110" spans="2:11" x14ac:dyDescent="0.3">
      <c r="B3110" s="44">
        <v>46053</v>
      </c>
      <c r="C3110" s="3" t="s">
        <v>416</v>
      </c>
      <c r="D3110" s="3" t="s">
        <v>56</v>
      </c>
      <c r="E3110" s="42"/>
      <c r="F3110" s="3" t="s">
        <v>646</v>
      </c>
      <c r="G3110" s="3" t="s">
        <v>251</v>
      </c>
      <c r="H3110" s="4">
        <v>3036704</v>
      </c>
      <c r="I3110" s="73" t="s">
        <v>671</v>
      </c>
      <c r="J3110" s="73" t="s">
        <v>247</v>
      </c>
      <c r="K3110" s="4">
        <v>3034102</v>
      </c>
    </row>
    <row r="3111" spans="2:11" x14ac:dyDescent="0.3">
      <c r="B3111" s="44">
        <v>46053</v>
      </c>
      <c r="C3111" s="3" t="s">
        <v>416</v>
      </c>
      <c r="D3111" s="3" t="s">
        <v>59</v>
      </c>
      <c r="E3111" s="42"/>
      <c r="F3111" s="3" t="s">
        <v>646</v>
      </c>
      <c r="G3111" s="3" t="s">
        <v>275</v>
      </c>
      <c r="H3111" s="4">
        <v>3202406</v>
      </c>
      <c r="I3111" s="3" t="s">
        <v>479</v>
      </c>
      <c r="J3111" s="3" t="s">
        <v>273</v>
      </c>
      <c r="K3111" s="4">
        <v>3211007</v>
      </c>
    </row>
    <row r="3112" spans="2:11" x14ac:dyDescent="0.3">
      <c r="B3112" s="44">
        <v>46053</v>
      </c>
      <c r="C3112" s="3" t="s">
        <v>416</v>
      </c>
      <c r="D3112" s="3" t="s">
        <v>492</v>
      </c>
      <c r="E3112" s="42"/>
      <c r="F3112" s="4" t="s">
        <v>646</v>
      </c>
      <c r="G3112" s="4" t="s">
        <v>194</v>
      </c>
      <c r="H3112" s="4">
        <v>3354205</v>
      </c>
      <c r="I3112" s="4" t="s">
        <v>652</v>
      </c>
      <c r="J3112" s="4" t="s">
        <v>157</v>
      </c>
      <c r="K3112" s="4">
        <v>3358503</v>
      </c>
    </row>
    <row r="3113" spans="2:11" x14ac:dyDescent="0.3">
      <c r="B3113" s="44">
        <v>46053</v>
      </c>
      <c r="C3113" s="3" t="s">
        <v>416</v>
      </c>
      <c r="D3113" s="3" t="s">
        <v>610</v>
      </c>
      <c r="E3113" s="42"/>
      <c r="F3113" s="3" t="s">
        <v>646</v>
      </c>
      <c r="G3113" s="3" t="s">
        <v>350</v>
      </c>
      <c r="H3113" s="4">
        <v>3202802</v>
      </c>
      <c r="I3113" s="4" t="s">
        <v>716</v>
      </c>
      <c r="J3113" s="4" t="s">
        <v>433</v>
      </c>
      <c r="K3113" s="4">
        <v>3198905</v>
      </c>
    </row>
    <row r="3114" spans="2:11" x14ac:dyDescent="0.3">
      <c r="B3114" s="44">
        <v>46053</v>
      </c>
      <c r="C3114" s="3" t="s">
        <v>416</v>
      </c>
      <c r="D3114" s="3" t="s">
        <v>56</v>
      </c>
      <c r="E3114" s="42"/>
      <c r="F3114" s="4" t="s">
        <v>696</v>
      </c>
      <c r="G3114" s="4" t="s">
        <v>261</v>
      </c>
      <c r="H3114" s="4">
        <v>3202302</v>
      </c>
      <c r="I3114" s="3" t="s">
        <v>475</v>
      </c>
      <c r="J3114" s="3" t="s">
        <v>256</v>
      </c>
      <c r="K3114" s="4">
        <v>3068700</v>
      </c>
    </row>
    <row r="3115" spans="2:11" x14ac:dyDescent="0.3">
      <c r="B3115" s="44">
        <v>46053</v>
      </c>
      <c r="C3115" s="3" t="s">
        <v>416</v>
      </c>
      <c r="D3115" s="3" t="s">
        <v>61</v>
      </c>
      <c r="E3115" s="42"/>
      <c r="F3115" s="3" t="s">
        <v>696</v>
      </c>
      <c r="G3115" s="3" t="s">
        <v>307</v>
      </c>
      <c r="H3115" s="4">
        <v>3201907</v>
      </c>
      <c r="I3115" s="4" t="s">
        <v>658</v>
      </c>
      <c r="J3115" s="4" t="s">
        <v>301</v>
      </c>
      <c r="K3115" s="4">
        <v>3210300</v>
      </c>
    </row>
    <row r="3116" spans="2:11" x14ac:dyDescent="0.3">
      <c r="B3116" s="44">
        <v>46053</v>
      </c>
      <c r="C3116" s="3" t="s">
        <v>416</v>
      </c>
      <c r="D3116" s="3" t="s">
        <v>500</v>
      </c>
      <c r="E3116" s="42"/>
      <c r="F3116" s="3" t="s">
        <v>672</v>
      </c>
      <c r="G3116" s="3" t="s">
        <v>187</v>
      </c>
      <c r="H3116" s="4">
        <v>3354101</v>
      </c>
      <c r="I3116" s="4" t="s">
        <v>691</v>
      </c>
      <c r="J3116" s="4" t="s">
        <v>238</v>
      </c>
      <c r="K3116" s="4">
        <v>3350105</v>
      </c>
    </row>
    <row r="3117" spans="2:11" x14ac:dyDescent="0.3">
      <c r="B3117" s="44">
        <v>46053</v>
      </c>
      <c r="C3117" s="3" t="s">
        <v>416</v>
      </c>
      <c r="D3117" s="3" t="s">
        <v>64</v>
      </c>
      <c r="E3117" s="42">
        <v>4370907</v>
      </c>
      <c r="F3117" s="3" t="s">
        <v>672</v>
      </c>
      <c r="G3117" s="3" t="s">
        <v>316</v>
      </c>
      <c r="H3117" s="4">
        <v>3069105</v>
      </c>
      <c r="I3117" s="4" t="s">
        <v>671</v>
      </c>
      <c r="J3117" s="4" t="s">
        <v>312</v>
      </c>
      <c r="K3117" s="4">
        <v>3209107</v>
      </c>
    </row>
    <row r="3118" spans="2:11" x14ac:dyDescent="0.3">
      <c r="B3118" s="44">
        <v>46053</v>
      </c>
      <c r="C3118" s="3" t="s">
        <v>416</v>
      </c>
      <c r="D3118" s="3" t="s">
        <v>67</v>
      </c>
      <c r="E3118" s="42"/>
      <c r="F3118" s="3" t="s">
        <v>672</v>
      </c>
      <c r="G3118" s="3" t="s">
        <v>375</v>
      </c>
      <c r="H3118" s="4">
        <v>3069209</v>
      </c>
      <c r="I3118" s="3" t="s">
        <v>662</v>
      </c>
      <c r="J3118" s="3" t="s">
        <v>373</v>
      </c>
      <c r="K3118" s="4">
        <v>3207807</v>
      </c>
    </row>
    <row r="3119" spans="2:11" x14ac:dyDescent="0.3">
      <c r="B3119" s="44">
        <v>46053</v>
      </c>
      <c r="C3119" s="3" t="s">
        <v>416</v>
      </c>
      <c r="D3119" s="3" t="s">
        <v>488</v>
      </c>
      <c r="E3119" s="42"/>
      <c r="F3119" s="4" t="s">
        <v>697</v>
      </c>
      <c r="G3119" s="4" t="s">
        <v>122</v>
      </c>
      <c r="H3119" s="4">
        <v>3353800</v>
      </c>
      <c r="I3119" s="3" t="s">
        <v>690</v>
      </c>
      <c r="J3119" s="3" t="s">
        <v>118</v>
      </c>
      <c r="K3119" s="4">
        <v>3356005</v>
      </c>
    </row>
    <row r="3120" spans="2:11" x14ac:dyDescent="0.3">
      <c r="B3120" s="44">
        <v>46053</v>
      </c>
      <c r="C3120" s="3" t="s">
        <v>416</v>
      </c>
      <c r="D3120" s="3" t="s">
        <v>58</v>
      </c>
      <c r="E3120" s="42"/>
      <c r="F3120" s="3" t="s">
        <v>697</v>
      </c>
      <c r="G3120" s="3" t="s">
        <v>262</v>
      </c>
      <c r="H3120" s="4">
        <v>3055405</v>
      </c>
      <c r="I3120" s="32" t="s">
        <v>478</v>
      </c>
      <c r="J3120" s="32" t="s">
        <v>267</v>
      </c>
      <c r="K3120" s="15">
        <v>3205205</v>
      </c>
    </row>
    <row r="3121" spans="1:43" x14ac:dyDescent="0.3">
      <c r="B3121" s="44">
        <v>46053</v>
      </c>
      <c r="C3121" s="3" t="s">
        <v>416</v>
      </c>
      <c r="D3121" s="3" t="s">
        <v>504</v>
      </c>
      <c r="E3121" s="42"/>
      <c r="F3121" s="4" t="s">
        <v>694</v>
      </c>
      <c r="G3121" s="4" t="s">
        <v>112</v>
      </c>
      <c r="H3121" s="4">
        <v>3353602</v>
      </c>
      <c r="I3121" s="3" t="s">
        <v>472</v>
      </c>
      <c r="J3121" s="3" t="s">
        <v>11</v>
      </c>
      <c r="K3121" s="4">
        <v>3034800</v>
      </c>
    </row>
    <row r="3122" spans="1:43" x14ac:dyDescent="0.3">
      <c r="B3122" s="44">
        <v>46053</v>
      </c>
      <c r="C3122" s="3" t="s">
        <v>416</v>
      </c>
      <c r="D3122" s="3" t="s">
        <v>69</v>
      </c>
      <c r="E3122" s="42"/>
      <c r="F3122" s="3" t="s">
        <v>694</v>
      </c>
      <c r="G3122" s="3" t="s">
        <v>376</v>
      </c>
      <c r="H3122" s="53">
        <v>3201303</v>
      </c>
      <c r="I3122" s="3" t="s">
        <v>479</v>
      </c>
      <c r="J3122" s="3" t="s">
        <v>392</v>
      </c>
      <c r="K3122" s="53">
        <v>3210706</v>
      </c>
    </row>
    <row r="3123" spans="1:43" x14ac:dyDescent="0.3">
      <c r="B3123" s="44">
        <v>46053</v>
      </c>
      <c r="C3123" s="3" t="s">
        <v>416</v>
      </c>
      <c r="D3123" s="3" t="s">
        <v>69</v>
      </c>
      <c r="E3123" s="42"/>
      <c r="F3123" s="3" t="s">
        <v>694</v>
      </c>
      <c r="G3123" s="3" t="s">
        <v>402</v>
      </c>
      <c r="H3123" s="4">
        <v>3201407</v>
      </c>
      <c r="I3123" s="3" t="s">
        <v>657</v>
      </c>
      <c r="J3123" s="3" t="s">
        <v>393</v>
      </c>
      <c r="K3123" s="4">
        <v>3209701</v>
      </c>
    </row>
    <row r="3124" spans="1:43" x14ac:dyDescent="0.3">
      <c r="B3124" s="44">
        <v>46053</v>
      </c>
      <c r="C3124" s="3" t="s">
        <v>416</v>
      </c>
      <c r="D3124" s="3" t="s">
        <v>593</v>
      </c>
      <c r="E3124" s="42"/>
      <c r="F3124" s="3" t="s">
        <v>694</v>
      </c>
      <c r="G3124" s="3" t="s">
        <v>632</v>
      </c>
      <c r="H3124" s="4">
        <v>4023303</v>
      </c>
      <c r="I3124" s="4" t="s">
        <v>679</v>
      </c>
      <c r="J3124" s="4" t="s">
        <v>633</v>
      </c>
      <c r="K3124" s="4">
        <v>3194607</v>
      </c>
    </row>
    <row r="3125" spans="1:43" x14ac:dyDescent="0.3">
      <c r="B3125" s="44">
        <v>46053</v>
      </c>
      <c r="C3125" s="3" t="s">
        <v>416</v>
      </c>
      <c r="D3125" s="3" t="s">
        <v>62</v>
      </c>
      <c r="E3125" s="42"/>
      <c r="F3125" s="4" t="s">
        <v>677</v>
      </c>
      <c r="G3125" s="4" t="s">
        <v>324</v>
      </c>
      <c r="H3125" s="4">
        <v>3201605</v>
      </c>
      <c r="I3125" s="3" t="s">
        <v>476</v>
      </c>
      <c r="J3125" s="3" t="s">
        <v>323</v>
      </c>
      <c r="K3125" s="4">
        <v>3206506</v>
      </c>
    </row>
    <row r="3126" spans="1:43" x14ac:dyDescent="0.3">
      <c r="B3126" s="44">
        <v>46053</v>
      </c>
      <c r="C3126" s="3" t="s">
        <v>416</v>
      </c>
      <c r="D3126" s="3" t="s">
        <v>65</v>
      </c>
      <c r="E3126" s="42"/>
      <c r="F3126" s="3" t="s">
        <v>655</v>
      </c>
      <c r="G3126" s="3" t="s">
        <v>325</v>
      </c>
      <c r="H3126" s="4">
        <v>3201501</v>
      </c>
      <c r="I3126" s="4" t="s">
        <v>718</v>
      </c>
      <c r="J3126" s="4" t="s">
        <v>359</v>
      </c>
      <c r="K3126" s="4">
        <v>3204602</v>
      </c>
    </row>
    <row r="3127" spans="1:43" x14ac:dyDescent="0.3">
      <c r="B3127" s="44">
        <v>46053</v>
      </c>
      <c r="C3127" s="3" t="s">
        <v>416</v>
      </c>
      <c r="D3127" s="3" t="s">
        <v>489</v>
      </c>
      <c r="E3127" s="4"/>
      <c r="F3127" s="4" t="s">
        <v>685</v>
      </c>
      <c r="G3127" s="4" t="s">
        <v>160</v>
      </c>
      <c r="H3127" s="4">
        <v>3353008</v>
      </c>
      <c r="I3127" s="4" t="s">
        <v>712</v>
      </c>
      <c r="J3127" s="4" t="s">
        <v>132</v>
      </c>
      <c r="K3127" s="4">
        <v>3068304</v>
      </c>
    </row>
    <row r="3128" spans="1:43" x14ac:dyDescent="0.3">
      <c r="B3128" s="44">
        <v>46053</v>
      </c>
      <c r="C3128" s="3" t="s">
        <v>416</v>
      </c>
      <c r="D3128" s="3" t="s">
        <v>610</v>
      </c>
      <c r="E3128" s="42"/>
      <c r="F3128" s="3" t="s">
        <v>685</v>
      </c>
      <c r="G3128" s="3" t="s">
        <v>351</v>
      </c>
      <c r="H3128" s="4">
        <v>3201001</v>
      </c>
      <c r="I3128" s="4" t="s">
        <v>711</v>
      </c>
      <c r="J3128" s="4" t="s">
        <v>381</v>
      </c>
      <c r="K3128" s="4">
        <v>3201209</v>
      </c>
    </row>
    <row r="3129" spans="1:43" x14ac:dyDescent="0.3">
      <c r="B3129" s="44">
        <v>46053</v>
      </c>
      <c r="C3129" s="3" t="s">
        <v>416</v>
      </c>
      <c r="D3129" s="3" t="s">
        <v>495</v>
      </c>
      <c r="E3129" s="42"/>
      <c r="F3129" s="3" t="s">
        <v>685</v>
      </c>
      <c r="G3129" s="3" t="s">
        <v>196</v>
      </c>
      <c r="H3129" s="4">
        <v>3353102</v>
      </c>
      <c r="I3129" s="3" t="s">
        <v>685</v>
      </c>
      <c r="J3129" s="3" t="s">
        <v>197</v>
      </c>
      <c r="K3129" s="4">
        <v>3353300</v>
      </c>
    </row>
    <row r="3130" spans="1:43" x14ac:dyDescent="0.3">
      <c r="A3130" s="4"/>
      <c r="B3130" s="100">
        <v>46053</v>
      </c>
      <c r="C3130" s="98" t="s">
        <v>553</v>
      </c>
      <c r="D3130" s="4" t="s">
        <v>516</v>
      </c>
      <c r="E3130" s="4"/>
      <c r="F3130" s="73" t="s">
        <v>474</v>
      </c>
      <c r="G3130" s="73" t="s">
        <v>474</v>
      </c>
      <c r="H3130" s="73"/>
      <c r="I3130" s="73" t="s">
        <v>519</v>
      </c>
      <c r="J3130" s="73" t="s">
        <v>519</v>
      </c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</row>
    <row r="3131" spans="1:43" x14ac:dyDescent="0.3">
      <c r="B3131" s="44">
        <v>46053</v>
      </c>
      <c r="C3131" s="3" t="s">
        <v>416</v>
      </c>
      <c r="D3131" s="3" t="s">
        <v>610</v>
      </c>
      <c r="E3131" s="42"/>
      <c r="F3131" s="3" t="s">
        <v>474</v>
      </c>
      <c r="G3131" s="3" t="s">
        <v>458</v>
      </c>
      <c r="H3131" s="4">
        <v>3200304</v>
      </c>
      <c r="I3131" s="4" t="s">
        <v>685</v>
      </c>
      <c r="J3131" s="4" t="s">
        <v>382</v>
      </c>
      <c r="K3131" s="4">
        <v>3200804</v>
      </c>
    </row>
    <row r="3132" spans="1:43" x14ac:dyDescent="0.3">
      <c r="B3132" s="44">
        <v>46053</v>
      </c>
      <c r="C3132" s="3" t="s">
        <v>416</v>
      </c>
      <c r="D3132" s="3" t="s">
        <v>492</v>
      </c>
      <c r="E3132" s="42"/>
      <c r="F3132" s="3" t="s">
        <v>474</v>
      </c>
      <c r="G3132" s="3" t="s">
        <v>161</v>
      </c>
      <c r="H3132" s="4">
        <v>3352509</v>
      </c>
      <c r="I3132" s="4" t="s">
        <v>648</v>
      </c>
      <c r="J3132" s="4" t="s">
        <v>201</v>
      </c>
      <c r="K3132" s="4">
        <v>3362203</v>
      </c>
    </row>
    <row r="3133" spans="1:43" x14ac:dyDescent="0.3">
      <c r="B3133" s="44">
        <v>46053</v>
      </c>
      <c r="C3133" s="3" t="s">
        <v>416</v>
      </c>
      <c r="D3133" s="3" t="s">
        <v>496</v>
      </c>
      <c r="E3133" s="42"/>
      <c r="F3133" s="4" t="s">
        <v>474</v>
      </c>
      <c r="G3133" s="4" t="s">
        <v>426</v>
      </c>
      <c r="H3133" s="4">
        <v>3352603</v>
      </c>
      <c r="I3133" s="3" t="s">
        <v>652</v>
      </c>
      <c r="J3133" s="3" t="s">
        <v>229</v>
      </c>
      <c r="K3133" s="4">
        <v>3358409</v>
      </c>
    </row>
    <row r="3134" spans="1:43" x14ac:dyDescent="0.3">
      <c r="B3134" s="44">
        <v>46053</v>
      </c>
      <c r="C3134" s="3" t="s">
        <v>416</v>
      </c>
      <c r="D3134" s="3" t="s">
        <v>499</v>
      </c>
      <c r="E3134" s="42"/>
      <c r="F3134" s="3" t="s">
        <v>474</v>
      </c>
      <c r="G3134" s="3" t="s">
        <v>597</v>
      </c>
      <c r="H3134" s="4">
        <v>3352707</v>
      </c>
      <c r="I3134" s="3" t="s">
        <v>723</v>
      </c>
      <c r="J3134" s="3" t="s">
        <v>599</v>
      </c>
      <c r="K3134" s="4" t="s">
        <v>556</v>
      </c>
      <c r="M3134" s="3" t="s">
        <v>243</v>
      </c>
      <c r="N3134" s="3" t="s">
        <v>597</v>
      </c>
    </row>
    <row r="3135" spans="1:43" x14ac:dyDescent="0.3">
      <c r="B3135" s="44">
        <v>46053</v>
      </c>
      <c r="C3135" s="3" t="s">
        <v>416</v>
      </c>
      <c r="D3135" s="3" t="s">
        <v>492</v>
      </c>
      <c r="E3135" s="42"/>
      <c r="F3135" s="3" t="s">
        <v>714</v>
      </c>
      <c r="G3135" s="3" t="s">
        <v>162</v>
      </c>
      <c r="H3135" s="4">
        <v>3348903</v>
      </c>
      <c r="I3135" s="3" t="s">
        <v>719</v>
      </c>
      <c r="J3135" s="3" t="s">
        <v>155</v>
      </c>
      <c r="K3135" s="4">
        <v>3361600</v>
      </c>
    </row>
    <row r="3136" spans="1:43" x14ac:dyDescent="0.3">
      <c r="B3136" s="44">
        <v>46053</v>
      </c>
      <c r="C3136" s="3" t="s">
        <v>416</v>
      </c>
      <c r="D3136" s="3" t="s">
        <v>498</v>
      </c>
      <c r="E3136" s="42"/>
      <c r="F3136" s="3" t="s">
        <v>714</v>
      </c>
      <c r="G3136" s="3" t="s">
        <v>222</v>
      </c>
      <c r="H3136" s="4">
        <v>3348507</v>
      </c>
      <c r="I3136" s="3" t="s">
        <v>689</v>
      </c>
      <c r="J3136" s="3" t="s">
        <v>468</v>
      </c>
      <c r="K3136" s="4">
        <v>3349902</v>
      </c>
    </row>
    <row r="3137" spans="1:43" x14ac:dyDescent="0.3">
      <c r="B3137" s="44">
        <v>46053</v>
      </c>
      <c r="C3137" s="3" t="s">
        <v>416</v>
      </c>
      <c r="D3137" s="3" t="s">
        <v>489</v>
      </c>
      <c r="E3137" s="4"/>
      <c r="F3137" s="3" t="s">
        <v>650</v>
      </c>
      <c r="G3137" s="3" t="s">
        <v>163</v>
      </c>
      <c r="H3137" s="4">
        <v>3351802</v>
      </c>
      <c r="I3137" s="3" t="s">
        <v>671</v>
      </c>
      <c r="J3137" s="3" t="s">
        <v>156</v>
      </c>
      <c r="K3137" s="4">
        <v>3359200</v>
      </c>
    </row>
    <row r="3138" spans="1:43" x14ac:dyDescent="0.3">
      <c r="B3138" s="44">
        <v>46053</v>
      </c>
      <c r="C3138" s="3" t="s">
        <v>416</v>
      </c>
      <c r="D3138" s="3" t="s">
        <v>496</v>
      </c>
      <c r="E3138" s="42"/>
      <c r="F3138" s="3" t="s">
        <v>650</v>
      </c>
      <c r="G3138" s="3" t="s">
        <v>205</v>
      </c>
      <c r="H3138" s="74">
        <v>3351906</v>
      </c>
      <c r="I3138" s="3" t="s">
        <v>710</v>
      </c>
      <c r="J3138" s="3" t="s">
        <v>462</v>
      </c>
      <c r="K3138" s="4">
        <v>3352207</v>
      </c>
    </row>
    <row r="3139" spans="1:43" x14ac:dyDescent="0.3">
      <c r="B3139" s="44">
        <v>46053</v>
      </c>
      <c r="C3139" s="3" t="s">
        <v>416</v>
      </c>
      <c r="D3139" s="3" t="s">
        <v>499</v>
      </c>
      <c r="E3139" s="42"/>
      <c r="F3139" s="3" t="s">
        <v>650</v>
      </c>
      <c r="G3139" s="3" t="s">
        <v>571</v>
      </c>
      <c r="H3139" s="4">
        <v>3900505</v>
      </c>
      <c r="I3139" s="3" t="s">
        <v>710</v>
      </c>
      <c r="J3139" s="3" t="s">
        <v>230</v>
      </c>
      <c r="K3139" s="4">
        <v>3900609</v>
      </c>
      <c r="M3139" s="51"/>
    </row>
    <row r="3140" spans="1:43" x14ac:dyDescent="0.3">
      <c r="B3140" s="44">
        <v>46053</v>
      </c>
      <c r="C3140" s="3" t="s">
        <v>416</v>
      </c>
      <c r="D3140" s="3" t="s">
        <v>68</v>
      </c>
      <c r="E3140" s="42"/>
      <c r="F3140" s="3" t="s">
        <v>650</v>
      </c>
      <c r="G3140" s="3" t="s">
        <v>390</v>
      </c>
      <c r="H3140" s="4">
        <v>3544509</v>
      </c>
      <c r="I3140" s="4" t="s">
        <v>671</v>
      </c>
      <c r="J3140" s="4" t="s">
        <v>389</v>
      </c>
      <c r="K3140" s="4">
        <v>3209201</v>
      </c>
    </row>
    <row r="3141" spans="1:43" x14ac:dyDescent="0.3">
      <c r="B3141" s="44">
        <v>46053</v>
      </c>
      <c r="C3141" s="3" t="s">
        <v>416</v>
      </c>
      <c r="D3141" s="3" t="s">
        <v>59</v>
      </c>
      <c r="E3141" s="42"/>
      <c r="F3141" s="4" t="s">
        <v>656</v>
      </c>
      <c r="G3141" s="4" t="s">
        <v>278</v>
      </c>
      <c r="H3141" s="4">
        <v>3199800</v>
      </c>
      <c r="I3141" s="3" t="s">
        <v>710</v>
      </c>
      <c r="J3141" s="3" t="s">
        <v>279</v>
      </c>
      <c r="K3141" s="4">
        <v>3199706</v>
      </c>
    </row>
    <row r="3142" spans="1:43" x14ac:dyDescent="0.3">
      <c r="B3142" s="44">
        <v>46053</v>
      </c>
      <c r="C3142" s="3" t="s">
        <v>416</v>
      </c>
      <c r="D3142" s="3" t="s">
        <v>65</v>
      </c>
      <c r="E3142" s="42"/>
      <c r="F3142" s="3" t="s">
        <v>656</v>
      </c>
      <c r="G3142" s="3" t="s">
        <v>326</v>
      </c>
      <c r="H3142" s="4">
        <v>3199904</v>
      </c>
      <c r="I3142" s="4" t="s">
        <v>653</v>
      </c>
      <c r="J3142" s="4" t="s">
        <v>451</v>
      </c>
      <c r="K3142" s="4">
        <v>3211309</v>
      </c>
    </row>
    <row r="3143" spans="1:43" x14ac:dyDescent="0.3">
      <c r="B3143" s="44">
        <v>46053</v>
      </c>
      <c r="C3143" s="3" t="s">
        <v>416</v>
      </c>
      <c r="D3143" s="3" t="s">
        <v>67</v>
      </c>
      <c r="E3143" s="42"/>
      <c r="F3143" s="4" t="s">
        <v>715</v>
      </c>
      <c r="G3143" s="4" t="s">
        <v>377</v>
      </c>
      <c r="H3143" s="4">
        <v>3200106</v>
      </c>
      <c r="I3143" s="3" t="s">
        <v>475</v>
      </c>
      <c r="J3143" s="3" t="s">
        <v>336</v>
      </c>
      <c r="K3143" s="4">
        <v>3211809</v>
      </c>
    </row>
    <row r="3144" spans="1:43" x14ac:dyDescent="0.3">
      <c r="B3144" s="44">
        <v>46053</v>
      </c>
      <c r="C3144" s="3" t="s">
        <v>416</v>
      </c>
      <c r="D3144" s="3" t="s">
        <v>487</v>
      </c>
      <c r="E3144" s="4"/>
      <c r="F3144" s="4" t="s">
        <v>710</v>
      </c>
      <c r="G3144" s="4" t="s">
        <v>113</v>
      </c>
      <c r="H3144" s="4">
        <v>3352009</v>
      </c>
      <c r="I3144" s="3" t="s">
        <v>475</v>
      </c>
      <c r="J3144" s="3" t="s">
        <v>96</v>
      </c>
      <c r="K3144" s="4">
        <v>3067107</v>
      </c>
    </row>
    <row r="3145" spans="1:43" x14ac:dyDescent="0.3">
      <c r="B3145" s="44">
        <v>46053</v>
      </c>
      <c r="C3145" s="3" t="s">
        <v>416</v>
      </c>
      <c r="D3145" s="3" t="s">
        <v>64</v>
      </c>
      <c r="E3145" s="42">
        <v>4370907</v>
      </c>
      <c r="F3145" s="3" t="s">
        <v>710</v>
      </c>
      <c r="G3145" s="3" t="s">
        <v>354</v>
      </c>
      <c r="H3145" s="4">
        <v>3199404</v>
      </c>
      <c r="I3145" s="4" t="s">
        <v>646</v>
      </c>
      <c r="J3145" s="4" t="s">
        <v>349</v>
      </c>
      <c r="K3145" s="4">
        <v>3202500</v>
      </c>
    </row>
    <row r="3146" spans="1:43" x14ac:dyDescent="0.3">
      <c r="B3146" s="44">
        <v>46053</v>
      </c>
      <c r="C3146" s="3" t="s">
        <v>416</v>
      </c>
      <c r="D3146" s="3" t="s">
        <v>496</v>
      </c>
      <c r="E3146" s="42"/>
      <c r="F3146" s="4" t="s">
        <v>710</v>
      </c>
      <c r="G3146" s="4" t="s">
        <v>206</v>
      </c>
      <c r="H3146" s="4">
        <v>3352103</v>
      </c>
      <c r="I3146" s="3" t="s">
        <v>716</v>
      </c>
      <c r="J3146" s="3" t="s">
        <v>427</v>
      </c>
      <c r="K3146" s="4">
        <v>3351500</v>
      </c>
    </row>
    <row r="3147" spans="1:43" x14ac:dyDescent="0.3">
      <c r="B3147" s="44">
        <v>46053</v>
      </c>
      <c r="C3147" s="3" t="s">
        <v>416</v>
      </c>
      <c r="D3147" s="4" t="s">
        <v>614</v>
      </c>
      <c r="E3147" s="42"/>
      <c r="F3147" s="3" t="s">
        <v>710</v>
      </c>
      <c r="G3147" s="3" t="s">
        <v>384</v>
      </c>
      <c r="H3147" s="4">
        <v>3199508</v>
      </c>
      <c r="I3147" s="4" t="s">
        <v>646</v>
      </c>
      <c r="J3147" s="4" t="s">
        <v>380</v>
      </c>
      <c r="K3147" s="4">
        <v>3202208</v>
      </c>
    </row>
    <row r="3148" spans="1:43" x14ac:dyDescent="0.3">
      <c r="B3148" s="44">
        <v>46053</v>
      </c>
      <c r="C3148" s="3" t="s">
        <v>416</v>
      </c>
      <c r="D3148" s="4" t="s">
        <v>614</v>
      </c>
      <c r="E3148" s="42"/>
      <c r="F3148" s="3" t="s">
        <v>710</v>
      </c>
      <c r="G3148" s="3" t="s">
        <v>385</v>
      </c>
      <c r="H3148" s="4">
        <v>3199602</v>
      </c>
      <c r="I3148" s="4" t="s">
        <v>673</v>
      </c>
      <c r="J3148" s="4" t="s">
        <v>455</v>
      </c>
      <c r="K3148" s="4">
        <v>3961604</v>
      </c>
    </row>
    <row r="3149" spans="1:43" x14ac:dyDescent="0.3">
      <c r="A3149" s="4"/>
      <c r="B3149" s="100">
        <v>46053</v>
      </c>
      <c r="C3149" s="98" t="s">
        <v>553</v>
      </c>
      <c r="D3149" s="4" t="s">
        <v>516</v>
      </c>
      <c r="E3149" s="4"/>
      <c r="F3149" s="73" t="s">
        <v>518</v>
      </c>
      <c r="G3149" s="73" t="s">
        <v>518</v>
      </c>
      <c r="H3149" s="73"/>
      <c r="I3149" s="73" t="s">
        <v>527</v>
      </c>
      <c r="J3149" s="73" t="s">
        <v>527</v>
      </c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</row>
    <row r="3150" spans="1:43" x14ac:dyDescent="0.3">
      <c r="A3150" s="4"/>
      <c r="B3150" s="100">
        <v>46053</v>
      </c>
      <c r="C3150" s="98" t="s">
        <v>553</v>
      </c>
      <c r="D3150" s="4" t="s">
        <v>512</v>
      </c>
      <c r="E3150" s="4"/>
      <c r="F3150" s="73" t="s">
        <v>477</v>
      </c>
      <c r="G3150" s="73" t="s">
        <v>477</v>
      </c>
      <c r="H3150" s="73"/>
      <c r="I3150" s="73" t="s">
        <v>525</v>
      </c>
      <c r="J3150" s="73" t="s">
        <v>525</v>
      </c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</row>
    <row r="3151" spans="1:43" x14ac:dyDescent="0.3">
      <c r="B3151" s="44">
        <v>46053</v>
      </c>
      <c r="C3151" s="3" t="s">
        <v>416</v>
      </c>
      <c r="D3151" s="3" t="s">
        <v>61</v>
      </c>
      <c r="E3151" s="42"/>
      <c r="F3151" s="4" t="s">
        <v>477</v>
      </c>
      <c r="G3151" s="4" t="s">
        <v>308</v>
      </c>
      <c r="H3151" s="4">
        <v>3199300</v>
      </c>
      <c r="I3151" s="3" t="s">
        <v>703</v>
      </c>
      <c r="J3151" s="3" t="s">
        <v>596</v>
      </c>
      <c r="K3151" s="4" t="s">
        <v>556</v>
      </c>
    </row>
    <row r="3152" spans="1:43" x14ac:dyDescent="0.3">
      <c r="B3152" s="44">
        <v>46053</v>
      </c>
      <c r="C3152" s="3" t="s">
        <v>416</v>
      </c>
      <c r="D3152" s="3" t="s">
        <v>61</v>
      </c>
      <c r="E3152" s="42"/>
      <c r="F3152" s="4" t="s">
        <v>477</v>
      </c>
      <c r="G3152" s="4" t="s">
        <v>332</v>
      </c>
      <c r="H3152" s="4">
        <v>3199206</v>
      </c>
      <c r="I3152" s="3" t="s">
        <v>645</v>
      </c>
      <c r="J3152" s="3" t="s">
        <v>309</v>
      </c>
      <c r="K3152" s="4">
        <v>3082104</v>
      </c>
    </row>
    <row r="3153" spans="2:14" x14ac:dyDescent="0.3">
      <c r="B3153" s="44">
        <v>46053</v>
      </c>
      <c r="C3153" s="3" t="s">
        <v>416</v>
      </c>
      <c r="D3153" s="3" t="s">
        <v>58</v>
      </c>
      <c r="E3153" s="42"/>
      <c r="F3153" s="3" t="s">
        <v>706</v>
      </c>
      <c r="G3153" s="3" t="s">
        <v>269</v>
      </c>
      <c r="H3153" s="4">
        <v>3069407</v>
      </c>
      <c r="I3153" s="3" t="s">
        <v>721</v>
      </c>
      <c r="J3153" s="3" t="s">
        <v>271</v>
      </c>
      <c r="K3153" s="32">
        <v>3194701</v>
      </c>
    </row>
    <row r="3154" spans="2:14" x14ac:dyDescent="0.3">
      <c r="B3154" s="44">
        <v>46053</v>
      </c>
      <c r="C3154" s="3" t="s">
        <v>416</v>
      </c>
      <c r="D3154" s="3" t="s">
        <v>57</v>
      </c>
      <c r="E3154" s="42"/>
      <c r="F3154" s="3" t="s">
        <v>645</v>
      </c>
      <c r="G3154" s="3" t="s">
        <v>263</v>
      </c>
      <c r="H3154" s="4">
        <v>3198707</v>
      </c>
      <c r="I3154" s="32" t="s">
        <v>709</v>
      </c>
      <c r="J3154" s="32" t="s">
        <v>268</v>
      </c>
      <c r="K3154" s="15">
        <v>3203103</v>
      </c>
    </row>
    <row r="3155" spans="2:14" x14ac:dyDescent="0.3">
      <c r="B3155" s="44">
        <v>46053</v>
      </c>
      <c r="C3155" s="3" t="s">
        <v>416</v>
      </c>
      <c r="D3155" s="3" t="s">
        <v>486</v>
      </c>
      <c r="E3155" s="42"/>
      <c r="F3155" s="4" t="s">
        <v>645</v>
      </c>
      <c r="G3155" s="4" t="s">
        <v>104</v>
      </c>
      <c r="H3155" s="4">
        <v>3036308</v>
      </c>
      <c r="I3155" s="3" t="s">
        <v>676</v>
      </c>
      <c r="J3155" s="3" t="s">
        <v>109</v>
      </c>
      <c r="K3155" s="4">
        <v>3067701</v>
      </c>
    </row>
    <row r="3156" spans="2:14" x14ac:dyDescent="0.3">
      <c r="B3156" s="44">
        <v>46053</v>
      </c>
      <c r="C3156" s="3" t="s">
        <v>416</v>
      </c>
      <c r="D3156" s="3" t="s">
        <v>63</v>
      </c>
      <c r="E3156" s="42"/>
      <c r="F3156" s="104" t="s">
        <v>645</v>
      </c>
      <c r="G3156" s="104" t="s">
        <v>333</v>
      </c>
      <c r="H3156" s="74">
        <v>3198801</v>
      </c>
      <c r="I3156" s="3" t="s">
        <v>684</v>
      </c>
      <c r="J3156" s="3" t="s">
        <v>369</v>
      </c>
      <c r="K3156" s="74">
        <v>3202708</v>
      </c>
    </row>
    <row r="3157" spans="2:14" x14ac:dyDescent="0.3">
      <c r="B3157" s="44">
        <v>46053</v>
      </c>
      <c r="C3157" s="3" t="s">
        <v>416</v>
      </c>
      <c r="D3157" s="3" t="s">
        <v>488</v>
      </c>
      <c r="E3157" s="42"/>
      <c r="F3157" s="4" t="s">
        <v>645</v>
      </c>
      <c r="G3157" s="4" t="s">
        <v>151</v>
      </c>
      <c r="H3157" s="4">
        <v>3351208</v>
      </c>
      <c r="I3157" s="3" t="s">
        <v>680</v>
      </c>
      <c r="J3157" s="3" t="s">
        <v>117</v>
      </c>
      <c r="K3157" s="4">
        <v>3359002</v>
      </c>
    </row>
    <row r="3158" spans="2:14" x14ac:dyDescent="0.3">
      <c r="B3158" s="44">
        <v>46053</v>
      </c>
      <c r="C3158" s="3" t="s">
        <v>416</v>
      </c>
      <c r="D3158" s="3" t="s">
        <v>491</v>
      </c>
      <c r="E3158" s="42"/>
      <c r="F3158" s="4" t="s">
        <v>645</v>
      </c>
      <c r="G3158" s="4" t="s">
        <v>464</v>
      </c>
      <c r="H3158" s="4">
        <v>3351406</v>
      </c>
      <c r="I3158" s="3" t="s">
        <v>698</v>
      </c>
      <c r="J3158" s="3" t="s">
        <v>567</v>
      </c>
      <c r="K3158" s="4" t="s">
        <v>556</v>
      </c>
    </row>
    <row r="3159" spans="2:14" x14ac:dyDescent="0.3">
      <c r="B3159" s="44">
        <v>46053</v>
      </c>
      <c r="C3159" s="3" t="s">
        <v>416</v>
      </c>
      <c r="D3159" s="3" t="s">
        <v>489</v>
      </c>
      <c r="E3159" s="4"/>
      <c r="F3159" s="3" t="s">
        <v>678</v>
      </c>
      <c r="G3159" s="3" t="s">
        <v>131</v>
      </c>
      <c r="H3159" s="4">
        <v>3350605</v>
      </c>
      <c r="I3159" s="4" t="s">
        <v>474</v>
      </c>
      <c r="J3159" s="4" t="s">
        <v>130</v>
      </c>
      <c r="K3159" s="4">
        <v>3352405</v>
      </c>
    </row>
    <row r="3160" spans="2:14" x14ac:dyDescent="0.3">
      <c r="B3160" s="44">
        <v>46053</v>
      </c>
      <c r="C3160" s="3" t="s">
        <v>416</v>
      </c>
      <c r="D3160" s="3" t="s">
        <v>65</v>
      </c>
      <c r="E3160" s="42"/>
      <c r="F3160" s="3" t="s">
        <v>678</v>
      </c>
      <c r="G3160" s="3" t="s">
        <v>452</v>
      </c>
      <c r="H3160" s="4">
        <v>3198207</v>
      </c>
      <c r="I3160" s="4" t="s">
        <v>663</v>
      </c>
      <c r="J3160" s="4" t="s">
        <v>290</v>
      </c>
      <c r="K3160" s="4">
        <v>3197500</v>
      </c>
    </row>
    <row r="3161" spans="2:14" x14ac:dyDescent="0.3">
      <c r="B3161" s="44">
        <v>46053</v>
      </c>
      <c r="C3161" s="3" t="s">
        <v>416</v>
      </c>
      <c r="D3161" s="3" t="s">
        <v>610</v>
      </c>
      <c r="E3161" s="42"/>
      <c r="F3161" s="3" t="s">
        <v>675</v>
      </c>
      <c r="G3161" s="3" t="s">
        <v>450</v>
      </c>
      <c r="H3161" s="4">
        <v>3198405</v>
      </c>
      <c r="I3161" s="4" t="s">
        <v>650</v>
      </c>
      <c r="J3161" s="4" t="s">
        <v>353</v>
      </c>
      <c r="K3161" s="4">
        <v>3200200</v>
      </c>
    </row>
    <row r="3162" spans="2:14" x14ac:dyDescent="0.3">
      <c r="B3162" s="44">
        <v>46053</v>
      </c>
      <c r="C3162" s="3" t="s">
        <v>416</v>
      </c>
      <c r="D3162" s="3" t="s">
        <v>499</v>
      </c>
      <c r="E3162" s="42"/>
      <c r="F3162" s="3" t="s">
        <v>675</v>
      </c>
      <c r="G3162" s="3" t="s">
        <v>572</v>
      </c>
      <c r="H3162" s="53">
        <v>3350303</v>
      </c>
      <c r="I3162" s="3" t="s">
        <v>671</v>
      </c>
      <c r="J3162" s="3" t="s">
        <v>228</v>
      </c>
      <c r="K3162" s="53">
        <v>3358607</v>
      </c>
      <c r="M3162" s="4"/>
      <c r="N3162" s="4"/>
    </row>
    <row r="3163" spans="2:14" x14ac:dyDescent="0.3">
      <c r="B3163" s="44">
        <v>46053</v>
      </c>
      <c r="C3163" s="3" t="s">
        <v>416</v>
      </c>
      <c r="D3163" s="4" t="s">
        <v>614</v>
      </c>
      <c r="E3163" s="42"/>
      <c r="F3163" s="3" t="s">
        <v>675</v>
      </c>
      <c r="G3163" s="3" t="s">
        <v>403</v>
      </c>
      <c r="H3163" s="4">
        <v>3198509</v>
      </c>
      <c r="I3163" s="4" t="s">
        <v>714</v>
      </c>
      <c r="J3163" s="4" t="s">
        <v>454</v>
      </c>
      <c r="K3163" s="4">
        <v>3820300</v>
      </c>
    </row>
    <row r="3164" spans="2:14" x14ac:dyDescent="0.3">
      <c r="B3164" s="44">
        <v>46053</v>
      </c>
      <c r="C3164" s="3" t="s">
        <v>416</v>
      </c>
      <c r="D3164" s="3" t="s">
        <v>490</v>
      </c>
      <c r="E3164" s="4"/>
      <c r="F3164" s="3" t="s">
        <v>691</v>
      </c>
      <c r="G3164" s="3" t="s">
        <v>142</v>
      </c>
      <c r="H3164" s="4">
        <v>3350501</v>
      </c>
      <c r="I3164" s="4" t="s">
        <v>653</v>
      </c>
      <c r="J3164" s="4" t="s">
        <v>126</v>
      </c>
      <c r="K3164" s="4">
        <v>3361402</v>
      </c>
    </row>
    <row r="3165" spans="2:14" x14ac:dyDescent="0.3">
      <c r="B3165" s="44">
        <v>46053</v>
      </c>
      <c r="C3165" s="3" t="s">
        <v>416</v>
      </c>
      <c r="D3165" s="3" t="s">
        <v>497</v>
      </c>
      <c r="E3165" s="42"/>
      <c r="F3165" s="17" t="s">
        <v>691</v>
      </c>
      <c r="G3165" s="17" t="s">
        <v>215</v>
      </c>
      <c r="H3165" s="74">
        <v>3350407</v>
      </c>
      <c r="I3165" s="17" t="s">
        <v>476</v>
      </c>
      <c r="J3165" s="17" t="s">
        <v>234</v>
      </c>
      <c r="K3165" s="74">
        <v>3356807</v>
      </c>
    </row>
    <row r="3166" spans="2:14" x14ac:dyDescent="0.3">
      <c r="B3166" s="44">
        <v>46053</v>
      </c>
      <c r="C3166" s="3" t="s">
        <v>416</v>
      </c>
      <c r="D3166" s="3" t="s">
        <v>69</v>
      </c>
      <c r="E3166" s="42"/>
      <c r="F3166" s="3" t="s">
        <v>691</v>
      </c>
      <c r="G3166" s="3" t="s">
        <v>395</v>
      </c>
      <c r="H3166" s="4">
        <v>3197604</v>
      </c>
      <c r="I3166" s="3" t="s">
        <v>681</v>
      </c>
      <c r="J3166" s="3" t="s">
        <v>365</v>
      </c>
      <c r="K3166" s="4">
        <v>3195804</v>
      </c>
    </row>
    <row r="3167" spans="2:14" x14ac:dyDescent="0.3">
      <c r="B3167" s="44">
        <v>46053</v>
      </c>
      <c r="C3167" s="3" t="s">
        <v>416</v>
      </c>
      <c r="D3167" s="3" t="s">
        <v>67</v>
      </c>
      <c r="E3167" s="42"/>
      <c r="F3167" s="3" t="s">
        <v>689</v>
      </c>
      <c r="G3167" s="3" t="s">
        <v>341</v>
      </c>
      <c r="H3167" s="4">
        <v>3197708</v>
      </c>
      <c r="I3167" s="4" t="s">
        <v>717</v>
      </c>
      <c r="J3167" s="4" t="s">
        <v>435</v>
      </c>
      <c r="K3167" s="4">
        <v>3195200</v>
      </c>
    </row>
    <row r="3168" spans="2:14" x14ac:dyDescent="0.3">
      <c r="B3168" s="44">
        <v>46053</v>
      </c>
      <c r="C3168" s="3" t="s">
        <v>416</v>
      </c>
      <c r="D3168" s="3" t="s">
        <v>501</v>
      </c>
      <c r="E3168" s="42"/>
      <c r="F3168" s="3" t="s">
        <v>689</v>
      </c>
      <c r="G3168" s="3" t="s">
        <v>580</v>
      </c>
      <c r="H3168" s="4">
        <v>3350001</v>
      </c>
      <c r="I3168" s="3" t="s">
        <v>689</v>
      </c>
      <c r="J3168" s="3" t="s">
        <v>581</v>
      </c>
      <c r="K3168" s="4">
        <v>4022804</v>
      </c>
      <c r="M3168" s="4"/>
    </row>
    <row r="3169" spans="2:11" x14ac:dyDescent="0.3">
      <c r="B3169" s="44">
        <v>46053</v>
      </c>
      <c r="C3169" s="3" t="s">
        <v>416</v>
      </c>
      <c r="D3169" s="3" t="s">
        <v>60</v>
      </c>
      <c r="E3169" s="42"/>
      <c r="F3169" s="3" t="s">
        <v>668</v>
      </c>
      <c r="G3169" s="3" t="s">
        <v>431</v>
      </c>
      <c r="H3169" s="4">
        <v>3900703</v>
      </c>
      <c r="I3169" s="3" t="s">
        <v>721</v>
      </c>
      <c r="J3169" s="3" t="s">
        <v>300</v>
      </c>
      <c r="K3169" s="32">
        <v>3194805</v>
      </c>
    </row>
    <row r="3170" spans="2:11" x14ac:dyDescent="0.3">
      <c r="B3170" s="44">
        <v>46053</v>
      </c>
      <c r="C3170" s="3" t="s">
        <v>416</v>
      </c>
      <c r="D3170" s="3" t="s">
        <v>497</v>
      </c>
      <c r="E3170" s="42"/>
      <c r="F3170" s="3" t="s">
        <v>654</v>
      </c>
      <c r="G3170" s="3" t="s">
        <v>216</v>
      </c>
      <c r="H3170" s="4">
        <v>3349808</v>
      </c>
      <c r="I3170" s="3" t="s">
        <v>678</v>
      </c>
      <c r="J3170" s="3" t="s">
        <v>172</v>
      </c>
      <c r="K3170" s="74">
        <v>3350709</v>
      </c>
    </row>
    <row r="3171" spans="2:11" x14ac:dyDescent="0.3">
      <c r="B3171" s="44">
        <v>46053</v>
      </c>
      <c r="C3171" s="3" t="s">
        <v>416</v>
      </c>
      <c r="D3171" s="3" t="s">
        <v>500</v>
      </c>
      <c r="E3171" s="42"/>
      <c r="F3171" s="3" t="s">
        <v>654</v>
      </c>
      <c r="G3171" s="3" t="s">
        <v>576</v>
      </c>
      <c r="H3171" s="4">
        <v>4009003</v>
      </c>
      <c r="I3171" s="4" t="s">
        <v>476</v>
      </c>
      <c r="J3171" s="4" t="s">
        <v>575</v>
      </c>
      <c r="K3171" s="4">
        <v>3900005</v>
      </c>
    </row>
    <row r="3172" spans="2:11" x14ac:dyDescent="0.3">
      <c r="B3172" s="44">
        <v>46053</v>
      </c>
      <c r="C3172" s="3" t="s">
        <v>416</v>
      </c>
      <c r="D3172" s="3" t="s">
        <v>58</v>
      </c>
      <c r="E3172" s="42"/>
      <c r="F3172" s="3" t="s">
        <v>712</v>
      </c>
      <c r="G3172" s="3" t="s">
        <v>270</v>
      </c>
      <c r="H3172" s="4">
        <v>3069605</v>
      </c>
      <c r="I3172" s="3" t="s">
        <v>703</v>
      </c>
      <c r="J3172" s="3" t="s">
        <v>586</v>
      </c>
      <c r="K3172" s="32" t="s">
        <v>588</v>
      </c>
    </row>
    <row r="3173" spans="2:11" x14ac:dyDescent="0.3">
      <c r="B3173" s="44">
        <v>46053</v>
      </c>
      <c r="C3173" s="3" t="s">
        <v>416</v>
      </c>
      <c r="D3173" s="3" t="s">
        <v>495</v>
      </c>
      <c r="E3173" s="42"/>
      <c r="F3173" s="3" t="s">
        <v>712</v>
      </c>
      <c r="G3173" s="3" t="s">
        <v>164</v>
      </c>
      <c r="H3173" s="4">
        <v>3349402</v>
      </c>
      <c r="I3173" s="3" t="s">
        <v>670</v>
      </c>
      <c r="J3173" s="3" t="s">
        <v>224</v>
      </c>
      <c r="K3173" s="4">
        <v>3347008</v>
      </c>
    </row>
    <row r="3174" spans="2:11" x14ac:dyDescent="0.3">
      <c r="B3174" s="44">
        <v>46053</v>
      </c>
      <c r="C3174" s="3" t="s">
        <v>416</v>
      </c>
      <c r="D3174" s="3" t="s">
        <v>63</v>
      </c>
      <c r="E3174" s="42"/>
      <c r="F3174" s="104" t="s">
        <v>712</v>
      </c>
      <c r="G3174" s="104" t="s">
        <v>334</v>
      </c>
      <c r="H3174" s="74">
        <v>3198009</v>
      </c>
      <c r="I3174" s="3" t="s">
        <v>697</v>
      </c>
      <c r="J3174" s="3" t="s">
        <v>448</v>
      </c>
      <c r="K3174" s="4">
        <v>3036808</v>
      </c>
    </row>
    <row r="3175" spans="2:11" x14ac:dyDescent="0.3">
      <c r="B3175" s="44">
        <v>46053</v>
      </c>
      <c r="C3175" s="3" t="s">
        <v>416</v>
      </c>
      <c r="D3175" s="3" t="s">
        <v>492</v>
      </c>
      <c r="E3175" s="42"/>
      <c r="F3175" s="4" t="s">
        <v>713</v>
      </c>
      <c r="G3175" s="4" t="s">
        <v>165</v>
      </c>
      <c r="H3175" s="4">
        <v>3349006</v>
      </c>
      <c r="I3175" s="3" t="s">
        <v>666</v>
      </c>
      <c r="J3175" s="3" t="s">
        <v>158</v>
      </c>
      <c r="K3175" s="4">
        <v>3356901</v>
      </c>
    </row>
    <row r="3176" spans="2:11" x14ac:dyDescent="0.3">
      <c r="B3176" s="44">
        <v>46053</v>
      </c>
      <c r="C3176" s="3" t="s">
        <v>416</v>
      </c>
      <c r="D3176" s="3" t="s">
        <v>495</v>
      </c>
      <c r="E3176" s="42"/>
      <c r="F3176" s="3" t="s">
        <v>713</v>
      </c>
      <c r="G3176" s="3" t="s">
        <v>199</v>
      </c>
      <c r="H3176" s="4">
        <v>3349100</v>
      </c>
      <c r="I3176" s="3" t="s">
        <v>682</v>
      </c>
      <c r="J3176" s="3" t="s">
        <v>568</v>
      </c>
      <c r="K3176" s="4">
        <v>3969908</v>
      </c>
    </row>
    <row r="3177" spans="2:11" x14ac:dyDescent="0.3">
      <c r="B3177" s="44">
        <v>46053</v>
      </c>
      <c r="C3177" s="3" t="s">
        <v>416</v>
      </c>
      <c r="D3177" s="4" t="s">
        <v>614</v>
      </c>
      <c r="E3177" s="42"/>
      <c r="F3177" s="3" t="s">
        <v>713</v>
      </c>
      <c r="G3177" s="3" t="s">
        <v>623</v>
      </c>
      <c r="H3177" s="4">
        <v>3819305</v>
      </c>
      <c r="I3177" s="4" t="s">
        <v>713</v>
      </c>
      <c r="J3177" s="4" t="s">
        <v>386</v>
      </c>
      <c r="K3177" s="4">
        <v>3900807</v>
      </c>
    </row>
    <row r="3178" spans="2:11" x14ac:dyDescent="0.3">
      <c r="B3178" s="44">
        <v>46053</v>
      </c>
      <c r="C3178" s="3" t="s">
        <v>416</v>
      </c>
      <c r="D3178" s="3" t="s">
        <v>62</v>
      </c>
      <c r="E3178" s="42"/>
      <c r="F3178" s="4" t="s">
        <v>663</v>
      </c>
      <c r="G3178" s="4" t="s">
        <v>280</v>
      </c>
      <c r="H3178" s="4">
        <v>3198103</v>
      </c>
      <c r="I3178" s="3" t="s">
        <v>694</v>
      </c>
      <c r="J3178" s="3" t="s">
        <v>340</v>
      </c>
      <c r="K3178" s="4">
        <v>3201803</v>
      </c>
    </row>
    <row r="3179" spans="2:11" x14ac:dyDescent="0.3">
      <c r="B3179" s="44">
        <v>46053</v>
      </c>
      <c r="C3179" s="3" t="s">
        <v>416</v>
      </c>
      <c r="D3179" s="3" t="s">
        <v>493</v>
      </c>
      <c r="E3179" s="42"/>
      <c r="F3179" s="3" t="s">
        <v>663</v>
      </c>
      <c r="G3179" s="3" t="s">
        <v>173</v>
      </c>
      <c r="H3179" s="4">
        <v>3349308</v>
      </c>
      <c r="I3179" s="4" t="s">
        <v>657</v>
      </c>
      <c r="J3179" s="4" t="s">
        <v>167</v>
      </c>
      <c r="K3179" s="4">
        <v>3359804</v>
      </c>
    </row>
    <row r="3180" spans="2:11" x14ac:dyDescent="0.3">
      <c r="B3180" s="44">
        <v>46053</v>
      </c>
      <c r="C3180" s="3" t="s">
        <v>416</v>
      </c>
      <c r="D3180" s="3" t="s">
        <v>500</v>
      </c>
      <c r="E3180" s="42"/>
      <c r="F3180" s="3" t="s">
        <v>663</v>
      </c>
      <c r="G3180" s="3" t="s">
        <v>239</v>
      </c>
      <c r="H3180" s="4">
        <v>3348809</v>
      </c>
      <c r="I3180" s="4" t="s">
        <v>479</v>
      </c>
      <c r="J3180" s="4" t="s">
        <v>232</v>
      </c>
      <c r="K3180" s="4">
        <v>3360507</v>
      </c>
    </row>
    <row r="3181" spans="2:11" x14ac:dyDescent="0.3">
      <c r="B3181" s="44">
        <v>46053</v>
      </c>
      <c r="C3181" s="3" t="s">
        <v>416</v>
      </c>
      <c r="D3181" s="3" t="s">
        <v>69</v>
      </c>
      <c r="E3181" s="42"/>
      <c r="F3181" s="3" t="s">
        <v>663</v>
      </c>
      <c r="G3181" s="3" t="s">
        <v>362</v>
      </c>
      <c r="H3181" s="4">
        <v>3197406</v>
      </c>
      <c r="I3181" s="3" t="s">
        <v>656</v>
      </c>
      <c r="J3181" s="3" t="s">
        <v>361</v>
      </c>
      <c r="K3181" s="4">
        <v>3200002</v>
      </c>
    </row>
    <row r="3182" spans="2:11" x14ac:dyDescent="0.3">
      <c r="B3182" s="44">
        <v>46053</v>
      </c>
      <c r="C3182" s="3" t="s">
        <v>416</v>
      </c>
      <c r="D3182" s="3" t="s">
        <v>56</v>
      </c>
      <c r="E3182" s="42"/>
      <c r="F3182" s="4" t="s">
        <v>471</v>
      </c>
      <c r="G3182" s="4" t="s">
        <v>441</v>
      </c>
      <c r="H3182" s="4">
        <v>3023409</v>
      </c>
      <c r="I3182" s="3" t="s">
        <v>690</v>
      </c>
      <c r="J3182" s="3" t="s">
        <v>250</v>
      </c>
      <c r="K3182" s="4">
        <v>3070100</v>
      </c>
    </row>
    <row r="3183" spans="2:11" x14ac:dyDescent="0.3">
      <c r="B3183" s="44">
        <v>46053</v>
      </c>
      <c r="C3183" s="3" t="s">
        <v>416</v>
      </c>
      <c r="D3183" s="3" t="s">
        <v>56</v>
      </c>
      <c r="E3183" s="42"/>
      <c r="F3183" s="3" t="s">
        <v>471</v>
      </c>
      <c r="G3183" s="3" t="s">
        <v>254</v>
      </c>
      <c r="H3183" s="4">
        <v>3068908</v>
      </c>
      <c r="I3183" s="4" t="s">
        <v>688</v>
      </c>
      <c r="J3183" s="4" t="s">
        <v>264</v>
      </c>
      <c r="K3183" s="4">
        <v>3055603</v>
      </c>
    </row>
    <row r="3184" spans="2:11" x14ac:dyDescent="0.3">
      <c r="B3184" s="44">
        <v>46053</v>
      </c>
      <c r="C3184" s="3" t="s">
        <v>416</v>
      </c>
      <c r="D3184" s="3" t="s">
        <v>487</v>
      </c>
      <c r="E3184" s="4"/>
      <c r="F3184" s="4" t="s">
        <v>471</v>
      </c>
      <c r="G3184" s="4" t="s">
        <v>133</v>
      </c>
      <c r="H3184" s="4">
        <v>3348705</v>
      </c>
      <c r="I3184" s="3" t="s">
        <v>479</v>
      </c>
      <c r="J3184" s="3" t="s">
        <v>127</v>
      </c>
      <c r="K3184" s="4">
        <v>3360809</v>
      </c>
    </row>
    <row r="3185" spans="2:11" x14ac:dyDescent="0.3">
      <c r="B3185" s="44">
        <v>46053</v>
      </c>
      <c r="C3185" s="3" t="s">
        <v>416</v>
      </c>
      <c r="D3185" s="3" t="s">
        <v>590</v>
      </c>
      <c r="E3185" s="42"/>
      <c r="F3185" s="3" t="s">
        <v>471</v>
      </c>
      <c r="G3185" s="3" t="s">
        <v>291</v>
      </c>
      <c r="H3185" s="4">
        <v>3196709</v>
      </c>
      <c r="I3185" s="3" t="s">
        <v>650</v>
      </c>
      <c r="J3185" s="3" t="s">
        <v>277</v>
      </c>
      <c r="K3185" s="4">
        <v>3088400</v>
      </c>
    </row>
    <row r="3186" spans="2:11" x14ac:dyDescent="0.3">
      <c r="B3186" s="44">
        <v>46053</v>
      </c>
      <c r="C3186" s="3" t="s">
        <v>416</v>
      </c>
      <c r="D3186" s="3" t="s">
        <v>493</v>
      </c>
      <c r="E3186" s="42"/>
      <c r="F3186" s="3" t="s">
        <v>471</v>
      </c>
      <c r="G3186" s="3" t="s">
        <v>190</v>
      </c>
      <c r="H3186" s="4">
        <v>3348205</v>
      </c>
      <c r="I3186" s="4" t="s">
        <v>480</v>
      </c>
      <c r="J3186" s="4" t="s">
        <v>423</v>
      </c>
      <c r="K3186" s="4">
        <v>3360403</v>
      </c>
    </row>
    <row r="3187" spans="2:11" x14ac:dyDescent="0.3">
      <c r="B3187" s="44">
        <v>46053</v>
      </c>
      <c r="C3187" s="3" t="s">
        <v>416</v>
      </c>
      <c r="D3187" s="3" t="s">
        <v>69</v>
      </c>
      <c r="E3187" s="42"/>
      <c r="F3187" s="3" t="s">
        <v>471</v>
      </c>
      <c r="G3187" s="3" t="s">
        <v>364</v>
      </c>
      <c r="H3187" s="4">
        <v>3197000</v>
      </c>
      <c r="I3187" s="3" t="s">
        <v>655</v>
      </c>
      <c r="J3187" s="3" t="s">
        <v>394</v>
      </c>
      <c r="K3187" s="4">
        <v>3201105</v>
      </c>
    </row>
    <row r="3188" spans="2:11" x14ac:dyDescent="0.3">
      <c r="B3188" s="44">
        <v>46053</v>
      </c>
      <c r="C3188" s="3" t="s">
        <v>416</v>
      </c>
      <c r="D3188" s="3" t="s">
        <v>497</v>
      </c>
      <c r="E3188" s="42"/>
      <c r="F3188" s="15" t="s">
        <v>471</v>
      </c>
      <c r="G3188" s="15" t="s">
        <v>240</v>
      </c>
      <c r="H3188" s="74">
        <v>3348403</v>
      </c>
      <c r="I3188" s="17" t="s">
        <v>660</v>
      </c>
      <c r="J3188" s="17" t="s">
        <v>212</v>
      </c>
      <c r="K3188" s="74">
        <v>3360007</v>
      </c>
    </row>
    <row r="3189" spans="2:11" x14ac:dyDescent="0.3">
      <c r="B3189" s="44">
        <v>46053</v>
      </c>
      <c r="C3189" s="3" t="s">
        <v>416</v>
      </c>
      <c r="D3189" s="3" t="s">
        <v>487</v>
      </c>
      <c r="E3189" s="4"/>
      <c r="F3189" s="4" t="s">
        <v>692</v>
      </c>
      <c r="G3189" s="4" t="s">
        <v>115</v>
      </c>
      <c r="H3189" s="4">
        <v>3068106</v>
      </c>
      <c r="I3189" s="3" t="s">
        <v>647</v>
      </c>
      <c r="J3189" s="3" t="s">
        <v>116</v>
      </c>
      <c r="K3189" s="4">
        <v>3346009</v>
      </c>
    </row>
    <row r="3190" spans="2:11" x14ac:dyDescent="0.3">
      <c r="B3190" s="44">
        <v>46053</v>
      </c>
      <c r="C3190" s="3" t="s">
        <v>416</v>
      </c>
      <c r="D3190" s="3" t="s">
        <v>494</v>
      </c>
      <c r="E3190" s="42"/>
      <c r="F3190" s="3" t="s">
        <v>692</v>
      </c>
      <c r="G3190" s="3" t="s">
        <v>144</v>
      </c>
      <c r="H3190" s="4">
        <v>3347904</v>
      </c>
      <c r="I3190" s="3" t="s">
        <v>689</v>
      </c>
      <c r="J3190" s="3" t="s">
        <v>189</v>
      </c>
      <c r="K3190" s="4">
        <v>3350209</v>
      </c>
    </row>
    <row r="3191" spans="2:11" x14ac:dyDescent="0.3">
      <c r="B3191" s="44">
        <v>46053</v>
      </c>
      <c r="C3191" s="3" t="s">
        <v>416</v>
      </c>
      <c r="D3191" s="3" t="s">
        <v>70</v>
      </c>
      <c r="E3191" s="42"/>
      <c r="F3191" s="3" t="s">
        <v>692</v>
      </c>
      <c r="G3191" s="3" t="s">
        <v>378</v>
      </c>
      <c r="H3191" s="4">
        <v>3197802</v>
      </c>
      <c r="I3191" s="3" t="s">
        <v>688</v>
      </c>
      <c r="J3191" s="3" t="s">
        <v>460</v>
      </c>
      <c r="K3191" s="4">
        <v>3194503</v>
      </c>
    </row>
    <row r="3192" spans="2:11" x14ac:dyDescent="0.3">
      <c r="B3192" s="44">
        <v>46053</v>
      </c>
      <c r="C3192" s="3" t="s">
        <v>416</v>
      </c>
      <c r="D3192" s="3" t="s">
        <v>498</v>
      </c>
      <c r="E3192" s="42"/>
      <c r="F3192" s="3" t="s">
        <v>692</v>
      </c>
      <c r="G3192" s="3" t="s">
        <v>223</v>
      </c>
      <c r="H3192" s="4">
        <v>3348007</v>
      </c>
      <c r="I3192" s="3" t="s">
        <v>694</v>
      </c>
      <c r="J3192" s="3" t="s">
        <v>245</v>
      </c>
      <c r="K3192" s="4">
        <v>3352905</v>
      </c>
    </row>
    <row r="3193" spans="2:11" x14ac:dyDescent="0.3">
      <c r="B3193" s="44">
        <v>46053</v>
      </c>
      <c r="C3193" s="3" t="s">
        <v>416</v>
      </c>
      <c r="D3193" s="3" t="s">
        <v>488</v>
      </c>
      <c r="E3193" s="42"/>
      <c r="F3193" s="4" t="s">
        <v>698</v>
      </c>
      <c r="G3193" s="4" t="s">
        <v>561</v>
      </c>
      <c r="H3193" s="4" t="s">
        <v>563</v>
      </c>
      <c r="I3193" s="3" t="s">
        <v>645</v>
      </c>
      <c r="J3193" s="3" t="s">
        <v>123</v>
      </c>
      <c r="K3193" s="4">
        <v>3351104</v>
      </c>
    </row>
    <row r="3194" spans="2:11" x14ac:dyDescent="0.3">
      <c r="B3194" s="44">
        <v>46053</v>
      </c>
      <c r="C3194" s="3" t="s">
        <v>416</v>
      </c>
      <c r="D3194" s="3" t="s">
        <v>58</v>
      </c>
      <c r="E3194" s="42"/>
      <c r="F3194" s="3" t="s">
        <v>698</v>
      </c>
      <c r="G3194" s="3" t="s">
        <v>587</v>
      </c>
      <c r="H3194" s="4" t="s">
        <v>563</v>
      </c>
      <c r="I3194" s="3" t="s">
        <v>702</v>
      </c>
      <c r="J3194" s="3" t="s">
        <v>447</v>
      </c>
      <c r="K3194" s="32">
        <v>3055207</v>
      </c>
    </row>
    <row r="3195" spans="2:11" x14ac:dyDescent="0.3">
      <c r="B3195" s="44">
        <v>46053</v>
      </c>
      <c r="C3195" s="3" t="s">
        <v>416</v>
      </c>
      <c r="D3195" s="3" t="s">
        <v>59</v>
      </c>
      <c r="E3195" s="42"/>
      <c r="F3195" s="4" t="s">
        <v>681</v>
      </c>
      <c r="G3195" s="4" t="s">
        <v>281</v>
      </c>
      <c r="H3195" s="4">
        <v>3195700</v>
      </c>
      <c r="I3195" s="3" t="s">
        <v>661</v>
      </c>
      <c r="J3195" s="3" t="s">
        <v>641</v>
      </c>
      <c r="K3195" s="4">
        <v>3055707</v>
      </c>
    </row>
    <row r="3196" spans="2:11" x14ac:dyDescent="0.3">
      <c r="B3196" s="44">
        <v>46053</v>
      </c>
      <c r="C3196" s="3" t="s">
        <v>416</v>
      </c>
      <c r="D3196" s="3" t="s">
        <v>492</v>
      </c>
      <c r="E3196" s="42"/>
      <c r="F3196" s="4" t="s">
        <v>670</v>
      </c>
      <c r="G3196" s="4" t="s">
        <v>145</v>
      </c>
      <c r="H3196" s="4">
        <v>3347404</v>
      </c>
      <c r="I3196" s="3" t="s">
        <v>649</v>
      </c>
      <c r="J3196" s="3" t="s">
        <v>154</v>
      </c>
      <c r="K3196" s="4">
        <v>3362109</v>
      </c>
    </row>
    <row r="3197" spans="2:11" x14ac:dyDescent="0.3">
      <c r="B3197" s="44">
        <v>46053</v>
      </c>
      <c r="C3197" s="3" t="s">
        <v>416</v>
      </c>
      <c r="D3197" s="3" t="s">
        <v>592</v>
      </c>
      <c r="E3197" s="42"/>
      <c r="F3197" s="3" t="s">
        <v>670</v>
      </c>
      <c r="G3197" s="3" t="s">
        <v>636</v>
      </c>
      <c r="H3197" s="74">
        <v>3195502</v>
      </c>
      <c r="I3197" s="3" t="s">
        <v>475</v>
      </c>
      <c r="J3197" s="3" t="s">
        <v>398</v>
      </c>
      <c r="K3197" s="74">
        <v>3211601</v>
      </c>
    </row>
    <row r="3198" spans="2:11" x14ac:dyDescent="0.3">
      <c r="B3198" s="44">
        <v>46053</v>
      </c>
      <c r="C3198" s="3" t="s">
        <v>416</v>
      </c>
      <c r="D3198" s="3" t="s">
        <v>486</v>
      </c>
      <c r="E3198" s="42"/>
      <c r="F3198" s="3" t="s">
        <v>673</v>
      </c>
      <c r="G3198" s="3" t="s">
        <v>106</v>
      </c>
      <c r="H3198" s="4">
        <v>3067607</v>
      </c>
      <c r="I3198" s="3" t="s">
        <v>671</v>
      </c>
      <c r="J3198" s="3" t="s">
        <v>108</v>
      </c>
      <c r="K3198" s="4">
        <v>3359700</v>
      </c>
    </row>
    <row r="3199" spans="2:11" x14ac:dyDescent="0.3">
      <c r="B3199" s="44">
        <v>46053</v>
      </c>
      <c r="C3199" s="3" t="s">
        <v>416</v>
      </c>
      <c r="D3199" s="3" t="s">
        <v>492</v>
      </c>
      <c r="E3199" s="42"/>
      <c r="F3199" s="4" t="s">
        <v>673</v>
      </c>
      <c r="G3199" s="4" t="s">
        <v>134</v>
      </c>
      <c r="H3199" s="4">
        <v>3347102</v>
      </c>
      <c r="I3199" s="3" t="s">
        <v>646</v>
      </c>
      <c r="J3199" s="3" t="s">
        <v>159</v>
      </c>
      <c r="K3199" s="4">
        <v>3354403</v>
      </c>
    </row>
    <row r="3200" spans="2:11" x14ac:dyDescent="0.3">
      <c r="B3200" s="44">
        <v>46053</v>
      </c>
      <c r="C3200" s="3" t="s">
        <v>416</v>
      </c>
      <c r="D3200" s="3" t="s">
        <v>495</v>
      </c>
      <c r="E3200" s="42"/>
      <c r="F3200" s="3" t="s">
        <v>673</v>
      </c>
      <c r="G3200" s="3" t="s">
        <v>200</v>
      </c>
      <c r="H3200" s="53">
        <v>3901004</v>
      </c>
      <c r="I3200" s="3" t="s">
        <v>699</v>
      </c>
      <c r="J3200" s="3" t="s">
        <v>569</v>
      </c>
      <c r="K3200" s="4">
        <v>3125708</v>
      </c>
    </row>
    <row r="3201" spans="2:13" x14ac:dyDescent="0.3">
      <c r="B3201" s="44">
        <v>46053</v>
      </c>
      <c r="C3201" s="3" t="s">
        <v>416</v>
      </c>
      <c r="D3201" s="3" t="s">
        <v>490</v>
      </c>
      <c r="E3201" s="4"/>
      <c r="F3201" s="3" t="s">
        <v>717</v>
      </c>
      <c r="G3201" s="3" t="s">
        <v>425</v>
      </c>
      <c r="H3201" s="4">
        <v>3347206</v>
      </c>
      <c r="I3201" s="4" t="s">
        <v>476</v>
      </c>
      <c r="J3201" s="4" t="s">
        <v>168</v>
      </c>
      <c r="K3201" s="4">
        <v>3356505</v>
      </c>
    </row>
    <row r="3202" spans="2:13" x14ac:dyDescent="0.3">
      <c r="B3202" s="44">
        <v>46053</v>
      </c>
      <c r="C3202" s="3" t="s">
        <v>416</v>
      </c>
      <c r="D3202" s="3" t="s">
        <v>64</v>
      </c>
      <c r="E3202" s="42">
        <v>4370907</v>
      </c>
      <c r="F3202" s="3" t="s">
        <v>717</v>
      </c>
      <c r="G3202" s="3" t="s">
        <v>432</v>
      </c>
      <c r="H3202" s="4">
        <v>3195106</v>
      </c>
      <c r="I3202" s="4" t="s">
        <v>670</v>
      </c>
      <c r="J3202" s="4" t="s">
        <v>343</v>
      </c>
      <c r="K3202" s="4">
        <v>3195606</v>
      </c>
    </row>
    <row r="3203" spans="2:13" x14ac:dyDescent="0.3">
      <c r="B3203" s="44">
        <v>46053</v>
      </c>
      <c r="C3203" s="3" t="s">
        <v>416</v>
      </c>
      <c r="D3203" s="3" t="s">
        <v>498</v>
      </c>
      <c r="E3203" s="42"/>
      <c r="F3203" s="3" t="s">
        <v>717</v>
      </c>
      <c r="G3203" s="3" t="s">
        <v>429</v>
      </c>
      <c r="H3203" s="4">
        <v>3346905</v>
      </c>
      <c r="I3203" s="3" t="s">
        <v>472</v>
      </c>
      <c r="J3203" s="3" t="s">
        <v>244</v>
      </c>
      <c r="K3203" s="4">
        <v>3357504</v>
      </c>
    </row>
    <row r="3204" spans="2:13" x14ac:dyDescent="0.3">
      <c r="B3204" s="44">
        <v>46053</v>
      </c>
      <c r="C3204" s="3" t="s">
        <v>416</v>
      </c>
      <c r="D3204" s="3" t="s">
        <v>501</v>
      </c>
      <c r="E3204" s="42"/>
      <c r="F3204" s="3" t="s">
        <v>717</v>
      </c>
      <c r="G3204" s="3" t="s">
        <v>583</v>
      </c>
      <c r="H3204" s="4">
        <v>4022908</v>
      </c>
      <c r="I3204" s="3" t="s">
        <v>472</v>
      </c>
      <c r="J3204" s="3" t="s">
        <v>578</v>
      </c>
      <c r="K3204" s="4">
        <v>4022700</v>
      </c>
      <c r="M3204" s="51"/>
    </row>
    <row r="3205" spans="2:13" x14ac:dyDescent="0.3">
      <c r="B3205" s="44">
        <v>46053</v>
      </c>
      <c r="C3205" s="3" t="s">
        <v>416</v>
      </c>
      <c r="D3205" s="3" t="s">
        <v>62</v>
      </c>
      <c r="E3205" s="42"/>
      <c r="F3205" s="4" t="s">
        <v>679</v>
      </c>
      <c r="G3205" s="4" t="s">
        <v>292</v>
      </c>
      <c r="H3205" s="4">
        <v>3195304</v>
      </c>
      <c r="I3205" s="3" t="s">
        <v>660</v>
      </c>
      <c r="J3205" s="3" t="s">
        <v>443</v>
      </c>
      <c r="K3205" s="4">
        <v>3210008</v>
      </c>
    </row>
    <row r="3206" spans="2:13" x14ac:dyDescent="0.3">
      <c r="B3206" s="44">
        <v>46053</v>
      </c>
      <c r="C3206" s="3" t="s">
        <v>416</v>
      </c>
      <c r="D3206" s="3" t="s">
        <v>500</v>
      </c>
      <c r="E3206" s="42"/>
      <c r="F3206" s="3" t="s">
        <v>679</v>
      </c>
      <c r="G3206" s="3" t="s">
        <v>466</v>
      </c>
      <c r="H3206" s="4">
        <v>3346707</v>
      </c>
      <c r="I3206" s="4" t="s">
        <v>657</v>
      </c>
      <c r="J3206" s="4" t="s">
        <v>574</v>
      </c>
      <c r="K3206" s="4">
        <v>3359606</v>
      </c>
    </row>
    <row r="3207" spans="2:13" x14ac:dyDescent="0.3">
      <c r="B3207" s="44">
        <v>46053</v>
      </c>
      <c r="C3207" s="3" t="s">
        <v>416</v>
      </c>
      <c r="D3207" s="3" t="s">
        <v>487</v>
      </c>
      <c r="E3207" s="4"/>
      <c r="F3207" s="4" t="s">
        <v>721</v>
      </c>
      <c r="G3207" s="4" t="s">
        <v>124</v>
      </c>
      <c r="H3207" s="4">
        <v>3267501</v>
      </c>
      <c r="I3207" s="4" t="s">
        <v>645</v>
      </c>
      <c r="J3207" s="4" t="s">
        <v>114</v>
      </c>
      <c r="K3207" s="4">
        <v>3351000</v>
      </c>
    </row>
    <row r="3208" spans="2:13" x14ac:dyDescent="0.3">
      <c r="B3208" s="44">
        <v>46053</v>
      </c>
      <c r="C3208" s="3" t="s">
        <v>416</v>
      </c>
      <c r="D3208" s="3" t="s">
        <v>489</v>
      </c>
      <c r="E3208" s="4"/>
      <c r="F3208" s="3" t="s">
        <v>688</v>
      </c>
      <c r="G3208" s="3" t="s">
        <v>10</v>
      </c>
      <c r="H3208" s="4">
        <v>3036204</v>
      </c>
      <c r="I3208" s="3" t="s">
        <v>672</v>
      </c>
      <c r="J3208" s="3" t="s">
        <v>129</v>
      </c>
      <c r="K3208" s="4">
        <v>3067503</v>
      </c>
    </row>
    <row r="3209" spans="2:13" x14ac:dyDescent="0.3">
      <c r="B3209" s="44">
        <v>46053</v>
      </c>
      <c r="C3209" s="3" t="s">
        <v>416</v>
      </c>
      <c r="D3209" s="3" t="s">
        <v>64</v>
      </c>
      <c r="E3209" s="42">
        <v>4370907</v>
      </c>
      <c r="F3209" s="3" t="s">
        <v>688</v>
      </c>
      <c r="G3209" s="3" t="s">
        <v>318</v>
      </c>
      <c r="H3209" s="4">
        <v>3037401</v>
      </c>
      <c r="I3209" s="4" t="s">
        <v>669</v>
      </c>
      <c r="J3209" s="4" t="s">
        <v>337</v>
      </c>
      <c r="K3209" s="4">
        <v>3209305</v>
      </c>
    </row>
    <row r="3210" spans="2:13" x14ac:dyDescent="0.3">
      <c r="B3210" s="44">
        <v>46053</v>
      </c>
      <c r="C3210" s="3" t="s">
        <v>416</v>
      </c>
      <c r="D3210" s="3" t="s">
        <v>70</v>
      </c>
      <c r="E3210" s="42"/>
      <c r="F3210" s="3" t="s">
        <v>688</v>
      </c>
      <c r="G3210" s="3" t="s">
        <v>379</v>
      </c>
      <c r="H3210" s="4">
        <v>3194409</v>
      </c>
      <c r="I3210" s="3" t="s">
        <v>475</v>
      </c>
      <c r="J3210" s="3" t="s">
        <v>370</v>
      </c>
      <c r="K3210" s="4">
        <v>3211903</v>
      </c>
    </row>
    <row r="3211" spans="2:13" x14ac:dyDescent="0.3">
      <c r="B3211" s="44">
        <v>46053</v>
      </c>
      <c r="C3211" s="3" t="s">
        <v>416</v>
      </c>
      <c r="D3211" s="3" t="s">
        <v>504</v>
      </c>
      <c r="E3211" s="42"/>
      <c r="F3211" s="4" t="s">
        <v>720</v>
      </c>
      <c r="G3211" s="4" t="s">
        <v>13</v>
      </c>
      <c r="H3211" s="4">
        <v>3125906</v>
      </c>
      <c r="I3211" s="3" t="s">
        <v>645</v>
      </c>
      <c r="J3211" s="3" t="s">
        <v>37</v>
      </c>
      <c r="K3211" s="4">
        <v>3029903</v>
      </c>
    </row>
    <row r="3212" spans="2:13" x14ac:dyDescent="0.3">
      <c r="B3212" s="44">
        <v>46053</v>
      </c>
      <c r="C3212" s="3" t="s">
        <v>416</v>
      </c>
      <c r="D3212" s="3" t="s">
        <v>61</v>
      </c>
      <c r="E3212" s="42"/>
      <c r="F3212" s="4" t="s">
        <v>720</v>
      </c>
      <c r="G3212" s="4" t="s">
        <v>335</v>
      </c>
      <c r="H3212" s="4">
        <v>3194201</v>
      </c>
      <c r="I3212" s="106" t="s">
        <v>659</v>
      </c>
      <c r="J3212" s="106" t="s">
        <v>367</v>
      </c>
      <c r="K3212" s="106">
        <v>3208806</v>
      </c>
    </row>
    <row r="3213" spans="2:13" x14ac:dyDescent="0.3">
      <c r="B3213" s="44">
        <v>46053</v>
      </c>
      <c r="C3213" s="3" t="s">
        <v>416</v>
      </c>
      <c r="D3213" s="3" t="s">
        <v>488</v>
      </c>
      <c r="E3213" s="42"/>
      <c r="F3213" s="3" t="s">
        <v>720</v>
      </c>
      <c r="G3213" s="3" t="s">
        <v>153</v>
      </c>
      <c r="H3213" s="4">
        <v>3033405</v>
      </c>
      <c r="I3213" s="4" t="s">
        <v>684</v>
      </c>
      <c r="J3213" s="4" t="s">
        <v>121</v>
      </c>
      <c r="K3213" s="4">
        <v>3354309</v>
      </c>
    </row>
    <row r="3214" spans="2:13" x14ac:dyDescent="0.3">
      <c r="B3214" s="44">
        <v>46053</v>
      </c>
      <c r="C3214" s="3" t="s">
        <v>416</v>
      </c>
      <c r="D3214" s="3" t="s">
        <v>57</v>
      </c>
      <c r="E3214" s="42"/>
      <c r="F3214" s="4" t="s">
        <v>647</v>
      </c>
      <c r="G3214" s="4" t="s">
        <v>282</v>
      </c>
      <c r="H3214" s="4">
        <v>3193900</v>
      </c>
      <c r="I3214" s="3" t="s">
        <v>667</v>
      </c>
      <c r="J3214" s="3" t="s">
        <v>257</v>
      </c>
      <c r="K3214" s="4">
        <v>3209805</v>
      </c>
    </row>
    <row r="3215" spans="2:13" x14ac:dyDescent="0.3">
      <c r="B3215" s="44">
        <v>46053</v>
      </c>
      <c r="C3215" s="3" t="s">
        <v>416</v>
      </c>
      <c r="D3215" s="3" t="s">
        <v>494</v>
      </c>
      <c r="E3215" s="42"/>
      <c r="F3215" s="4" t="s">
        <v>647</v>
      </c>
      <c r="G3215" s="4" t="s">
        <v>191</v>
      </c>
      <c r="H3215" s="4">
        <v>3345708</v>
      </c>
      <c r="I3215" s="3" t="s">
        <v>662</v>
      </c>
      <c r="J3215" s="3" t="s">
        <v>218</v>
      </c>
      <c r="K3215" s="4">
        <v>3358201</v>
      </c>
    </row>
    <row r="3216" spans="2:13" x14ac:dyDescent="0.3">
      <c r="B3216" s="44">
        <v>46053</v>
      </c>
      <c r="C3216" s="3" t="s">
        <v>416</v>
      </c>
      <c r="D3216" s="3" t="s">
        <v>498</v>
      </c>
      <c r="E3216" s="42"/>
      <c r="F3216" s="3" t="s">
        <v>647</v>
      </c>
      <c r="G3216" s="3" t="s">
        <v>225</v>
      </c>
      <c r="H3216" s="4">
        <v>3345802</v>
      </c>
      <c r="I3216" s="3" t="s">
        <v>472</v>
      </c>
      <c r="J3216" s="3" t="s">
        <v>219</v>
      </c>
      <c r="K3216" s="4">
        <v>3357608</v>
      </c>
    </row>
    <row r="3217" spans="1:43" x14ac:dyDescent="0.3">
      <c r="B3217" s="44">
        <v>46053</v>
      </c>
      <c r="C3217" s="3" t="s">
        <v>416</v>
      </c>
      <c r="D3217" s="3" t="s">
        <v>496</v>
      </c>
      <c r="E3217" s="42"/>
      <c r="F3217" s="4" t="s">
        <v>687</v>
      </c>
      <c r="G3217" s="4" t="s">
        <v>207</v>
      </c>
      <c r="H3217" s="4">
        <v>3346801</v>
      </c>
      <c r="I3217" s="3" t="s">
        <v>651</v>
      </c>
      <c r="J3217" s="3" t="s">
        <v>202</v>
      </c>
      <c r="K3217" s="74">
        <v>3361808</v>
      </c>
    </row>
    <row r="3218" spans="1:43" x14ac:dyDescent="0.3">
      <c r="B3218" s="44">
        <v>46053</v>
      </c>
      <c r="C3218" s="3" t="s">
        <v>416</v>
      </c>
      <c r="D3218" s="3" t="s">
        <v>59</v>
      </c>
      <c r="E3218" s="42"/>
      <c r="F3218" s="4" t="s">
        <v>687</v>
      </c>
      <c r="G3218" s="4" t="s">
        <v>283</v>
      </c>
      <c r="H3218" s="4">
        <v>3194107</v>
      </c>
      <c r="I3218" s="3" t="s">
        <v>655</v>
      </c>
      <c r="J3218" s="3" t="s">
        <v>288</v>
      </c>
      <c r="K3218" s="4">
        <v>3200908</v>
      </c>
    </row>
    <row r="3219" spans="1:43" x14ac:dyDescent="0.3">
      <c r="B3219" s="44">
        <v>46060</v>
      </c>
      <c r="C3219" s="3" t="s">
        <v>416</v>
      </c>
      <c r="D3219" s="3" t="s">
        <v>504</v>
      </c>
      <c r="E3219" s="42"/>
      <c r="F3219" s="3" t="s">
        <v>475</v>
      </c>
      <c r="G3219" s="3" t="s">
        <v>15</v>
      </c>
      <c r="H3219" s="4">
        <v>3029601</v>
      </c>
      <c r="I3219" s="4" t="s">
        <v>694</v>
      </c>
      <c r="J3219" s="4" t="s">
        <v>112</v>
      </c>
      <c r="K3219" s="4">
        <v>3353602</v>
      </c>
    </row>
    <row r="3220" spans="1:43" x14ac:dyDescent="0.3">
      <c r="B3220" s="44">
        <v>46060</v>
      </c>
      <c r="C3220" s="3" t="s">
        <v>416</v>
      </c>
      <c r="D3220" s="3" t="s">
        <v>487</v>
      </c>
      <c r="E3220" s="4"/>
      <c r="F3220" s="3" t="s">
        <v>475</v>
      </c>
      <c r="G3220" s="3" t="s">
        <v>96</v>
      </c>
      <c r="H3220" s="4">
        <v>3067107</v>
      </c>
      <c r="I3220" s="4" t="s">
        <v>721</v>
      </c>
      <c r="J3220" s="4" t="s">
        <v>124</v>
      </c>
      <c r="K3220" s="4">
        <v>3267501</v>
      </c>
    </row>
    <row r="3221" spans="1:43" x14ac:dyDescent="0.3">
      <c r="B3221" s="44">
        <v>46060</v>
      </c>
      <c r="C3221" s="3" t="s">
        <v>416</v>
      </c>
      <c r="D3221" s="3" t="s">
        <v>56</v>
      </c>
      <c r="E3221" s="42"/>
      <c r="F3221" s="3" t="s">
        <v>475</v>
      </c>
      <c r="G3221" s="3" t="s">
        <v>256</v>
      </c>
      <c r="H3221" s="4">
        <v>3068700</v>
      </c>
      <c r="I3221" s="4" t="s">
        <v>661</v>
      </c>
      <c r="J3221" s="4" t="s">
        <v>439</v>
      </c>
      <c r="K3221" s="4">
        <v>3023701</v>
      </c>
    </row>
    <row r="3222" spans="1:43" x14ac:dyDescent="0.3">
      <c r="B3222" s="44">
        <v>46060</v>
      </c>
      <c r="C3222" s="3" t="s">
        <v>416</v>
      </c>
      <c r="D3222" s="3" t="s">
        <v>67</v>
      </c>
      <c r="E3222" s="42"/>
      <c r="F3222" s="4" t="s">
        <v>475</v>
      </c>
      <c r="G3222" s="4" t="s">
        <v>336</v>
      </c>
      <c r="H3222" s="4">
        <v>3211809</v>
      </c>
      <c r="I3222" s="4" t="s">
        <v>570</v>
      </c>
      <c r="J3222" s="4" t="s">
        <v>570</v>
      </c>
      <c r="K3222" s="4" t="s">
        <v>556</v>
      </c>
    </row>
    <row r="3223" spans="1:43" x14ac:dyDescent="0.3">
      <c r="B3223" s="44">
        <v>46060</v>
      </c>
      <c r="C3223" s="3" t="s">
        <v>416</v>
      </c>
      <c r="D3223" s="3" t="s">
        <v>70</v>
      </c>
      <c r="E3223" s="42"/>
      <c r="F3223" s="3" t="s">
        <v>475</v>
      </c>
      <c r="G3223" s="3" t="s">
        <v>370</v>
      </c>
      <c r="H3223" s="4">
        <v>3211903</v>
      </c>
      <c r="I3223" s="3" t="s">
        <v>689</v>
      </c>
      <c r="J3223" s="3" t="s">
        <v>404</v>
      </c>
      <c r="K3223" s="53">
        <v>3196605</v>
      </c>
    </row>
    <row r="3224" spans="1:43" x14ac:dyDescent="0.3">
      <c r="B3224" s="44">
        <v>46060</v>
      </c>
      <c r="C3224" s="3" t="s">
        <v>416</v>
      </c>
      <c r="D3224" s="3" t="s">
        <v>501</v>
      </c>
      <c r="E3224" s="42"/>
      <c r="F3224" s="3" t="s">
        <v>475</v>
      </c>
      <c r="G3224" s="3" t="s">
        <v>241</v>
      </c>
      <c r="H3224" s="4">
        <v>3362401</v>
      </c>
      <c r="I3224" s="3" t="s">
        <v>662</v>
      </c>
      <c r="J3224" s="3" t="s">
        <v>243</v>
      </c>
      <c r="K3224" s="4">
        <v>3899907</v>
      </c>
      <c r="M3224" s="51"/>
    </row>
    <row r="3225" spans="1:43" x14ac:dyDescent="0.3">
      <c r="B3225" s="44">
        <v>46060</v>
      </c>
      <c r="C3225" s="3" t="s">
        <v>416</v>
      </c>
      <c r="D3225" s="3" t="s">
        <v>592</v>
      </c>
      <c r="E3225" s="42"/>
      <c r="F3225" s="3" t="s">
        <v>475</v>
      </c>
      <c r="G3225" s="3" t="s">
        <v>398</v>
      </c>
      <c r="H3225" s="74">
        <v>3211601</v>
      </c>
      <c r="I3225" s="3" t="s">
        <v>647</v>
      </c>
      <c r="J3225" s="3" t="s">
        <v>405</v>
      </c>
      <c r="K3225" s="74">
        <v>3901108</v>
      </c>
    </row>
    <row r="3226" spans="1:43" x14ac:dyDescent="0.3">
      <c r="B3226" s="44">
        <v>46060</v>
      </c>
      <c r="C3226" s="3" t="s">
        <v>416</v>
      </c>
      <c r="D3226" s="3" t="s">
        <v>60</v>
      </c>
      <c r="E3226" s="42"/>
      <c r="F3226" s="32" t="s">
        <v>705</v>
      </c>
      <c r="G3226" s="32" t="s">
        <v>293</v>
      </c>
      <c r="H3226" s="15">
        <v>3211705</v>
      </c>
      <c r="I3226" s="3" t="s">
        <v>668</v>
      </c>
      <c r="J3226" s="3" t="s">
        <v>431</v>
      </c>
      <c r="K3226" s="4">
        <v>3900703</v>
      </c>
    </row>
    <row r="3227" spans="1:43" x14ac:dyDescent="0.3">
      <c r="B3227" s="44">
        <v>46060</v>
      </c>
      <c r="C3227" s="3" t="s">
        <v>416</v>
      </c>
      <c r="D3227" s="3" t="s">
        <v>492</v>
      </c>
      <c r="E3227" s="42"/>
      <c r="F3227" s="4" t="s">
        <v>648</v>
      </c>
      <c r="G3227" s="4" t="s">
        <v>201</v>
      </c>
      <c r="H3227" s="4">
        <v>3362203</v>
      </c>
      <c r="I3227" s="4" t="s">
        <v>646</v>
      </c>
      <c r="J3227" s="4" t="s">
        <v>194</v>
      </c>
      <c r="K3227" s="4">
        <v>3354205</v>
      </c>
    </row>
    <row r="3228" spans="1:43" x14ac:dyDescent="0.3">
      <c r="B3228" s="44">
        <v>46060</v>
      </c>
      <c r="C3228" s="3" t="s">
        <v>416</v>
      </c>
      <c r="D3228" s="3" t="s">
        <v>492</v>
      </c>
      <c r="E3228" s="42"/>
      <c r="F3228" s="3" t="s">
        <v>649</v>
      </c>
      <c r="G3228" s="3" t="s">
        <v>154</v>
      </c>
      <c r="H3228" s="4">
        <v>3362109</v>
      </c>
      <c r="I3228" s="4" t="s">
        <v>673</v>
      </c>
      <c r="J3228" s="4" t="s">
        <v>134</v>
      </c>
      <c r="K3228" s="4">
        <v>3347102</v>
      </c>
    </row>
    <row r="3229" spans="1:43" x14ac:dyDescent="0.3">
      <c r="B3229" s="44">
        <v>46060</v>
      </c>
      <c r="C3229" s="3" t="s">
        <v>416</v>
      </c>
      <c r="D3229" s="3" t="s">
        <v>496</v>
      </c>
      <c r="E3229" s="42"/>
      <c r="F3229" s="3" t="s">
        <v>651</v>
      </c>
      <c r="G3229" s="3" t="s">
        <v>202</v>
      </c>
      <c r="H3229" s="74">
        <v>3361808</v>
      </c>
      <c r="I3229" s="3" t="s">
        <v>650</v>
      </c>
      <c r="J3229" s="3" t="s">
        <v>205</v>
      </c>
      <c r="K3229" s="74">
        <v>3351906</v>
      </c>
    </row>
    <row r="3230" spans="1:43" x14ac:dyDescent="0.3">
      <c r="A3230" s="4"/>
      <c r="B3230" s="100">
        <v>46060</v>
      </c>
      <c r="C3230" s="98" t="s">
        <v>553</v>
      </c>
      <c r="D3230" s="4" t="s">
        <v>512</v>
      </c>
      <c r="E3230" s="4"/>
      <c r="F3230" s="73" t="s">
        <v>533</v>
      </c>
      <c r="G3230" s="73" t="s">
        <v>533</v>
      </c>
      <c r="H3230" s="73"/>
      <c r="I3230" s="73" t="s">
        <v>477</v>
      </c>
      <c r="J3230" s="73" t="s">
        <v>477</v>
      </c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</row>
    <row r="3231" spans="1:43" x14ac:dyDescent="0.3">
      <c r="B3231" s="44">
        <v>46060</v>
      </c>
      <c r="C3231" s="3" t="s">
        <v>416</v>
      </c>
      <c r="D3231" s="3" t="s">
        <v>492</v>
      </c>
      <c r="E3231" s="42"/>
      <c r="F3231" s="3" t="s">
        <v>719</v>
      </c>
      <c r="G3231" s="3" t="s">
        <v>155</v>
      </c>
      <c r="H3231" s="4">
        <v>3361600</v>
      </c>
      <c r="I3231" s="3" t="s">
        <v>474</v>
      </c>
      <c r="J3231" s="3" t="s">
        <v>161</v>
      </c>
      <c r="K3231" s="4">
        <v>3352509</v>
      </c>
    </row>
    <row r="3232" spans="1:43" x14ac:dyDescent="0.3">
      <c r="B3232" s="44">
        <v>46060</v>
      </c>
      <c r="C3232" s="3" t="s">
        <v>416</v>
      </c>
      <c r="D3232" s="3" t="s">
        <v>490</v>
      </c>
      <c r="E3232" s="4"/>
      <c r="F3232" s="3" t="s">
        <v>653</v>
      </c>
      <c r="G3232" s="3" t="s">
        <v>126</v>
      </c>
      <c r="H3232" s="4">
        <v>3361402</v>
      </c>
      <c r="I3232" s="4" t="s">
        <v>479</v>
      </c>
      <c r="J3232" s="4" t="s">
        <v>136</v>
      </c>
      <c r="K3232" s="4">
        <v>3360903</v>
      </c>
    </row>
    <row r="3233" spans="2:11" x14ac:dyDescent="0.3">
      <c r="B3233" s="44">
        <v>46060</v>
      </c>
      <c r="C3233" s="3" t="s">
        <v>416</v>
      </c>
      <c r="D3233" s="3" t="s">
        <v>65</v>
      </c>
      <c r="E3233" s="42"/>
      <c r="F3233" s="3" t="s">
        <v>653</v>
      </c>
      <c r="G3233" s="3" t="s">
        <v>451</v>
      </c>
      <c r="H3233" s="4">
        <v>3211309</v>
      </c>
      <c r="I3233" s="4" t="s">
        <v>693</v>
      </c>
      <c r="J3233" s="4" t="s">
        <v>357</v>
      </c>
      <c r="K3233" s="4">
        <v>3206704</v>
      </c>
    </row>
    <row r="3234" spans="2:11" x14ac:dyDescent="0.3">
      <c r="B3234" s="44">
        <v>46060</v>
      </c>
      <c r="C3234" s="3" t="s">
        <v>416</v>
      </c>
      <c r="D3234" s="3" t="s">
        <v>497</v>
      </c>
      <c r="E3234" s="42"/>
      <c r="F3234" s="17" t="s">
        <v>653</v>
      </c>
      <c r="G3234" s="17" t="s">
        <v>209</v>
      </c>
      <c r="H3234" s="74">
        <v>3360705</v>
      </c>
      <c r="I3234" s="17" t="s">
        <v>657</v>
      </c>
      <c r="J3234" s="17" t="s">
        <v>213</v>
      </c>
      <c r="K3234" s="74">
        <v>3359502</v>
      </c>
    </row>
    <row r="3235" spans="2:11" x14ac:dyDescent="0.3">
      <c r="B3235" s="44">
        <v>46060</v>
      </c>
      <c r="C3235" s="3" t="s">
        <v>416</v>
      </c>
      <c r="D3235" s="3" t="s">
        <v>487</v>
      </c>
      <c r="E3235" s="4"/>
      <c r="F3235" s="3" t="s">
        <v>479</v>
      </c>
      <c r="G3235" s="3" t="s">
        <v>127</v>
      </c>
      <c r="H3235" s="4">
        <v>3360809</v>
      </c>
      <c r="I3235" s="4" t="s">
        <v>692</v>
      </c>
      <c r="J3235" s="4" t="s">
        <v>115</v>
      </c>
      <c r="K3235" s="4">
        <v>3068106</v>
      </c>
    </row>
    <row r="3236" spans="2:11" x14ac:dyDescent="0.3">
      <c r="B3236" s="44">
        <v>46060</v>
      </c>
      <c r="C3236" s="3" t="s">
        <v>416</v>
      </c>
      <c r="D3236" s="3" t="s">
        <v>59</v>
      </c>
      <c r="E3236" s="42"/>
      <c r="F3236" s="4" t="s">
        <v>479</v>
      </c>
      <c r="G3236" s="4" t="s">
        <v>273</v>
      </c>
      <c r="H3236" s="4">
        <v>3211007</v>
      </c>
      <c r="I3236" s="4" t="s">
        <v>687</v>
      </c>
      <c r="J3236" s="4" t="s">
        <v>283</v>
      </c>
      <c r="K3236" s="4">
        <v>3194107</v>
      </c>
    </row>
    <row r="3237" spans="2:11" x14ac:dyDescent="0.3">
      <c r="B3237" s="44">
        <v>46060</v>
      </c>
      <c r="C3237" s="3" t="s">
        <v>416</v>
      </c>
      <c r="D3237" s="3" t="s">
        <v>493</v>
      </c>
      <c r="E3237" s="42"/>
      <c r="F3237" s="3" t="s">
        <v>479</v>
      </c>
      <c r="G3237" s="3" t="s">
        <v>211</v>
      </c>
      <c r="H3237" s="4">
        <v>3361204</v>
      </c>
      <c r="I3237" s="4" t="s">
        <v>479</v>
      </c>
      <c r="J3237" s="4" t="s">
        <v>210</v>
      </c>
      <c r="K3237" s="4">
        <v>3361100</v>
      </c>
    </row>
    <row r="3238" spans="2:11" x14ac:dyDescent="0.3">
      <c r="B3238" s="44">
        <v>46060</v>
      </c>
      <c r="C3238" s="3" t="s">
        <v>416</v>
      </c>
      <c r="D3238" s="3" t="s">
        <v>500</v>
      </c>
      <c r="E3238" s="42"/>
      <c r="F3238" s="3" t="s">
        <v>479</v>
      </c>
      <c r="G3238" s="3" t="s">
        <v>232</v>
      </c>
      <c r="H3238" s="4">
        <v>3360507</v>
      </c>
      <c r="I3238" s="4" t="s">
        <v>679</v>
      </c>
      <c r="J3238" s="4" t="s">
        <v>466</v>
      </c>
      <c r="K3238" s="4">
        <v>3346707</v>
      </c>
    </row>
    <row r="3239" spans="2:11" x14ac:dyDescent="0.3">
      <c r="B3239" s="44">
        <v>46060</v>
      </c>
      <c r="C3239" s="3" t="s">
        <v>416</v>
      </c>
      <c r="D3239" s="3" t="s">
        <v>500</v>
      </c>
      <c r="E3239" s="42"/>
      <c r="F3239" s="3" t="s">
        <v>479</v>
      </c>
      <c r="G3239" s="3" t="s">
        <v>465</v>
      </c>
      <c r="H3239" s="4">
        <v>3962207</v>
      </c>
      <c r="I3239" s="4" t="s">
        <v>663</v>
      </c>
      <c r="J3239" s="4" t="s">
        <v>239</v>
      </c>
      <c r="K3239" s="4">
        <v>3348809</v>
      </c>
    </row>
    <row r="3240" spans="2:11" x14ac:dyDescent="0.3">
      <c r="B3240" s="44">
        <v>46060</v>
      </c>
      <c r="C3240" s="3" t="s">
        <v>416</v>
      </c>
      <c r="D3240" s="3" t="s">
        <v>593</v>
      </c>
      <c r="E3240" s="42"/>
      <c r="F3240" s="3" t="s">
        <v>479</v>
      </c>
      <c r="G3240" s="3" t="s">
        <v>628</v>
      </c>
      <c r="H3240" s="4" t="s">
        <v>642</v>
      </c>
      <c r="I3240" s="4" t="s">
        <v>693</v>
      </c>
      <c r="J3240" s="4" t="s">
        <v>629</v>
      </c>
      <c r="K3240" s="4">
        <v>3961708</v>
      </c>
    </row>
    <row r="3241" spans="2:11" x14ac:dyDescent="0.3">
      <c r="B3241" s="44">
        <v>46060</v>
      </c>
      <c r="C3241" s="3" t="s">
        <v>416</v>
      </c>
      <c r="D3241" s="3" t="s">
        <v>61</v>
      </c>
      <c r="E3241" s="42"/>
      <c r="F3241" s="4" t="s">
        <v>658</v>
      </c>
      <c r="G3241" s="4" t="s">
        <v>301</v>
      </c>
      <c r="H3241" s="4">
        <v>3210300</v>
      </c>
      <c r="I3241" s="4" t="s">
        <v>477</v>
      </c>
      <c r="J3241" s="4" t="s">
        <v>332</v>
      </c>
      <c r="K3241" s="4">
        <v>3199206</v>
      </c>
    </row>
    <row r="3242" spans="2:11" x14ac:dyDescent="0.3">
      <c r="B3242" s="44">
        <v>46060</v>
      </c>
      <c r="C3242" s="3" t="s">
        <v>416</v>
      </c>
      <c r="D3242" s="3" t="s">
        <v>504</v>
      </c>
      <c r="E3242" s="42"/>
      <c r="F3242" s="4" t="s">
        <v>480</v>
      </c>
      <c r="G3242" s="4" t="s">
        <v>505</v>
      </c>
      <c r="H3242" s="4">
        <v>3033207</v>
      </c>
      <c r="I3242" s="4" t="s">
        <v>671</v>
      </c>
      <c r="J3242" s="4" t="s">
        <v>8</v>
      </c>
      <c r="K3242" s="4">
        <v>3034008</v>
      </c>
    </row>
    <row r="3243" spans="2:11" x14ac:dyDescent="0.3">
      <c r="B3243" s="44">
        <v>46060</v>
      </c>
      <c r="C3243" s="3" t="s">
        <v>416</v>
      </c>
      <c r="D3243" s="3" t="s">
        <v>490</v>
      </c>
      <c r="E3243" s="4"/>
      <c r="F3243" s="3" t="s">
        <v>480</v>
      </c>
      <c r="G3243" s="3" t="s">
        <v>420</v>
      </c>
      <c r="H3243" s="4">
        <v>3360101</v>
      </c>
      <c r="I3243" s="4" t="s">
        <v>475</v>
      </c>
      <c r="J3243" s="4" t="s">
        <v>125</v>
      </c>
      <c r="K3243" s="4">
        <v>3362807</v>
      </c>
    </row>
    <row r="3244" spans="2:11" x14ac:dyDescent="0.3">
      <c r="B3244" s="44">
        <v>46060</v>
      </c>
      <c r="C3244" s="3" t="s">
        <v>416</v>
      </c>
      <c r="D3244" s="3" t="s">
        <v>493</v>
      </c>
      <c r="E3244" s="42"/>
      <c r="F3244" s="3" t="s">
        <v>480</v>
      </c>
      <c r="G3244" s="3" t="s">
        <v>423</v>
      </c>
      <c r="H3244" s="4">
        <v>3360403</v>
      </c>
      <c r="I3244" s="4" t="s">
        <v>701</v>
      </c>
      <c r="J3244" s="4" t="s">
        <v>171</v>
      </c>
      <c r="K3244" s="4">
        <v>3355600</v>
      </c>
    </row>
    <row r="3245" spans="2:11" x14ac:dyDescent="0.3">
      <c r="B3245" s="44">
        <v>46060</v>
      </c>
      <c r="C3245" s="3" t="s">
        <v>416</v>
      </c>
      <c r="D3245" s="3" t="s">
        <v>59</v>
      </c>
      <c r="E3245" s="42"/>
      <c r="F3245" s="3" t="s">
        <v>661</v>
      </c>
      <c r="G3245" s="3" t="s">
        <v>641</v>
      </c>
      <c r="H3245" s="4">
        <v>3055707</v>
      </c>
      <c r="I3245" s="3" t="s">
        <v>646</v>
      </c>
      <c r="J3245" s="3" t="s">
        <v>275</v>
      </c>
      <c r="K3245" s="4">
        <v>3202406</v>
      </c>
    </row>
    <row r="3246" spans="2:11" x14ac:dyDescent="0.3">
      <c r="B3246" s="44">
        <v>46060</v>
      </c>
      <c r="C3246" s="3" t="s">
        <v>416</v>
      </c>
      <c r="D3246" s="3" t="s">
        <v>593</v>
      </c>
      <c r="E3246" s="42"/>
      <c r="F3246" s="3" t="s">
        <v>661</v>
      </c>
      <c r="G3246" s="3" t="s">
        <v>640</v>
      </c>
      <c r="H3246" s="4">
        <v>3210102</v>
      </c>
      <c r="I3246" s="4" t="s">
        <v>476</v>
      </c>
      <c r="J3246" s="4" t="s">
        <v>630</v>
      </c>
      <c r="K3246" s="4">
        <v>3206308</v>
      </c>
    </row>
    <row r="3247" spans="2:11" x14ac:dyDescent="0.3">
      <c r="B3247" s="44">
        <v>46060</v>
      </c>
      <c r="C3247" s="3" t="s">
        <v>416</v>
      </c>
      <c r="D3247" s="3" t="s">
        <v>68</v>
      </c>
      <c r="E3247" s="42"/>
      <c r="F3247" s="15" t="s">
        <v>664</v>
      </c>
      <c r="G3247" s="15" t="s">
        <v>388</v>
      </c>
      <c r="H3247" s="74">
        <v>3165306</v>
      </c>
      <c r="I3247" s="4" t="s">
        <v>686</v>
      </c>
      <c r="J3247" s="4" t="s">
        <v>626</v>
      </c>
      <c r="K3247" s="4" t="s">
        <v>637</v>
      </c>
    </row>
    <row r="3248" spans="2:11" x14ac:dyDescent="0.3">
      <c r="B3248" s="44">
        <v>46060</v>
      </c>
      <c r="C3248" s="3" t="s">
        <v>416</v>
      </c>
      <c r="D3248" s="3" t="s">
        <v>490</v>
      </c>
      <c r="E3248" s="4"/>
      <c r="F3248" s="3" t="s">
        <v>660</v>
      </c>
      <c r="G3248" s="3" t="s">
        <v>137</v>
      </c>
      <c r="H3248" s="4">
        <v>3359908</v>
      </c>
      <c r="I3248" s="4" t="s">
        <v>691</v>
      </c>
      <c r="J3248" s="4" t="s">
        <v>142</v>
      </c>
      <c r="K3248" s="4">
        <v>3350501</v>
      </c>
    </row>
    <row r="3249" spans="2:14" x14ac:dyDescent="0.3">
      <c r="B3249" s="44">
        <v>46060</v>
      </c>
      <c r="C3249" s="3" t="s">
        <v>416</v>
      </c>
      <c r="D3249" s="3" t="s">
        <v>62</v>
      </c>
      <c r="E3249" s="42"/>
      <c r="F3249" s="3" t="s">
        <v>660</v>
      </c>
      <c r="G3249" s="3" t="s">
        <v>443</v>
      </c>
      <c r="H3249" s="4">
        <v>3210008</v>
      </c>
      <c r="I3249" s="4" t="s">
        <v>663</v>
      </c>
      <c r="J3249" s="4" t="s">
        <v>280</v>
      </c>
      <c r="K3249" s="4">
        <v>3198103</v>
      </c>
    </row>
    <row r="3250" spans="2:14" x14ac:dyDescent="0.3">
      <c r="B3250" s="44">
        <v>46060</v>
      </c>
      <c r="C3250" s="3" t="s">
        <v>416</v>
      </c>
      <c r="D3250" s="3" t="s">
        <v>497</v>
      </c>
      <c r="E3250" s="42"/>
      <c r="F3250" s="17" t="s">
        <v>660</v>
      </c>
      <c r="G3250" s="17" t="s">
        <v>212</v>
      </c>
      <c r="H3250" s="74">
        <v>3360007</v>
      </c>
      <c r="I3250" s="4" t="s">
        <v>654</v>
      </c>
      <c r="J3250" s="4" t="s">
        <v>216</v>
      </c>
      <c r="K3250" s="4">
        <v>3349808</v>
      </c>
    </row>
    <row r="3251" spans="2:14" x14ac:dyDescent="0.3">
      <c r="B3251" s="44">
        <v>46060</v>
      </c>
      <c r="C3251" s="3" t="s">
        <v>416</v>
      </c>
      <c r="D3251" s="3" t="s">
        <v>487</v>
      </c>
      <c r="E3251" s="4"/>
      <c r="F3251" s="4" t="s">
        <v>657</v>
      </c>
      <c r="G3251" s="4" t="s">
        <v>107</v>
      </c>
      <c r="H3251" s="4">
        <v>3068408</v>
      </c>
      <c r="I3251" s="4" t="s">
        <v>710</v>
      </c>
      <c r="J3251" s="4" t="s">
        <v>113</v>
      </c>
      <c r="K3251" s="4">
        <v>3352009</v>
      </c>
    </row>
    <row r="3252" spans="2:14" x14ac:dyDescent="0.3">
      <c r="B3252" s="44">
        <v>46060</v>
      </c>
      <c r="C3252" s="3" t="s">
        <v>416</v>
      </c>
      <c r="D3252" s="3" t="s">
        <v>493</v>
      </c>
      <c r="E3252" s="42"/>
      <c r="F3252" s="3" t="s">
        <v>657</v>
      </c>
      <c r="G3252" s="3" t="s">
        <v>167</v>
      </c>
      <c r="H3252" s="4">
        <v>3359804</v>
      </c>
      <c r="I3252" s="4" t="s">
        <v>471</v>
      </c>
      <c r="J3252" s="4" t="s">
        <v>190</v>
      </c>
      <c r="K3252" s="4">
        <v>3348205</v>
      </c>
    </row>
    <row r="3253" spans="2:14" x14ac:dyDescent="0.3">
      <c r="B3253" s="44">
        <v>46060</v>
      </c>
      <c r="C3253" s="3" t="s">
        <v>416</v>
      </c>
      <c r="D3253" s="3" t="s">
        <v>69</v>
      </c>
      <c r="E3253" s="42"/>
      <c r="F3253" s="3" t="s">
        <v>657</v>
      </c>
      <c r="G3253" s="3" t="s">
        <v>393</v>
      </c>
      <c r="H3253" s="4">
        <v>3209701</v>
      </c>
      <c r="I3253" s="3" t="s">
        <v>694</v>
      </c>
      <c r="J3253" s="3" t="s">
        <v>376</v>
      </c>
      <c r="K3253" s="53">
        <v>3201303</v>
      </c>
    </row>
    <row r="3254" spans="2:14" x14ac:dyDescent="0.3">
      <c r="B3254" s="44">
        <v>46060</v>
      </c>
      <c r="C3254" s="3" t="s">
        <v>416</v>
      </c>
      <c r="D3254" s="3" t="s">
        <v>500</v>
      </c>
      <c r="E3254" s="42"/>
      <c r="F3254" s="3" t="s">
        <v>657</v>
      </c>
      <c r="G3254" s="3" t="s">
        <v>574</v>
      </c>
      <c r="H3254" s="4">
        <v>3359606</v>
      </c>
      <c r="I3254" s="4" t="s">
        <v>701</v>
      </c>
      <c r="J3254" s="4" t="s">
        <v>236</v>
      </c>
      <c r="K3254" s="4">
        <v>3355704</v>
      </c>
    </row>
    <row r="3255" spans="2:14" x14ac:dyDescent="0.3">
      <c r="B3255" s="44">
        <v>46060</v>
      </c>
      <c r="C3255" s="3" t="s">
        <v>416</v>
      </c>
      <c r="D3255" s="3" t="s">
        <v>593</v>
      </c>
      <c r="E3255" s="42"/>
      <c r="F3255" s="15" t="s">
        <v>570</v>
      </c>
      <c r="G3255" s="15" t="s">
        <v>570</v>
      </c>
      <c r="H3255" s="74" t="s">
        <v>556</v>
      </c>
      <c r="I3255" s="4" t="s">
        <v>676</v>
      </c>
      <c r="J3255" s="4" t="s">
        <v>639</v>
      </c>
      <c r="K3255" s="4">
        <v>3776805</v>
      </c>
    </row>
    <row r="3256" spans="2:14" x14ac:dyDescent="0.3">
      <c r="B3256" s="44">
        <v>46060</v>
      </c>
      <c r="C3256" s="3" t="s">
        <v>416</v>
      </c>
      <c r="D3256" s="3" t="s">
        <v>592</v>
      </c>
      <c r="E3256" s="42"/>
      <c r="F3256" s="3" t="s">
        <v>570</v>
      </c>
      <c r="G3256" s="3" t="s">
        <v>570</v>
      </c>
      <c r="H3256" s="4" t="s">
        <v>556</v>
      </c>
      <c r="I3256" s="3" t="s">
        <v>670</v>
      </c>
      <c r="J3256" s="3" t="s">
        <v>636</v>
      </c>
      <c r="K3256" s="74">
        <v>3195502</v>
      </c>
    </row>
    <row r="3257" spans="2:14" x14ac:dyDescent="0.3">
      <c r="B3257" s="44">
        <v>46060</v>
      </c>
      <c r="C3257" s="3" t="s">
        <v>416</v>
      </c>
      <c r="D3257" s="3" t="s">
        <v>499</v>
      </c>
      <c r="E3257" s="42"/>
      <c r="F3257" s="3" t="s">
        <v>723</v>
      </c>
      <c r="G3257" s="3" t="s">
        <v>599</v>
      </c>
      <c r="H3257" s="4" t="s">
        <v>556</v>
      </c>
      <c r="I3257" s="3" t="s">
        <v>652</v>
      </c>
      <c r="J3257" s="3" t="s">
        <v>573</v>
      </c>
      <c r="K3257" s="4">
        <v>3818400</v>
      </c>
      <c r="M3257" s="3" t="s">
        <v>580</v>
      </c>
      <c r="N3257" s="3" t="s">
        <v>573</v>
      </c>
    </row>
    <row r="3258" spans="2:14" x14ac:dyDescent="0.3">
      <c r="B3258" s="44">
        <v>46060</v>
      </c>
      <c r="C3258" s="3" t="s">
        <v>416</v>
      </c>
      <c r="D3258" s="3" t="s">
        <v>501</v>
      </c>
      <c r="E3258" s="42"/>
      <c r="F3258" s="3" t="s">
        <v>722</v>
      </c>
      <c r="G3258" s="3" t="s">
        <v>600</v>
      </c>
      <c r="H3258" s="4" t="s">
        <v>556</v>
      </c>
      <c r="I3258" s="3" t="s">
        <v>689</v>
      </c>
      <c r="J3258" s="3" t="s">
        <v>580</v>
      </c>
      <c r="K3258" s="4">
        <v>3350001</v>
      </c>
      <c r="M3258" s="3" t="s">
        <v>580</v>
      </c>
      <c r="N3258" s="3" t="s">
        <v>573</v>
      </c>
    </row>
    <row r="3259" spans="2:14" x14ac:dyDescent="0.3">
      <c r="B3259" s="44">
        <v>46060</v>
      </c>
      <c r="C3259" s="3" t="s">
        <v>416</v>
      </c>
      <c r="D3259" s="3" t="s">
        <v>57</v>
      </c>
      <c r="E3259" s="42"/>
      <c r="F3259" s="3" t="s">
        <v>667</v>
      </c>
      <c r="G3259" s="3" t="s">
        <v>257</v>
      </c>
      <c r="H3259" s="4">
        <v>3209805</v>
      </c>
      <c r="I3259" s="32" t="s">
        <v>476</v>
      </c>
      <c r="J3259" s="32" t="s">
        <v>249</v>
      </c>
      <c r="K3259" s="15">
        <v>3038202</v>
      </c>
    </row>
    <row r="3260" spans="2:14" x14ac:dyDescent="0.3">
      <c r="B3260" s="44">
        <v>46060</v>
      </c>
      <c r="C3260" s="3" t="s">
        <v>416</v>
      </c>
      <c r="D3260" s="3" t="s">
        <v>64</v>
      </c>
      <c r="E3260" s="42">
        <v>4370907</v>
      </c>
      <c r="F3260" s="3" t="s">
        <v>669</v>
      </c>
      <c r="G3260" s="3" t="s">
        <v>337</v>
      </c>
      <c r="H3260" s="4">
        <v>3209305</v>
      </c>
      <c r="I3260" s="4" t="s">
        <v>672</v>
      </c>
      <c r="J3260" s="4" t="s">
        <v>316</v>
      </c>
      <c r="K3260" s="4">
        <v>3069105</v>
      </c>
    </row>
    <row r="3261" spans="2:14" x14ac:dyDescent="0.3">
      <c r="B3261" s="44">
        <v>46060</v>
      </c>
      <c r="C3261" s="3" t="s">
        <v>416</v>
      </c>
      <c r="D3261" s="3" t="s">
        <v>56</v>
      </c>
      <c r="E3261" s="42"/>
      <c r="F3261" s="73" t="s">
        <v>671</v>
      </c>
      <c r="G3261" s="73" t="s">
        <v>247</v>
      </c>
      <c r="H3261" s="4">
        <v>3034102</v>
      </c>
      <c r="I3261" s="3" t="s">
        <v>471</v>
      </c>
      <c r="J3261" s="3" t="s">
        <v>254</v>
      </c>
      <c r="K3261" s="4">
        <v>3068908</v>
      </c>
    </row>
    <row r="3262" spans="2:14" x14ac:dyDescent="0.3">
      <c r="B3262" s="44">
        <v>46060</v>
      </c>
      <c r="C3262" s="3" t="s">
        <v>416</v>
      </c>
      <c r="D3262" s="3" t="s">
        <v>486</v>
      </c>
      <c r="E3262" s="42"/>
      <c r="F3262" s="3" t="s">
        <v>671</v>
      </c>
      <c r="G3262" s="3" t="s">
        <v>108</v>
      </c>
      <c r="H3262" s="4">
        <v>3359700</v>
      </c>
      <c r="I3262" s="3" t="s">
        <v>480</v>
      </c>
      <c r="J3262" s="3" t="s">
        <v>406</v>
      </c>
      <c r="K3262" s="4">
        <v>3124501</v>
      </c>
    </row>
    <row r="3263" spans="2:14" x14ac:dyDescent="0.3">
      <c r="B3263" s="44">
        <v>46060</v>
      </c>
      <c r="C3263" s="3" t="s">
        <v>416</v>
      </c>
      <c r="D3263" s="3" t="s">
        <v>489</v>
      </c>
      <c r="E3263" s="4"/>
      <c r="F3263" s="3" t="s">
        <v>671</v>
      </c>
      <c r="G3263" s="3" t="s">
        <v>156</v>
      </c>
      <c r="H3263" s="4">
        <v>3359200</v>
      </c>
      <c r="I3263" s="3" t="s">
        <v>688</v>
      </c>
      <c r="J3263" s="3" t="s">
        <v>10</v>
      </c>
      <c r="K3263" s="4">
        <v>3036204</v>
      </c>
    </row>
    <row r="3264" spans="2:14" x14ac:dyDescent="0.3">
      <c r="B3264" s="44">
        <v>46060</v>
      </c>
      <c r="C3264" s="3" t="s">
        <v>416</v>
      </c>
      <c r="D3264" s="3" t="s">
        <v>64</v>
      </c>
      <c r="E3264" s="42">
        <v>4370907</v>
      </c>
      <c r="F3264" s="3" t="s">
        <v>671</v>
      </c>
      <c r="G3264" s="3" t="s">
        <v>312</v>
      </c>
      <c r="H3264" s="4">
        <v>3209107</v>
      </c>
      <c r="I3264" s="4" t="s">
        <v>475</v>
      </c>
      <c r="J3264" s="4" t="s">
        <v>310</v>
      </c>
      <c r="K3264" s="4">
        <v>3212402</v>
      </c>
    </row>
    <row r="3265" spans="2:11" x14ac:dyDescent="0.3">
      <c r="B3265" s="44">
        <v>46060</v>
      </c>
      <c r="C3265" s="3" t="s">
        <v>416</v>
      </c>
      <c r="D3265" s="3" t="s">
        <v>68</v>
      </c>
      <c r="E3265" s="42"/>
      <c r="F3265" s="3" t="s">
        <v>671</v>
      </c>
      <c r="G3265" s="3" t="s">
        <v>389</v>
      </c>
      <c r="H3265" s="4">
        <v>3209201</v>
      </c>
      <c r="I3265" s="4" t="s">
        <v>570</v>
      </c>
      <c r="J3265" s="4" t="s">
        <v>570</v>
      </c>
      <c r="K3265" s="4" t="s">
        <v>556</v>
      </c>
    </row>
    <row r="3266" spans="2:11" x14ac:dyDescent="0.3">
      <c r="B3266" s="44">
        <v>46060</v>
      </c>
      <c r="C3266" s="3" t="s">
        <v>416</v>
      </c>
      <c r="D3266" s="3" t="s">
        <v>58</v>
      </c>
      <c r="E3266" s="42"/>
      <c r="F3266" s="3" t="s">
        <v>659</v>
      </c>
      <c r="G3266" s="3" t="s">
        <v>265</v>
      </c>
      <c r="H3266" s="4">
        <v>3208702</v>
      </c>
      <c r="I3266" s="3" t="s">
        <v>698</v>
      </c>
      <c r="J3266" s="3" t="s">
        <v>587</v>
      </c>
      <c r="K3266" s="32" t="s">
        <v>563</v>
      </c>
    </row>
    <row r="3267" spans="2:11" x14ac:dyDescent="0.3">
      <c r="B3267" s="44">
        <v>46060</v>
      </c>
      <c r="C3267" s="3" t="s">
        <v>416</v>
      </c>
      <c r="D3267" s="3" t="s">
        <v>61</v>
      </c>
      <c r="E3267" s="42"/>
      <c r="F3267" s="106" t="s">
        <v>659</v>
      </c>
      <c r="G3267" s="106" t="s">
        <v>367</v>
      </c>
      <c r="H3267" s="106">
        <v>3208806</v>
      </c>
      <c r="I3267" s="4" t="s">
        <v>478</v>
      </c>
      <c r="J3267" s="4" t="s">
        <v>330</v>
      </c>
      <c r="K3267" s="4">
        <v>3205309</v>
      </c>
    </row>
    <row r="3268" spans="2:11" x14ac:dyDescent="0.3">
      <c r="B3268" s="44">
        <v>46060</v>
      </c>
      <c r="C3268" s="3" t="s">
        <v>416</v>
      </c>
      <c r="D3268" s="3" t="s">
        <v>66</v>
      </c>
      <c r="E3268" s="42"/>
      <c r="F3268" s="104" t="s">
        <v>659</v>
      </c>
      <c r="G3268" s="104" t="s">
        <v>602</v>
      </c>
      <c r="H3268" s="74">
        <v>4023001</v>
      </c>
      <c r="I3268" s="3" t="s">
        <v>690</v>
      </c>
      <c r="J3268" s="3" t="s">
        <v>605</v>
      </c>
      <c r="K3268" s="74">
        <v>3900109</v>
      </c>
    </row>
    <row r="3269" spans="2:11" x14ac:dyDescent="0.3">
      <c r="B3269" s="44">
        <v>46060</v>
      </c>
      <c r="C3269" s="3" t="s">
        <v>416</v>
      </c>
      <c r="D3269" s="3" t="s">
        <v>486</v>
      </c>
      <c r="E3269" s="42"/>
      <c r="F3269" s="3" t="s">
        <v>676</v>
      </c>
      <c r="G3269" s="3" t="s">
        <v>109</v>
      </c>
      <c r="H3269" s="4">
        <v>3067701</v>
      </c>
      <c r="I3269" s="4" t="s">
        <v>652</v>
      </c>
      <c r="J3269" s="4" t="s">
        <v>110</v>
      </c>
      <c r="K3269" s="4">
        <v>3359106</v>
      </c>
    </row>
    <row r="3270" spans="2:11" x14ac:dyDescent="0.3">
      <c r="B3270" s="44">
        <v>46060</v>
      </c>
      <c r="C3270" s="3" t="s">
        <v>416</v>
      </c>
      <c r="D3270" s="3" t="s">
        <v>590</v>
      </c>
      <c r="E3270" s="42"/>
      <c r="F3270" s="3" t="s">
        <v>676</v>
      </c>
      <c r="G3270" s="3" t="s">
        <v>285</v>
      </c>
      <c r="H3270" s="4">
        <v>3208504</v>
      </c>
      <c r="I3270" s="4" t="s">
        <v>648</v>
      </c>
      <c r="J3270" s="4" t="s">
        <v>449</v>
      </c>
      <c r="K3270" s="4">
        <v>3961500</v>
      </c>
    </row>
    <row r="3271" spans="2:11" x14ac:dyDescent="0.3">
      <c r="B3271" s="44">
        <v>46060</v>
      </c>
      <c r="C3271" s="3" t="s">
        <v>416</v>
      </c>
      <c r="D3271" s="3" t="s">
        <v>62</v>
      </c>
      <c r="E3271" s="42"/>
      <c r="F3271" s="3" t="s">
        <v>676</v>
      </c>
      <c r="G3271" s="3" t="s">
        <v>286</v>
      </c>
      <c r="H3271" s="4">
        <v>3019605</v>
      </c>
      <c r="I3271" s="3" t="s">
        <v>479</v>
      </c>
      <c r="J3271" s="3" t="s">
        <v>319</v>
      </c>
      <c r="K3271" s="4">
        <v>3210508</v>
      </c>
    </row>
    <row r="3272" spans="2:11" x14ac:dyDescent="0.3">
      <c r="B3272" s="44">
        <v>46060</v>
      </c>
      <c r="C3272" s="3" t="s">
        <v>416</v>
      </c>
      <c r="D3272" s="3" t="s">
        <v>493</v>
      </c>
      <c r="E3272" s="42"/>
      <c r="F3272" s="3" t="s">
        <v>676</v>
      </c>
      <c r="G3272" s="3" t="s">
        <v>214</v>
      </c>
      <c r="H3272" s="4">
        <v>3358805</v>
      </c>
      <c r="I3272" s="4" t="s">
        <v>476</v>
      </c>
      <c r="J3272" s="4" t="s">
        <v>170</v>
      </c>
      <c r="K3272" s="4">
        <v>3356703</v>
      </c>
    </row>
    <row r="3273" spans="2:11" x14ac:dyDescent="0.3">
      <c r="B3273" s="44">
        <v>46060</v>
      </c>
      <c r="C3273" s="3" t="s">
        <v>416</v>
      </c>
      <c r="D3273" s="3" t="s">
        <v>488</v>
      </c>
      <c r="E3273" s="42"/>
      <c r="F3273" s="3" t="s">
        <v>680</v>
      </c>
      <c r="G3273" s="3" t="s">
        <v>117</v>
      </c>
      <c r="H3273" s="4">
        <v>3359002</v>
      </c>
      <c r="I3273" s="4" t="s">
        <v>695</v>
      </c>
      <c r="J3273" s="4" t="s">
        <v>147</v>
      </c>
      <c r="K3273" s="4">
        <v>3067409</v>
      </c>
    </row>
    <row r="3274" spans="2:11" x14ac:dyDescent="0.3">
      <c r="B3274" s="44">
        <v>46060</v>
      </c>
      <c r="C3274" s="3" t="s">
        <v>416</v>
      </c>
      <c r="D3274" s="3" t="s">
        <v>61</v>
      </c>
      <c r="E3274" s="42"/>
      <c r="F3274" s="73" t="s">
        <v>680</v>
      </c>
      <c r="G3274" s="73" t="s">
        <v>302</v>
      </c>
      <c r="H3274" s="4">
        <v>3208400</v>
      </c>
      <c r="I3274" s="3" t="s">
        <v>696</v>
      </c>
      <c r="J3274" s="3" t="s">
        <v>307</v>
      </c>
      <c r="K3274" s="4">
        <v>3201907</v>
      </c>
    </row>
    <row r="3275" spans="2:11" x14ac:dyDescent="0.3">
      <c r="B3275" s="44">
        <v>46060</v>
      </c>
      <c r="C3275" s="3" t="s">
        <v>416</v>
      </c>
      <c r="D3275" s="3" t="s">
        <v>59</v>
      </c>
      <c r="E3275" s="42"/>
      <c r="F3275" s="4" t="s">
        <v>652</v>
      </c>
      <c r="G3275" s="4" t="s">
        <v>313</v>
      </c>
      <c r="H3275" s="4">
        <v>3207901</v>
      </c>
      <c r="I3275" s="4" t="s">
        <v>681</v>
      </c>
      <c r="J3275" s="4" t="s">
        <v>281</v>
      </c>
      <c r="K3275" s="4">
        <v>3195700</v>
      </c>
    </row>
    <row r="3276" spans="2:11" x14ac:dyDescent="0.3">
      <c r="B3276" s="44">
        <v>46060</v>
      </c>
      <c r="C3276" s="3" t="s">
        <v>416</v>
      </c>
      <c r="D3276" s="3" t="s">
        <v>492</v>
      </c>
      <c r="E3276" s="42"/>
      <c r="F3276" s="4" t="s">
        <v>652</v>
      </c>
      <c r="G3276" s="4" t="s">
        <v>157</v>
      </c>
      <c r="H3276" s="4">
        <v>3358503</v>
      </c>
      <c r="I3276" s="4" t="s">
        <v>713</v>
      </c>
      <c r="J3276" s="4" t="s">
        <v>165</v>
      </c>
      <c r="K3276" s="4">
        <v>3349006</v>
      </c>
    </row>
    <row r="3277" spans="2:11" x14ac:dyDescent="0.3">
      <c r="B3277" s="44">
        <v>46060</v>
      </c>
      <c r="C3277" s="3" t="s">
        <v>416</v>
      </c>
      <c r="D3277" s="3" t="s">
        <v>496</v>
      </c>
      <c r="E3277" s="42"/>
      <c r="F3277" s="3" t="s">
        <v>652</v>
      </c>
      <c r="G3277" s="3" t="s">
        <v>229</v>
      </c>
      <c r="H3277" s="4">
        <v>3358409</v>
      </c>
      <c r="I3277" s="4" t="s">
        <v>687</v>
      </c>
      <c r="J3277" s="4" t="s">
        <v>207</v>
      </c>
      <c r="K3277" s="4">
        <v>3346801</v>
      </c>
    </row>
    <row r="3278" spans="2:11" x14ac:dyDescent="0.3">
      <c r="B3278" s="44">
        <v>46060</v>
      </c>
      <c r="C3278" s="3" t="s">
        <v>416</v>
      </c>
      <c r="D3278" s="3" t="s">
        <v>59</v>
      </c>
      <c r="E3278" s="42"/>
      <c r="F3278" s="3" t="s">
        <v>662</v>
      </c>
      <c r="G3278" s="3" t="s">
        <v>314</v>
      </c>
      <c r="H3278" s="4">
        <v>3208004</v>
      </c>
      <c r="I3278" s="4" t="s">
        <v>656</v>
      </c>
      <c r="J3278" s="4" t="s">
        <v>278</v>
      </c>
      <c r="K3278" s="4">
        <v>3199800</v>
      </c>
    </row>
    <row r="3279" spans="2:11" x14ac:dyDescent="0.3">
      <c r="B3279" s="44">
        <v>46060</v>
      </c>
      <c r="C3279" s="3" t="s">
        <v>416</v>
      </c>
      <c r="D3279" s="3" t="s">
        <v>489</v>
      </c>
      <c r="E3279" s="4"/>
      <c r="F3279" s="3" t="s">
        <v>662</v>
      </c>
      <c r="G3279" s="3" t="s">
        <v>139</v>
      </c>
      <c r="H3279" s="4">
        <v>3358305</v>
      </c>
      <c r="I3279" s="3" t="s">
        <v>650</v>
      </c>
      <c r="J3279" s="3" t="s">
        <v>163</v>
      </c>
      <c r="K3279" s="4">
        <v>3351802</v>
      </c>
    </row>
    <row r="3280" spans="2:11" x14ac:dyDescent="0.3">
      <c r="B3280" s="44">
        <v>46060</v>
      </c>
      <c r="C3280" s="3" t="s">
        <v>416</v>
      </c>
      <c r="D3280" s="3" t="s">
        <v>494</v>
      </c>
      <c r="E3280" s="42"/>
      <c r="F3280" s="3" t="s">
        <v>662</v>
      </c>
      <c r="G3280" s="3" t="s">
        <v>218</v>
      </c>
      <c r="H3280" s="4">
        <v>3358201</v>
      </c>
      <c r="I3280" s="3" t="s">
        <v>692</v>
      </c>
      <c r="J3280" s="3" t="s">
        <v>144</v>
      </c>
      <c r="K3280" s="4">
        <v>3347904</v>
      </c>
    </row>
    <row r="3281" spans="2:13" x14ac:dyDescent="0.3">
      <c r="B3281" s="44">
        <v>46060</v>
      </c>
      <c r="C3281" s="3" t="s">
        <v>416</v>
      </c>
      <c r="D3281" s="3" t="s">
        <v>67</v>
      </c>
      <c r="E3281" s="42"/>
      <c r="F3281" s="4" t="s">
        <v>662</v>
      </c>
      <c r="G3281" s="4" t="s">
        <v>373</v>
      </c>
      <c r="H3281" s="4">
        <v>3207807</v>
      </c>
      <c r="I3281" s="4" t="s">
        <v>708</v>
      </c>
      <c r="J3281" s="4" t="s">
        <v>339</v>
      </c>
      <c r="K3281" s="4">
        <v>3204300</v>
      </c>
    </row>
    <row r="3282" spans="2:13" x14ac:dyDescent="0.3">
      <c r="B3282" s="44">
        <v>46060</v>
      </c>
      <c r="C3282" s="3" t="s">
        <v>416</v>
      </c>
      <c r="D3282" s="3" t="s">
        <v>592</v>
      </c>
      <c r="E3282" s="42"/>
      <c r="F3282" s="3" t="s">
        <v>662</v>
      </c>
      <c r="G3282" s="3" t="s">
        <v>634</v>
      </c>
      <c r="H3282" s="74">
        <v>4023105</v>
      </c>
      <c r="I3282" s="3" t="s">
        <v>682</v>
      </c>
      <c r="J3282" s="3" t="s">
        <v>635</v>
      </c>
      <c r="K3282" s="74">
        <v>3969700</v>
      </c>
    </row>
    <row r="3283" spans="2:13" x14ac:dyDescent="0.3">
      <c r="B3283" s="44">
        <v>46060</v>
      </c>
      <c r="C3283" s="3" t="s">
        <v>416</v>
      </c>
      <c r="D3283" s="3" t="s">
        <v>60</v>
      </c>
      <c r="E3283" s="42"/>
      <c r="F3283" s="3" t="s">
        <v>707</v>
      </c>
      <c r="G3283" s="3" t="s">
        <v>295</v>
      </c>
      <c r="H3283" s="4">
        <v>3207505</v>
      </c>
      <c r="I3283" s="3" t="s">
        <v>667</v>
      </c>
      <c r="J3283" s="3" t="s">
        <v>294</v>
      </c>
      <c r="K3283" s="32">
        <v>3209409</v>
      </c>
    </row>
    <row r="3284" spans="2:13" x14ac:dyDescent="0.3">
      <c r="B3284" s="44">
        <v>46060</v>
      </c>
      <c r="C3284" s="3" t="s">
        <v>416</v>
      </c>
      <c r="D3284" s="3" t="s">
        <v>504</v>
      </c>
      <c r="E3284" s="42"/>
      <c r="F3284" s="3" t="s">
        <v>472</v>
      </c>
      <c r="G3284" s="3" t="s">
        <v>11</v>
      </c>
      <c r="H3284" s="4">
        <v>3034800</v>
      </c>
      <c r="I3284" s="4" t="s">
        <v>720</v>
      </c>
      <c r="J3284" s="4" t="s">
        <v>13</v>
      </c>
      <c r="K3284" s="4">
        <v>3125906</v>
      </c>
    </row>
    <row r="3285" spans="2:13" x14ac:dyDescent="0.3">
      <c r="B3285" s="44">
        <v>46060</v>
      </c>
      <c r="C3285" s="3" t="s">
        <v>416</v>
      </c>
      <c r="D3285" s="3" t="s">
        <v>490</v>
      </c>
      <c r="E3285" s="4"/>
      <c r="F3285" s="3" t="s">
        <v>472</v>
      </c>
      <c r="G3285" s="3" t="s">
        <v>140</v>
      </c>
      <c r="H3285" s="4">
        <v>3357900</v>
      </c>
      <c r="I3285" s="4" t="s">
        <v>717</v>
      </c>
      <c r="J3285" s="4" t="s">
        <v>425</v>
      </c>
      <c r="K3285" s="4">
        <v>3347206</v>
      </c>
    </row>
    <row r="3286" spans="2:13" x14ac:dyDescent="0.3">
      <c r="B3286" s="44">
        <v>46060</v>
      </c>
      <c r="C3286" s="3" t="s">
        <v>416</v>
      </c>
      <c r="D3286" s="3" t="s">
        <v>67</v>
      </c>
      <c r="E3286" s="42"/>
      <c r="F3286" s="3" t="s">
        <v>472</v>
      </c>
      <c r="G3286" s="3" t="s">
        <v>374</v>
      </c>
      <c r="H3286" s="4">
        <v>3207203</v>
      </c>
      <c r="I3286" s="3" t="s">
        <v>689</v>
      </c>
      <c r="J3286" s="3" t="s">
        <v>341</v>
      </c>
      <c r="K3286" s="4">
        <v>3197708</v>
      </c>
    </row>
    <row r="3287" spans="2:13" x14ac:dyDescent="0.3">
      <c r="B3287" s="44">
        <v>46060</v>
      </c>
      <c r="C3287" s="3" t="s">
        <v>416</v>
      </c>
      <c r="D3287" s="3" t="s">
        <v>498</v>
      </c>
      <c r="E3287" s="42"/>
      <c r="F3287" s="3" t="s">
        <v>472</v>
      </c>
      <c r="G3287" s="3" t="s">
        <v>219</v>
      </c>
      <c r="H3287" s="4">
        <v>3357608</v>
      </c>
      <c r="I3287" s="3" t="s">
        <v>475</v>
      </c>
      <c r="J3287" s="3" t="s">
        <v>184</v>
      </c>
      <c r="K3287" s="53">
        <v>3363004</v>
      </c>
    </row>
    <row r="3288" spans="2:13" x14ac:dyDescent="0.3">
      <c r="B3288" s="44">
        <v>46060</v>
      </c>
      <c r="C3288" s="3" t="s">
        <v>416</v>
      </c>
      <c r="D3288" s="3" t="s">
        <v>498</v>
      </c>
      <c r="E3288" s="42"/>
      <c r="F3288" s="3" t="s">
        <v>472</v>
      </c>
      <c r="G3288" s="3" t="s">
        <v>244</v>
      </c>
      <c r="H3288" s="4">
        <v>3357504</v>
      </c>
      <c r="I3288" s="3" t="s">
        <v>688</v>
      </c>
      <c r="J3288" s="3" t="s">
        <v>146</v>
      </c>
      <c r="K3288" s="53">
        <v>3346405</v>
      </c>
    </row>
    <row r="3289" spans="2:13" x14ac:dyDescent="0.3">
      <c r="B3289" s="44">
        <v>46060</v>
      </c>
      <c r="C3289" s="3" t="s">
        <v>416</v>
      </c>
      <c r="D3289" s="3" t="s">
        <v>501</v>
      </c>
      <c r="E3289" s="42"/>
      <c r="F3289" s="3" t="s">
        <v>472</v>
      </c>
      <c r="G3289" s="3" t="s">
        <v>578</v>
      </c>
      <c r="H3289" s="4">
        <v>4022700</v>
      </c>
      <c r="I3289" s="3" t="s">
        <v>682</v>
      </c>
      <c r="J3289" s="3" t="s">
        <v>579</v>
      </c>
      <c r="K3289" s="53">
        <v>3970007</v>
      </c>
      <c r="M3289" s="51"/>
    </row>
    <row r="3290" spans="2:13" x14ac:dyDescent="0.3">
      <c r="B3290" s="44">
        <v>46060</v>
      </c>
      <c r="C3290" s="3" t="s">
        <v>416</v>
      </c>
      <c r="D3290" s="3" t="s">
        <v>496</v>
      </c>
      <c r="E3290" s="42"/>
      <c r="F3290" s="4" t="s">
        <v>665</v>
      </c>
      <c r="G3290" s="4" t="s">
        <v>204</v>
      </c>
      <c r="H3290" s="4">
        <v>3357400</v>
      </c>
      <c r="I3290" s="4" t="s">
        <v>710</v>
      </c>
      <c r="J3290" s="4" t="s">
        <v>206</v>
      </c>
      <c r="K3290" s="4">
        <v>3352103</v>
      </c>
    </row>
    <row r="3291" spans="2:13" x14ac:dyDescent="0.3">
      <c r="B3291" s="44">
        <v>46060</v>
      </c>
      <c r="C3291" s="3" t="s">
        <v>416</v>
      </c>
      <c r="D3291" s="3" t="s">
        <v>68</v>
      </c>
      <c r="E3291" s="42"/>
      <c r="F3291" s="3" t="s">
        <v>665</v>
      </c>
      <c r="G3291" s="3" t="s">
        <v>457</v>
      </c>
      <c r="H3291" s="4">
        <v>3818806</v>
      </c>
      <c r="I3291" s="4" t="s">
        <v>651</v>
      </c>
      <c r="J3291" s="4" t="s">
        <v>387</v>
      </c>
      <c r="K3291" s="4">
        <v>3211403</v>
      </c>
    </row>
    <row r="3292" spans="2:13" x14ac:dyDescent="0.3">
      <c r="B3292" s="44">
        <v>46060</v>
      </c>
      <c r="C3292" s="3" t="s">
        <v>416</v>
      </c>
      <c r="D3292" s="3" t="s">
        <v>499</v>
      </c>
      <c r="E3292" s="42"/>
      <c r="F3292" s="3" t="s">
        <v>665</v>
      </c>
      <c r="G3292" s="3" t="s">
        <v>461</v>
      </c>
      <c r="H3292" s="4">
        <v>3818702</v>
      </c>
      <c r="I3292" s="3" t="s">
        <v>474</v>
      </c>
      <c r="J3292" s="3" t="s">
        <v>597</v>
      </c>
      <c r="K3292" s="4">
        <v>3352707</v>
      </c>
    </row>
    <row r="3293" spans="2:13" x14ac:dyDescent="0.3">
      <c r="B3293" s="44">
        <v>46060</v>
      </c>
      <c r="C3293" s="3" t="s">
        <v>416</v>
      </c>
      <c r="D3293" s="3" t="s">
        <v>68</v>
      </c>
      <c r="E3293" s="42"/>
      <c r="F3293" s="3" t="s">
        <v>665</v>
      </c>
      <c r="G3293" s="3" t="s">
        <v>627</v>
      </c>
      <c r="H3293" s="4" t="s">
        <v>638</v>
      </c>
      <c r="I3293" s="4" t="s">
        <v>649</v>
      </c>
      <c r="J3293" s="4" t="s">
        <v>456</v>
      </c>
      <c r="K3293" s="4">
        <v>3545602</v>
      </c>
    </row>
    <row r="3294" spans="2:13" x14ac:dyDescent="0.3">
      <c r="B3294" s="44">
        <v>46060</v>
      </c>
      <c r="C3294" s="3" t="s">
        <v>416</v>
      </c>
      <c r="D3294" s="3" t="s">
        <v>57</v>
      </c>
      <c r="E3294" s="42"/>
      <c r="F3294" s="3" t="s">
        <v>693</v>
      </c>
      <c r="G3294" s="3" t="s">
        <v>258</v>
      </c>
      <c r="H3294" s="4">
        <v>3207109</v>
      </c>
      <c r="I3294" s="3" t="s">
        <v>645</v>
      </c>
      <c r="J3294" s="3" t="s">
        <v>263</v>
      </c>
      <c r="K3294" s="4">
        <v>3198707</v>
      </c>
    </row>
    <row r="3295" spans="2:13" x14ac:dyDescent="0.3">
      <c r="B3295" s="44">
        <v>46060</v>
      </c>
      <c r="C3295" s="3" t="s">
        <v>416</v>
      </c>
      <c r="D3295" s="3" t="s">
        <v>590</v>
      </c>
      <c r="E3295" s="42"/>
      <c r="F3295" s="3" t="s">
        <v>693</v>
      </c>
      <c r="G3295" s="3" t="s">
        <v>322</v>
      </c>
      <c r="H3295" s="4">
        <v>3207005</v>
      </c>
      <c r="I3295" s="3" t="s">
        <v>657</v>
      </c>
      <c r="J3295" s="3" t="s">
        <v>321</v>
      </c>
      <c r="K3295" s="4">
        <v>3209607</v>
      </c>
    </row>
    <row r="3296" spans="2:13" x14ac:dyDescent="0.3">
      <c r="B3296" s="44">
        <v>46060</v>
      </c>
      <c r="C3296" s="3" t="s">
        <v>416</v>
      </c>
      <c r="D3296" s="3" t="s">
        <v>490</v>
      </c>
      <c r="E3296" s="4"/>
      <c r="F3296" s="3" t="s">
        <v>476</v>
      </c>
      <c r="G3296" s="3" t="s">
        <v>168</v>
      </c>
      <c r="H3296" s="4">
        <v>3356505</v>
      </c>
      <c r="I3296" s="4" t="s">
        <v>479</v>
      </c>
      <c r="J3296" s="4" t="s">
        <v>166</v>
      </c>
      <c r="K3296" s="4">
        <v>3361006</v>
      </c>
    </row>
    <row r="3297" spans="1:43" x14ac:dyDescent="0.3">
      <c r="B3297" s="44">
        <v>46060</v>
      </c>
      <c r="C3297" s="3" t="s">
        <v>416</v>
      </c>
      <c r="D3297" s="3" t="s">
        <v>62</v>
      </c>
      <c r="E3297" s="42"/>
      <c r="F3297" s="4" t="s">
        <v>476</v>
      </c>
      <c r="G3297" s="4" t="s">
        <v>287</v>
      </c>
      <c r="H3297" s="4">
        <v>3206600</v>
      </c>
      <c r="I3297" s="4" t="s">
        <v>677</v>
      </c>
      <c r="J3297" s="4" t="s">
        <v>324</v>
      </c>
      <c r="K3297" s="4">
        <v>3201605</v>
      </c>
    </row>
    <row r="3298" spans="1:43" x14ac:dyDescent="0.3">
      <c r="B3298" s="44">
        <v>46060</v>
      </c>
      <c r="C3298" s="3" t="s">
        <v>416</v>
      </c>
      <c r="D3298" s="3" t="s">
        <v>62</v>
      </c>
      <c r="E3298" s="42"/>
      <c r="F3298" s="3" t="s">
        <v>476</v>
      </c>
      <c r="G3298" s="3" t="s">
        <v>323</v>
      </c>
      <c r="H3298" s="4">
        <v>3206506</v>
      </c>
      <c r="I3298" s="4" t="s">
        <v>679</v>
      </c>
      <c r="J3298" s="4" t="s">
        <v>292</v>
      </c>
      <c r="K3298" s="4">
        <v>3195304</v>
      </c>
    </row>
    <row r="3299" spans="1:43" x14ac:dyDescent="0.3">
      <c r="B3299" s="44">
        <v>46060</v>
      </c>
      <c r="C3299" s="3" t="s">
        <v>416</v>
      </c>
      <c r="D3299" s="3" t="s">
        <v>65</v>
      </c>
      <c r="E3299" s="42"/>
      <c r="F3299" s="3" t="s">
        <v>476</v>
      </c>
      <c r="G3299" s="3" t="s">
        <v>358</v>
      </c>
      <c r="H3299" s="4">
        <v>3206402</v>
      </c>
      <c r="I3299" s="4" t="s">
        <v>678</v>
      </c>
      <c r="J3299" s="4" t="s">
        <v>452</v>
      </c>
      <c r="K3299" s="4">
        <v>3198207</v>
      </c>
    </row>
    <row r="3300" spans="1:43" x14ac:dyDescent="0.3">
      <c r="B3300" s="44">
        <v>46060</v>
      </c>
      <c r="C3300" s="3" t="s">
        <v>416</v>
      </c>
      <c r="D3300" s="3" t="s">
        <v>497</v>
      </c>
      <c r="E3300" s="42"/>
      <c r="F3300" s="17" t="s">
        <v>476</v>
      </c>
      <c r="G3300" s="17" t="s">
        <v>234</v>
      </c>
      <c r="H3300" s="74">
        <v>3356807</v>
      </c>
      <c r="I3300" s="15" t="s">
        <v>471</v>
      </c>
      <c r="J3300" s="15" t="s">
        <v>240</v>
      </c>
      <c r="K3300" s="74">
        <v>3348403</v>
      </c>
    </row>
    <row r="3301" spans="1:43" x14ac:dyDescent="0.3">
      <c r="B3301" s="44">
        <v>46060</v>
      </c>
      <c r="C3301" s="3" t="s">
        <v>416</v>
      </c>
      <c r="D3301" s="3" t="s">
        <v>500</v>
      </c>
      <c r="E3301" s="42"/>
      <c r="F3301" s="3" t="s">
        <v>476</v>
      </c>
      <c r="G3301" s="3" t="s">
        <v>575</v>
      </c>
      <c r="H3301" s="4">
        <v>3900005</v>
      </c>
      <c r="I3301" s="4" t="s">
        <v>676</v>
      </c>
      <c r="J3301" s="4" t="s">
        <v>577</v>
      </c>
      <c r="K3301" s="4" t="s">
        <v>556</v>
      </c>
    </row>
    <row r="3302" spans="1:43" x14ac:dyDescent="0.3">
      <c r="A3302" s="4"/>
      <c r="B3302" s="100">
        <v>46060</v>
      </c>
      <c r="C3302" s="98" t="s">
        <v>553</v>
      </c>
      <c r="D3302" s="4" t="s">
        <v>516</v>
      </c>
      <c r="E3302" s="4"/>
      <c r="F3302" s="73" t="s">
        <v>517</v>
      </c>
      <c r="G3302" s="73" t="s">
        <v>517</v>
      </c>
      <c r="H3302" s="73"/>
      <c r="I3302" s="73" t="s">
        <v>476</v>
      </c>
      <c r="J3302" s="73" t="s">
        <v>476</v>
      </c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</row>
    <row r="3303" spans="1:43" x14ac:dyDescent="0.3">
      <c r="A3303" s="4"/>
      <c r="B3303" s="100">
        <v>46060</v>
      </c>
      <c r="C3303" s="98" t="s">
        <v>553</v>
      </c>
      <c r="D3303" s="4" t="s">
        <v>521</v>
      </c>
      <c r="E3303" s="4"/>
      <c r="F3303" s="73" t="s">
        <v>535</v>
      </c>
      <c r="G3303" s="73" t="s">
        <v>535</v>
      </c>
      <c r="H3303" s="73"/>
      <c r="I3303" s="73" t="s">
        <v>479</v>
      </c>
      <c r="J3303" s="73" t="s">
        <v>479</v>
      </c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</row>
    <row r="3304" spans="1:43" x14ac:dyDescent="0.3">
      <c r="A3304" s="4"/>
      <c r="B3304" s="100">
        <v>46060</v>
      </c>
      <c r="C3304" s="98" t="s">
        <v>553</v>
      </c>
      <c r="D3304" s="4" t="s">
        <v>508</v>
      </c>
      <c r="E3304" s="4"/>
      <c r="F3304" s="73" t="s">
        <v>534</v>
      </c>
      <c r="G3304" s="73" t="s">
        <v>524</v>
      </c>
      <c r="H3304" s="73"/>
      <c r="I3304" s="73" t="s">
        <v>554</v>
      </c>
      <c r="J3304" s="73" t="s">
        <v>9</v>
      </c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</row>
    <row r="3305" spans="1:43" x14ac:dyDescent="0.3">
      <c r="B3305" s="44">
        <v>46060</v>
      </c>
      <c r="C3305" s="3" t="s">
        <v>416</v>
      </c>
      <c r="D3305" s="3" t="s">
        <v>504</v>
      </c>
      <c r="E3305" s="42"/>
      <c r="F3305" s="4" t="s">
        <v>666</v>
      </c>
      <c r="G3305" s="4" t="s">
        <v>12</v>
      </c>
      <c r="H3305" s="4">
        <v>3034206</v>
      </c>
      <c r="I3305" s="4" t="s">
        <v>476</v>
      </c>
      <c r="J3305" s="4" t="s">
        <v>100</v>
      </c>
      <c r="K3305" s="4">
        <v>3125302</v>
      </c>
    </row>
    <row r="3306" spans="1:43" x14ac:dyDescent="0.3">
      <c r="B3306" s="44">
        <v>46060</v>
      </c>
      <c r="C3306" s="3" t="s">
        <v>416</v>
      </c>
      <c r="D3306" s="3" t="s">
        <v>492</v>
      </c>
      <c r="E3306" s="42"/>
      <c r="F3306" s="3" t="s">
        <v>666</v>
      </c>
      <c r="G3306" s="3" t="s">
        <v>158</v>
      </c>
      <c r="H3306" s="4">
        <v>3356901</v>
      </c>
      <c r="I3306" s="4" t="s">
        <v>670</v>
      </c>
      <c r="J3306" s="4" t="s">
        <v>145</v>
      </c>
      <c r="K3306" s="4">
        <v>3347404</v>
      </c>
    </row>
    <row r="3307" spans="1:43" x14ac:dyDescent="0.3">
      <c r="B3307" s="44">
        <v>46060</v>
      </c>
      <c r="C3307" s="3" t="s">
        <v>416</v>
      </c>
      <c r="D3307" s="3" t="s">
        <v>495</v>
      </c>
      <c r="E3307" s="42"/>
      <c r="F3307" s="3" t="s">
        <v>666</v>
      </c>
      <c r="G3307" s="3" t="s">
        <v>193</v>
      </c>
      <c r="H3307" s="4">
        <v>3357108</v>
      </c>
      <c r="I3307" s="3" t="s">
        <v>685</v>
      </c>
      <c r="J3307" s="3" t="s">
        <v>196</v>
      </c>
      <c r="K3307" s="4">
        <v>3353102</v>
      </c>
    </row>
    <row r="3308" spans="1:43" x14ac:dyDescent="0.3">
      <c r="B3308" s="44">
        <v>46060</v>
      </c>
      <c r="C3308" s="3" t="s">
        <v>416</v>
      </c>
      <c r="D3308" s="4" t="s">
        <v>614</v>
      </c>
      <c r="E3308" s="42"/>
      <c r="F3308" s="3" t="s">
        <v>666</v>
      </c>
      <c r="G3308" s="3" t="s">
        <v>453</v>
      </c>
      <c r="H3308" s="4">
        <v>3206006</v>
      </c>
      <c r="I3308" s="4" t="s">
        <v>710</v>
      </c>
      <c r="J3308" s="4" t="s">
        <v>384</v>
      </c>
      <c r="K3308" s="4">
        <v>3199508</v>
      </c>
    </row>
    <row r="3309" spans="1:43" x14ac:dyDescent="0.3">
      <c r="B3309" s="44">
        <v>46060</v>
      </c>
      <c r="C3309" s="3" t="s">
        <v>416</v>
      </c>
      <c r="D3309" s="3" t="s">
        <v>491</v>
      </c>
      <c r="E3309" s="42"/>
      <c r="F3309" s="3" t="s">
        <v>478</v>
      </c>
      <c r="G3309" s="3" t="s">
        <v>463</v>
      </c>
      <c r="H3309" s="74">
        <v>3125500</v>
      </c>
      <c r="I3309" s="4" t="s">
        <v>702</v>
      </c>
      <c r="J3309" s="4" t="s">
        <v>180</v>
      </c>
      <c r="K3309" s="4">
        <v>3355308</v>
      </c>
    </row>
    <row r="3310" spans="1:43" x14ac:dyDescent="0.3">
      <c r="B3310" s="44">
        <v>46060</v>
      </c>
      <c r="C3310" s="3" t="s">
        <v>416</v>
      </c>
      <c r="D3310" s="3" t="s">
        <v>58</v>
      </c>
      <c r="E3310" s="42"/>
      <c r="F3310" s="32" t="s">
        <v>478</v>
      </c>
      <c r="G3310" s="32" t="s">
        <v>267</v>
      </c>
      <c r="H3310" s="15">
        <v>3205205</v>
      </c>
      <c r="I3310" s="3" t="s">
        <v>706</v>
      </c>
      <c r="J3310" s="3" t="s">
        <v>269</v>
      </c>
      <c r="K3310" s="4">
        <v>3069407</v>
      </c>
    </row>
    <row r="3311" spans="1:43" x14ac:dyDescent="0.3">
      <c r="B3311" s="44">
        <v>46060</v>
      </c>
      <c r="C3311" s="3" t="s">
        <v>416</v>
      </c>
      <c r="D3311" s="3" t="s">
        <v>63</v>
      </c>
      <c r="E3311" s="42"/>
      <c r="F3311" s="3" t="s">
        <v>478</v>
      </c>
      <c r="G3311" s="3" t="s">
        <v>331</v>
      </c>
      <c r="H3311" s="74">
        <v>3205403</v>
      </c>
      <c r="I3311" s="3" t="s">
        <v>680</v>
      </c>
      <c r="J3311" s="3" t="s">
        <v>329</v>
      </c>
      <c r="K3311" s="74">
        <v>3208108</v>
      </c>
    </row>
    <row r="3312" spans="1:43" x14ac:dyDescent="0.3">
      <c r="B3312" s="44">
        <v>46060</v>
      </c>
      <c r="C3312" s="3" t="s">
        <v>416</v>
      </c>
      <c r="D3312" s="3" t="s">
        <v>66</v>
      </c>
      <c r="E3312" s="42"/>
      <c r="F3312" s="3" t="s">
        <v>478</v>
      </c>
      <c r="G3312" s="3" t="s">
        <v>604</v>
      </c>
      <c r="H3312" s="74">
        <v>3205507</v>
      </c>
      <c r="I3312" s="3" t="s">
        <v>709</v>
      </c>
      <c r="J3312" s="3" t="s">
        <v>607</v>
      </c>
      <c r="K3312" s="4">
        <v>3596309</v>
      </c>
    </row>
    <row r="3313" spans="1:43" x14ac:dyDescent="0.3">
      <c r="B3313" s="44">
        <v>46060</v>
      </c>
      <c r="C3313" s="3" t="s">
        <v>416</v>
      </c>
      <c r="D3313" s="3" t="s">
        <v>488</v>
      </c>
      <c r="E3313" s="42"/>
      <c r="F3313" s="4" t="s">
        <v>690</v>
      </c>
      <c r="G3313" s="4" t="s">
        <v>118</v>
      </c>
      <c r="H3313" s="4">
        <v>3356005</v>
      </c>
      <c r="I3313" s="4" t="s">
        <v>645</v>
      </c>
      <c r="J3313" s="4" t="s">
        <v>151</v>
      </c>
      <c r="K3313" s="4">
        <v>3351208</v>
      </c>
    </row>
    <row r="3314" spans="1:43" x14ac:dyDescent="0.3">
      <c r="B3314" s="44">
        <v>46060</v>
      </c>
      <c r="C3314" s="3" t="s">
        <v>416</v>
      </c>
      <c r="D3314" s="3" t="s">
        <v>56</v>
      </c>
      <c r="E3314" s="42"/>
      <c r="F3314" s="3" t="s">
        <v>690</v>
      </c>
      <c r="G3314" s="3" t="s">
        <v>250</v>
      </c>
      <c r="H3314" s="4">
        <v>3070100</v>
      </c>
      <c r="I3314" s="3" t="s">
        <v>646</v>
      </c>
      <c r="J3314" s="3" t="s">
        <v>251</v>
      </c>
      <c r="K3314" s="4">
        <v>3036704</v>
      </c>
    </row>
    <row r="3315" spans="1:43" x14ac:dyDescent="0.3">
      <c r="B3315" s="44">
        <v>46060</v>
      </c>
      <c r="C3315" s="3" t="s">
        <v>416</v>
      </c>
      <c r="D3315" s="3" t="s">
        <v>61</v>
      </c>
      <c r="E3315" s="42"/>
      <c r="F3315" s="3" t="s">
        <v>690</v>
      </c>
      <c r="G3315" s="3" t="s">
        <v>304</v>
      </c>
      <c r="H3315" s="4">
        <v>3204404</v>
      </c>
      <c r="I3315" s="3" t="s">
        <v>684</v>
      </c>
      <c r="J3315" s="3" t="s">
        <v>306</v>
      </c>
      <c r="K3315" s="4">
        <v>3202604</v>
      </c>
    </row>
    <row r="3316" spans="1:43" x14ac:dyDescent="0.3">
      <c r="B3316" s="44">
        <v>46060</v>
      </c>
      <c r="C3316" s="3" t="s">
        <v>416</v>
      </c>
      <c r="D3316" s="3" t="s">
        <v>491</v>
      </c>
      <c r="E3316" s="42"/>
      <c r="F3316" s="4" t="s">
        <v>690</v>
      </c>
      <c r="G3316" s="4" t="s">
        <v>179</v>
      </c>
      <c r="H3316" s="4">
        <v>3818900</v>
      </c>
      <c r="I3316" s="4" t="s">
        <v>645</v>
      </c>
      <c r="J3316" s="4" t="s">
        <v>464</v>
      </c>
      <c r="K3316" s="4">
        <v>3351406</v>
      </c>
    </row>
    <row r="3317" spans="1:43" x14ac:dyDescent="0.3">
      <c r="B3317" s="44">
        <v>46060</v>
      </c>
      <c r="C3317" s="3" t="s">
        <v>416</v>
      </c>
      <c r="D3317" s="3" t="s">
        <v>65</v>
      </c>
      <c r="E3317" s="42"/>
      <c r="F3317" s="3" t="s">
        <v>718</v>
      </c>
      <c r="G3317" s="3" t="s">
        <v>359</v>
      </c>
      <c r="H3317" s="4">
        <v>3204602</v>
      </c>
      <c r="I3317" s="4" t="s">
        <v>676</v>
      </c>
      <c r="J3317" s="4" t="s">
        <v>356</v>
      </c>
      <c r="K3317" s="4">
        <v>3208608</v>
      </c>
    </row>
    <row r="3318" spans="1:43" x14ac:dyDescent="0.3">
      <c r="B3318" s="44">
        <v>46060</v>
      </c>
      <c r="C3318" s="3" t="s">
        <v>416</v>
      </c>
      <c r="D3318" s="3" t="s">
        <v>486</v>
      </c>
      <c r="E3318" s="42"/>
      <c r="F3318" s="4" t="s">
        <v>682</v>
      </c>
      <c r="G3318" s="4" t="s">
        <v>559</v>
      </c>
      <c r="H3318" s="4">
        <v>3969200</v>
      </c>
      <c r="I3318" s="4" t="s">
        <v>645</v>
      </c>
      <c r="J3318" s="4" t="s">
        <v>104</v>
      </c>
      <c r="K3318" s="4">
        <v>3036308</v>
      </c>
    </row>
    <row r="3319" spans="1:43" x14ac:dyDescent="0.3">
      <c r="B3319" s="44">
        <v>46060</v>
      </c>
      <c r="C3319" s="3" t="s">
        <v>416</v>
      </c>
      <c r="D3319" s="3" t="s">
        <v>57</v>
      </c>
      <c r="E3319" s="42"/>
      <c r="F3319" s="3" t="s">
        <v>682</v>
      </c>
      <c r="G3319" s="3" t="s">
        <v>584</v>
      </c>
      <c r="H3319" s="4">
        <v>3069303</v>
      </c>
      <c r="I3319" s="73" t="s">
        <v>478</v>
      </c>
      <c r="J3319" s="73" t="s">
        <v>260</v>
      </c>
      <c r="K3319" s="15">
        <v>3205705</v>
      </c>
    </row>
    <row r="3320" spans="1:43" x14ac:dyDescent="0.3">
      <c r="B3320" s="44">
        <v>46060</v>
      </c>
      <c r="C3320" s="3" t="s">
        <v>416</v>
      </c>
      <c r="D3320" s="3" t="s">
        <v>610</v>
      </c>
      <c r="E3320" s="42"/>
      <c r="F3320" s="3" t="s">
        <v>682</v>
      </c>
      <c r="G3320" s="3" t="s">
        <v>611</v>
      </c>
      <c r="H3320" s="4">
        <v>3204800</v>
      </c>
      <c r="I3320" s="4" t="s">
        <v>675</v>
      </c>
      <c r="J3320" s="4" t="s">
        <v>450</v>
      </c>
      <c r="K3320" s="4">
        <v>3198405</v>
      </c>
    </row>
    <row r="3321" spans="1:43" x14ac:dyDescent="0.3">
      <c r="B3321" s="44">
        <v>46060</v>
      </c>
      <c r="C3321" s="3" t="s">
        <v>416</v>
      </c>
      <c r="D3321" s="3" t="s">
        <v>495</v>
      </c>
      <c r="E3321" s="42"/>
      <c r="F3321" s="3" t="s">
        <v>682</v>
      </c>
      <c r="G3321" s="3" t="s">
        <v>568</v>
      </c>
      <c r="H3321" s="4">
        <v>3969908</v>
      </c>
      <c r="I3321" s="3" t="s">
        <v>673</v>
      </c>
      <c r="J3321" s="3" t="s">
        <v>200</v>
      </c>
      <c r="K3321" s="53">
        <v>3901004</v>
      </c>
    </row>
    <row r="3322" spans="1:43" x14ac:dyDescent="0.3">
      <c r="A3322" s="4"/>
      <c r="B3322" s="100">
        <v>46060</v>
      </c>
      <c r="C3322" s="98" t="s">
        <v>553</v>
      </c>
      <c r="D3322" s="4" t="s">
        <v>521</v>
      </c>
      <c r="E3322" s="4"/>
      <c r="F3322" s="73" t="s">
        <v>530</v>
      </c>
      <c r="G3322" s="73" t="s">
        <v>530</v>
      </c>
      <c r="H3322" s="73"/>
      <c r="I3322" s="73" t="s">
        <v>472</v>
      </c>
      <c r="J3322" s="73" t="s">
        <v>472</v>
      </c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</row>
    <row r="3323" spans="1:43" x14ac:dyDescent="0.3">
      <c r="B3323" s="44">
        <v>46060</v>
      </c>
      <c r="C3323" s="3" t="s">
        <v>416</v>
      </c>
      <c r="D3323" s="3" t="s">
        <v>488</v>
      </c>
      <c r="E3323" s="42"/>
      <c r="F3323" s="3" t="s">
        <v>702</v>
      </c>
      <c r="G3323" s="3" t="s">
        <v>119</v>
      </c>
      <c r="H3323" s="4">
        <v>3067909</v>
      </c>
      <c r="I3323" s="4" t="s">
        <v>698</v>
      </c>
      <c r="J3323" s="4" t="s">
        <v>561</v>
      </c>
      <c r="K3323" s="4" t="s">
        <v>563</v>
      </c>
    </row>
    <row r="3324" spans="1:43" x14ac:dyDescent="0.3">
      <c r="B3324" s="44">
        <v>46060</v>
      </c>
      <c r="C3324" s="3" t="s">
        <v>416</v>
      </c>
      <c r="D3324" s="3" t="s">
        <v>58</v>
      </c>
      <c r="E3324" s="42"/>
      <c r="F3324" s="3" t="s">
        <v>702</v>
      </c>
      <c r="G3324" s="3" t="s">
        <v>447</v>
      </c>
      <c r="H3324" s="4">
        <v>3055207</v>
      </c>
      <c r="I3324" s="3" t="s">
        <v>697</v>
      </c>
      <c r="J3324" s="3" t="s">
        <v>262</v>
      </c>
      <c r="K3324" s="32">
        <v>3055405</v>
      </c>
    </row>
    <row r="3325" spans="1:43" x14ac:dyDescent="0.3">
      <c r="B3325" s="44">
        <v>46060</v>
      </c>
      <c r="C3325" s="3" t="s">
        <v>416</v>
      </c>
      <c r="D3325" s="3" t="s">
        <v>491</v>
      </c>
      <c r="E3325" s="42"/>
      <c r="F3325" s="3" t="s">
        <v>695</v>
      </c>
      <c r="G3325" s="3" t="s">
        <v>148</v>
      </c>
      <c r="H3325" s="4">
        <v>3355402</v>
      </c>
      <c r="I3325" s="4" t="s">
        <v>709</v>
      </c>
      <c r="J3325" s="4" t="s">
        <v>566</v>
      </c>
      <c r="K3325" s="4">
        <v>3560703</v>
      </c>
    </row>
    <row r="3326" spans="1:43" x14ac:dyDescent="0.3">
      <c r="B3326" s="44">
        <v>46060</v>
      </c>
      <c r="C3326" s="3" t="s">
        <v>416</v>
      </c>
      <c r="D3326" s="3" t="s">
        <v>488</v>
      </c>
      <c r="E3326" s="42"/>
      <c r="F3326" s="3" t="s">
        <v>704</v>
      </c>
      <c r="G3326" s="3" t="s">
        <v>120</v>
      </c>
      <c r="H3326" s="4">
        <v>3355506</v>
      </c>
      <c r="I3326" s="3" t="s">
        <v>720</v>
      </c>
      <c r="J3326" s="3" t="s">
        <v>153</v>
      </c>
      <c r="K3326" s="4">
        <v>3033405</v>
      </c>
    </row>
    <row r="3327" spans="1:43" x14ac:dyDescent="0.3">
      <c r="B3327" s="44">
        <v>46060</v>
      </c>
      <c r="C3327" s="3" t="s">
        <v>416</v>
      </c>
      <c r="D3327" s="3" t="s">
        <v>58</v>
      </c>
      <c r="E3327" s="42"/>
      <c r="F3327" s="3" t="s">
        <v>704</v>
      </c>
      <c r="G3327" s="3" t="s">
        <v>297</v>
      </c>
      <c r="H3327" s="4">
        <v>3204008</v>
      </c>
      <c r="I3327" s="3" t="s">
        <v>712</v>
      </c>
      <c r="J3327" s="3" t="s">
        <v>270</v>
      </c>
      <c r="K3327" s="4">
        <v>3069605</v>
      </c>
    </row>
    <row r="3328" spans="1:43" x14ac:dyDescent="0.3">
      <c r="A3328" s="4"/>
      <c r="B3328" s="100">
        <v>46060</v>
      </c>
      <c r="C3328" s="98" t="s">
        <v>553</v>
      </c>
      <c r="D3328" s="4" t="s">
        <v>508</v>
      </c>
      <c r="E3328" s="4"/>
      <c r="F3328" s="73" t="s">
        <v>473</v>
      </c>
      <c r="G3328" s="73" t="s">
        <v>473</v>
      </c>
      <c r="H3328" s="73"/>
      <c r="I3328" s="73" t="s">
        <v>475</v>
      </c>
      <c r="J3328" s="73" t="s">
        <v>475</v>
      </c>
      <c r="K3328" s="15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</row>
    <row r="3329" spans="2:13" x14ac:dyDescent="0.3">
      <c r="B3329" s="44">
        <v>46060</v>
      </c>
      <c r="C3329" s="3" t="s">
        <v>416</v>
      </c>
      <c r="D3329" s="3" t="s">
        <v>60</v>
      </c>
      <c r="E3329" s="42"/>
      <c r="F3329" s="3" t="s">
        <v>473</v>
      </c>
      <c r="G3329" s="3" t="s">
        <v>298</v>
      </c>
      <c r="H3329" s="4">
        <v>3817807</v>
      </c>
      <c r="I3329" s="3" t="s">
        <v>473</v>
      </c>
      <c r="J3329" s="3" t="s">
        <v>445</v>
      </c>
      <c r="K3329" s="4">
        <v>3204102</v>
      </c>
    </row>
    <row r="3330" spans="2:13" x14ac:dyDescent="0.3">
      <c r="B3330" s="44">
        <v>46060</v>
      </c>
      <c r="C3330" s="3" t="s">
        <v>416</v>
      </c>
      <c r="D3330" s="3" t="s">
        <v>494</v>
      </c>
      <c r="E3330" s="42"/>
      <c r="F3330" s="4" t="s">
        <v>708</v>
      </c>
      <c r="G3330" s="4" t="s">
        <v>141</v>
      </c>
      <c r="H3330" s="4">
        <v>3125802</v>
      </c>
      <c r="I3330" s="4" t="s">
        <v>472</v>
      </c>
      <c r="J3330" s="4" t="s">
        <v>186</v>
      </c>
      <c r="K3330" s="4">
        <v>3357702</v>
      </c>
    </row>
    <row r="3331" spans="2:13" x14ac:dyDescent="0.3">
      <c r="B3331" s="44">
        <v>46060</v>
      </c>
      <c r="C3331" s="3" t="s">
        <v>416</v>
      </c>
      <c r="D3331" s="3" t="s">
        <v>494</v>
      </c>
      <c r="E3331" s="42"/>
      <c r="F3331" s="3" t="s">
        <v>708</v>
      </c>
      <c r="G3331" s="3" t="s">
        <v>220</v>
      </c>
      <c r="H3331" s="4">
        <v>3354809</v>
      </c>
      <c r="I3331" s="4" t="s">
        <v>647</v>
      </c>
      <c r="J3331" s="4" t="s">
        <v>191</v>
      </c>
      <c r="K3331" s="4">
        <v>3345708</v>
      </c>
    </row>
    <row r="3332" spans="2:13" x14ac:dyDescent="0.3">
      <c r="B3332" s="44">
        <v>46060</v>
      </c>
      <c r="C3332" s="3" t="s">
        <v>416</v>
      </c>
      <c r="D3332" s="3" t="s">
        <v>501</v>
      </c>
      <c r="E3332" s="42"/>
      <c r="F3332" s="3" t="s">
        <v>708</v>
      </c>
      <c r="G3332" s="3" t="s">
        <v>598</v>
      </c>
      <c r="H3332" s="4">
        <v>3354903</v>
      </c>
      <c r="I3332" s="3" t="s">
        <v>692</v>
      </c>
      <c r="J3332" s="3" t="s">
        <v>582</v>
      </c>
      <c r="K3332" s="53">
        <v>3900901</v>
      </c>
      <c r="M3332" s="51"/>
    </row>
    <row r="3333" spans="2:13" x14ac:dyDescent="0.3">
      <c r="B3333" s="44">
        <v>46060</v>
      </c>
      <c r="C3333" s="3" t="s">
        <v>416</v>
      </c>
      <c r="D3333" s="3" t="s">
        <v>57</v>
      </c>
      <c r="E3333" s="42"/>
      <c r="F3333" s="15" t="s">
        <v>703</v>
      </c>
      <c r="G3333" s="15" t="s">
        <v>585</v>
      </c>
      <c r="H3333" s="74" t="s">
        <v>556</v>
      </c>
      <c r="I3333" s="4" t="s">
        <v>666</v>
      </c>
      <c r="J3333" s="4" t="s">
        <v>259</v>
      </c>
      <c r="K3333" s="4">
        <v>3205809</v>
      </c>
    </row>
    <row r="3334" spans="2:13" x14ac:dyDescent="0.3">
      <c r="B3334" s="44">
        <v>46060</v>
      </c>
      <c r="C3334" s="3" t="s">
        <v>416</v>
      </c>
      <c r="D3334" s="3" t="s">
        <v>58</v>
      </c>
      <c r="E3334" s="42"/>
      <c r="F3334" s="3" t="s">
        <v>703</v>
      </c>
      <c r="G3334" s="3" t="s">
        <v>586</v>
      </c>
      <c r="H3334" s="4" t="s">
        <v>588</v>
      </c>
      <c r="I3334" s="3" t="s">
        <v>690</v>
      </c>
      <c r="J3334" s="3" t="s">
        <v>303</v>
      </c>
      <c r="K3334" s="4">
        <v>3205101</v>
      </c>
    </row>
    <row r="3335" spans="2:13" x14ac:dyDescent="0.3">
      <c r="B3335" s="44">
        <v>46060</v>
      </c>
      <c r="C3335" s="3" t="s">
        <v>416</v>
      </c>
      <c r="D3335" s="3" t="s">
        <v>61</v>
      </c>
      <c r="E3335" s="42"/>
      <c r="F3335" s="3" t="s">
        <v>703</v>
      </c>
      <c r="G3335" s="3" t="s">
        <v>596</v>
      </c>
      <c r="H3335" s="4" t="s">
        <v>556</v>
      </c>
      <c r="I3335" s="4" t="s">
        <v>720</v>
      </c>
      <c r="J3335" s="4" t="s">
        <v>335</v>
      </c>
      <c r="K3335" s="4">
        <v>3194201</v>
      </c>
    </row>
    <row r="3336" spans="2:13" x14ac:dyDescent="0.3">
      <c r="B3336" s="44">
        <v>46060</v>
      </c>
      <c r="C3336" s="3" t="s">
        <v>416</v>
      </c>
      <c r="D3336" s="3" t="s">
        <v>63</v>
      </c>
      <c r="E3336" s="42"/>
      <c r="F3336" s="3" t="s">
        <v>683</v>
      </c>
      <c r="G3336" s="3" t="s">
        <v>368</v>
      </c>
      <c r="H3336" s="74">
        <v>3203009</v>
      </c>
      <c r="I3336" s="3" t="s">
        <v>697</v>
      </c>
      <c r="J3336" s="3" t="s">
        <v>448</v>
      </c>
      <c r="K3336" s="4">
        <v>3036808</v>
      </c>
    </row>
    <row r="3337" spans="2:13" x14ac:dyDescent="0.3">
      <c r="B3337" s="44">
        <v>46060</v>
      </c>
      <c r="C3337" s="3" t="s">
        <v>416</v>
      </c>
      <c r="D3337" s="3" t="s">
        <v>57</v>
      </c>
      <c r="E3337" s="42"/>
      <c r="F3337" s="32" t="s">
        <v>709</v>
      </c>
      <c r="G3337" s="32" t="s">
        <v>268</v>
      </c>
      <c r="H3337" s="15">
        <v>3203103</v>
      </c>
      <c r="I3337" s="4" t="s">
        <v>680</v>
      </c>
      <c r="J3337" s="4" t="s">
        <v>266</v>
      </c>
      <c r="K3337" s="4">
        <v>3208306</v>
      </c>
    </row>
    <row r="3338" spans="2:13" x14ac:dyDescent="0.3">
      <c r="B3338" s="44">
        <v>46060</v>
      </c>
      <c r="C3338" s="3" t="s">
        <v>416</v>
      </c>
      <c r="D3338" s="3" t="s">
        <v>488</v>
      </c>
      <c r="E3338" s="42"/>
      <c r="F3338" s="4" t="s">
        <v>684</v>
      </c>
      <c r="G3338" s="4" t="s">
        <v>121</v>
      </c>
      <c r="H3338" s="4">
        <v>3354309</v>
      </c>
      <c r="I3338" s="4" t="s">
        <v>697</v>
      </c>
      <c r="J3338" s="4" t="s">
        <v>122</v>
      </c>
      <c r="K3338" s="4">
        <v>3353800</v>
      </c>
    </row>
    <row r="3339" spans="2:13" x14ac:dyDescent="0.3">
      <c r="B3339" s="44">
        <v>46060</v>
      </c>
      <c r="C3339" s="3" t="s">
        <v>416</v>
      </c>
      <c r="D3339" s="3" t="s">
        <v>63</v>
      </c>
      <c r="E3339" s="42"/>
      <c r="F3339" s="3" t="s">
        <v>684</v>
      </c>
      <c r="G3339" s="3" t="s">
        <v>369</v>
      </c>
      <c r="H3339" s="74">
        <v>3202708</v>
      </c>
      <c r="I3339" s="104" t="s">
        <v>712</v>
      </c>
      <c r="J3339" s="104" t="s">
        <v>334</v>
      </c>
      <c r="K3339" s="74">
        <v>3198009</v>
      </c>
    </row>
    <row r="3340" spans="2:13" x14ac:dyDescent="0.3">
      <c r="B3340" s="44">
        <v>46060</v>
      </c>
      <c r="C3340" s="3" t="s">
        <v>416</v>
      </c>
      <c r="D3340" s="3" t="s">
        <v>66</v>
      </c>
      <c r="E3340" s="42"/>
      <c r="F3340" s="3" t="s">
        <v>684</v>
      </c>
      <c r="G3340" s="3" t="s">
        <v>608</v>
      </c>
      <c r="H3340" s="74">
        <v>3819107</v>
      </c>
      <c r="I3340" s="3" t="s">
        <v>703</v>
      </c>
      <c r="J3340" s="3" t="s">
        <v>606</v>
      </c>
      <c r="K3340" s="74" t="s">
        <v>588</v>
      </c>
    </row>
    <row r="3341" spans="2:13" x14ac:dyDescent="0.3">
      <c r="B3341" s="44">
        <v>46060</v>
      </c>
      <c r="C3341" s="3" t="s">
        <v>416</v>
      </c>
      <c r="D3341" s="3" t="s">
        <v>486</v>
      </c>
      <c r="E3341" s="42"/>
      <c r="F3341" s="4" t="s">
        <v>646</v>
      </c>
      <c r="G3341" s="4" t="s">
        <v>102</v>
      </c>
      <c r="H3341" s="4">
        <v>3125406</v>
      </c>
      <c r="I3341" s="4" t="s">
        <v>680</v>
      </c>
      <c r="J3341" s="4" t="s">
        <v>98</v>
      </c>
      <c r="K3341" s="4">
        <v>3358909</v>
      </c>
    </row>
    <row r="3342" spans="2:13" x14ac:dyDescent="0.3">
      <c r="B3342" s="44">
        <v>46060</v>
      </c>
      <c r="C3342" s="3" t="s">
        <v>416</v>
      </c>
      <c r="D3342" s="3" t="s">
        <v>492</v>
      </c>
      <c r="E3342" s="42"/>
      <c r="F3342" s="3" t="s">
        <v>646</v>
      </c>
      <c r="G3342" s="3" t="s">
        <v>159</v>
      </c>
      <c r="H3342" s="4">
        <v>3354403</v>
      </c>
      <c r="I3342" s="3" t="s">
        <v>714</v>
      </c>
      <c r="J3342" s="3" t="s">
        <v>162</v>
      </c>
      <c r="K3342" s="4">
        <v>3348903</v>
      </c>
    </row>
    <row r="3343" spans="2:13" x14ac:dyDescent="0.3">
      <c r="B3343" s="44">
        <v>46060</v>
      </c>
      <c r="C3343" s="3" t="s">
        <v>416</v>
      </c>
      <c r="D3343" s="3" t="s">
        <v>64</v>
      </c>
      <c r="E3343" s="42">
        <v>4370907</v>
      </c>
      <c r="F3343" s="3" t="s">
        <v>646</v>
      </c>
      <c r="G3343" s="3" t="s">
        <v>349</v>
      </c>
      <c r="H3343" s="4">
        <v>3202500</v>
      </c>
      <c r="I3343" s="4" t="s">
        <v>688</v>
      </c>
      <c r="J3343" s="4" t="s">
        <v>318</v>
      </c>
      <c r="K3343" s="4">
        <v>3037401</v>
      </c>
    </row>
    <row r="3344" spans="2:13" x14ac:dyDescent="0.3">
      <c r="B3344" s="44">
        <v>46060</v>
      </c>
      <c r="C3344" s="3" t="s">
        <v>416</v>
      </c>
      <c r="D3344" s="4" t="s">
        <v>614</v>
      </c>
      <c r="E3344" s="42"/>
      <c r="F3344" s="3" t="s">
        <v>646</v>
      </c>
      <c r="G3344" s="3" t="s">
        <v>380</v>
      </c>
      <c r="H3344" s="4">
        <v>3202208</v>
      </c>
      <c r="I3344" s="4" t="s">
        <v>710</v>
      </c>
      <c r="J3344" s="4" t="s">
        <v>385</v>
      </c>
      <c r="K3344" s="4">
        <v>3199602</v>
      </c>
    </row>
    <row r="3345" spans="2:11" x14ac:dyDescent="0.3">
      <c r="B3345" s="44">
        <v>46060</v>
      </c>
      <c r="C3345" s="3" t="s">
        <v>416</v>
      </c>
      <c r="D3345" s="3" t="s">
        <v>495</v>
      </c>
      <c r="E3345" s="42"/>
      <c r="F3345" s="3" t="s">
        <v>646</v>
      </c>
      <c r="G3345" s="3" t="s">
        <v>195</v>
      </c>
      <c r="H3345" s="74">
        <v>3361600</v>
      </c>
      <c r="I3345" s="3" t="s">
        <v>713</v>
      </c>
      <c r="J3345" s="3" t="s">
        <v>199</v>
      </c>
      <c r="K3345" s="4">
        <v>3349100</v>
      </c>
    </row>
    <row r="3346" spans="2:11" x14ac:dyDescent="0.3">
      <c r="B3346" s="44">
        <v>46060</v>
      </c>
      <c r="C3346" s="3" t="s">
        <v>416</v>
      </c>
      <c r="D3346" s="3" t="s">
        <v>66</v>
      </c>
      <c r="E3346" s="42"/>
      <c r="F3346" s="3" t="s">
        <v>696</v>
      </c>
      <c r="G3346" s="3" t="s">
        <v>609</v>
      </c>
      <c r="H3346" s="74">
        <v>3900401</v>
      </c>
      <c r="I3346" s="104" t="s">
        <v>680</v>
      </c>
      <c r="J3346" s="104" t="s">
        <v>603</v>
      </c>
      <c r="K3346" s="74">
        <v>3945400</v>
      </c>
    </row>
    <row r="3347" spans="2:11" x14ac:dyDescent="0.3">
      <c r="B3347" s="44">
        <v>46060</v>
      </c>
      <c r="C3347" s="3" t="s">
        <v>416</v>
      </c>
      <c r="D3347" s="3" t="s">
        <v>489</v>
      </c>
      <c r="E3347" s="4"/>
      <c r="F3347" s="3" t="s">
        <v>672</v>
      </c>
      <c r="G3347" s="3" t="s">
        <v>129</v>
      </c>
      <c r="H3347" s="4">
        <v>3067503</v>
      </c>
      <c r="I3347" s="3" t="s">
        <v>678</v>
      </c>
      <c r="J3347" s="3" t="s">
        <v>131</v>
      </c>
      <c r="K3347" s="4">
        <v>3350605</v>
      </c>
    </row>
    <row r="3348" spans="2:11" x14ac:dyDescent="0.3">
      <c r="B3348" s="44">
        <v>46060</v>
      </c>
      <c r="C3348" s="3" t="s">
        <v>416</v>
      </c>
      <c r="D3348" s="3" t="s">
        <v>56</v>
      </c>
      <c r="E3348" s="42"/>
      <c r="F3348" s="106" t="s">
        <v>672</v>
      </c>
      <c r="G3348" s="106" t="s">
        <v>252</v>
      </c>
      <c r="H3348" s="106">
        <v>3070204</v>
      </c>
      <c r="I3348" s="4" t="s">
        <v>471</v>
      </c>
      <c r="J3348" s="4" t="s">
        <v>441</v>
      </c>
      <c r="K3348" s="4">
        <v>3023409</v>
      </c>
    </row>
    <row r="3349" spans="2:11" x14ac:dyDescent="0.3">
      <c r="B3349" s="44">
        <v>46060</v>
      </c>
      <c r="C3349" s="3" t="s">
        <v>416</v>
      </c>
      <c r="D3349" s="3" t="s">
        <v>70</v>
      </c>
      <c r="E3349" s="42"/>
      <c r="F3349" s="3" t="s">
        <v>672</v>
      </c>
      <c r="G3349" s="3" t="s">
        <v>401</v>
      </c>
      <c r="H3349" s="4">
        <v>3202000</v>
      </c>
      <c r="I3349" s="3" t="s">
        <v>475</v>
      </c>
      <c r="J3349" s="3" t="s">
        <v>371</v>
      </c>
      <c r="K3349" s="53">
        <v>3212006</v>
      </c>
    </row>
    <row r="3350" spans="2:11" x14ac:dyDescent="0.3">
      <c r="B3350" s="44">
        <v>46060</v>
      </c>
      <c r="C3350" s="3" t="s">
        <v>416</v>
      </c>
      <c r="D3350" s="3" t="s">
        <v>491</v>
      </c>
      <c r="E3350" s="42"/>
      <c r="F3350" s="3" t="s">
        <v>697</v>
      </c>
      <c r="G3350" s="3" t="s">
        <v>150</v>
      </c>
      <c r="H3350" s="4">
        <v>3353706</v>
      </c>
      <c r="I3350" s="3" t="s">
        <v>684</v>
      </c>
      <c r="J3350" s="3" t="s">
        <v>149</v>
      </c>
      <c r="K3350" s="4">
        <v>3354507</v>
      </c>
    </row>
    <row r="3351" spans="2:11" x14ac:dyDescent="0.3">
      <c r="B3351" s="44">
        <v>46060</v>
      </c>
      <c r="C3351" s="3" t="s">
        <v>416</v>
      </c>
      <c r="D3351" s="3" t="s">
        <v>57</v>
      </c>
      <c r="E3351" s="42"/>
      <c r="F3351" s="53" t="s">
        <v>694</v>
      </c>
      <c r="G3351" s="53" t="s">
        <v>276</v>
      </c>
      <c r="H3351" s="74">
        <v>3201709</v>
      </c>
      <c r="I3351" s="4" t="s">
        <v>647</v>
      </c>
      <c r="J3351" s="4" t="s">
        <v>282</v>
      </c>
      <c r="K3351" s="4">
        <v>3193900</v>
      </c>
    </row>
    <row r="3352" spans="2:11" x14ac:dyDescent="0.3">
      <c r="B3352" s="44">
        <v>46060</v>
      </c>
      <c r="C3352" s="3" t="s">
        <v>416</v>
      </c>
      <c r="D3352" s="3" t="s">
        <v>494</v>
      </c>
      <c r="E3352" s="42"/>
      <c r="F3352" s="4" t="s">
        <v>694</v>
      </c>
      <c r="G3352" s="4" t="s">
        <v>188</v>
      </c>
      <c r="H3352" s="4">
        <v>3353508</v>
      </c>
      <c r="I3352" s="4" t="s">
        <v>662</v>
      </c>
      <c r="J3352" s="4" t="s">
        <v>242</v>
      </c>
      <c r="K3352" s="4">
        <v>3358107</v>
      </c>
    </row>
    <row r="3353" spans="2:11" x14ac:dyDescent="0.3">
      <c r="B3353" s="44">
        <v>46060</v>
      </c>
      <c r="C3353" s="3" t="s">
        <v>416</v>
      </c>
      <c r="D3353" s="3" t="s">
        <v>62</v>
      </c>
      <c r="E3353" s="42"/>
      <c r="F3353" s="4" t="s">
        <v>694</v>
      </c>
      <c r="G3353" s="4" t="s">
        <v>340</v>
      </c>
      <c r="H3353" s="4">
        <v>3201803</v>
      </c>
      <c r="I3353" s="4" t="s">
        <v>700</v>
      </c>
      <c r="J3353" s="4" t="s">
        <v>442</v>
      </c>
      <c r="K3353" s="4">
        <v>3205007</v>
      </c>
    </row>
    <row r="3354" spans="2:11" x14ac:dyDescent="0.3">
      <c r="B3354" s="44">
        <v>46060</v>
      </c>
      <c r="C3354" s="3" t="s">
        <v>416</v>
      </c>
      <c r="D3354" s="3" t="s">
        <v>494</v>
      </c>
      <c r="E3354" s="42"/>
      <c r="F3354" s="3" t="s">
        <v>694</v>
      </c>
      <c r="G3354" s="3" t="s">
        <v>221</v>
      </c>
      <c r="H3354" s="4">
        <v>3353404</v>
      </c>
      <c r="I3354" s="4" t="s">
        <v>472</v>
      </c>
      <c r="J3354" s="4" t="s">
        <v>185</v>
      </c>
      <c r="K3354" s="4">
        <v>3357806</v>
      </c>
    </row>
    <row r="3355" spans="2:11" x14ac:dyDescent="0.3">
      <c r="B3355" s="44">
        <v>46060</v>
      </c>
      <c r="C3355" s="3" t="s">
        <v>416</v>
      </c>
      <c r="D3355" s="3" t="s">
        <v>498</v>
      </c>
      <c r="E3355" s="42"/>
      <c r="F3355" s="3" t="s">
        <v>694</v>
      </c>
      <c r="G3355" s="3" t="s">
        <v>245</v>
      </c>
      <c r="H3355" s="4">
        <v>3352905</v>
      </c>
      <c r="I3355" s="3" t="s">
        <v>714</v>
      </c>
      <c r="J3355" s="3" t="s">
        <v>222</v>
      </c>
      <c r="K3355" s="4">
        <v>3348507</v>
      </c>
    </row>
    <row r="3356" spans="2:11" x14ac:dyDescent="0.3">
      <c r="B3356" s="44">
        <v>46060</v>
      </c>
      <c r="C3356" s="3" t="s">
        <v>416</v>
      </c>
      <c r="D3356" s="3" t="s">
        <v>59</v>
      </c>
      <c r="E3356" s="42"/>
      <c r="F3356" s="3" t="s">
        <v>655</v>
      </c>
      <c r="G3356" s="3" t="s">
        <v>288</v>
      </c>
      <c r="H3356" s="4">
        <v>3200908</v>
      </c>
      <c r="I3356" s="3" t="s">
        <v>653</v>
      </c>
      <c r="J3356" s="3" t="s">
        <v>272</v>
      </c>
      <c r="K3356" s="4">
        <v>3211205</v>
      </c>
    </row>
    <row r="3357" spans="2:11" x14ac:dyDescent="0.3">
      <c r="B3357" s="44">
        <v>46060</v>
      </c>
      <c r="C3357" s="3" t="s">
        <v>416</v>
      </c>
      <c r="D3357" s="3" t="s">
        <v>69</v>
      </c>
      <c r="E3357" s="42"/>
      <c r="F3357" s="3" t="s">
        <v>655</v>
      </c>
      <c r="G3357" s="3" t="s">
        <v>394</v>
      </c>
      <c r="H3357" s="4">
        <v>3201105</v>
      </c>
      <c r="I3357" s="3" t="s">
        <v>663</v>
      </c>
      <c r="J3357" s="3" t="s">
        <v>362</v>
      </c>
      <c r="K3357" s="4">
        <v>3197406</v>
      </c>
    </row>
    <row r="3358" spans="2:11" x14ac:dyDescent="0.3">
      <c r="B3358" s="44">
        <v>46060</v>
      </c>
      <c r="C3358" s="3" t="s">
        <v>416</v>
      </c>
      <c r="D3358" s="3" t="s">
        <v>610</v>
      </c>
      <c r="E3358" s="42"/>
      <c r="F3358" s="3" t="s">
        <v>711</v>
      </c>
      <c r="G3358" s="3" t="s">
        <v>381</v>
      </c>
      <c r="H3358" s="4">
        <v>3201209</v>
      </c>
      <c r="I3358" s="4" t="s">
        <v>474</v>
      </c>
      <c r="J3358" s="4" t="s">
        <v>458</v>
      </c>
      <c r="K3358" s="4">
        <v>3200304</v>
      </c>
    </row>
    <row r="3359" spans="2:11" x14ac:dyDescent="0.3">
      <c r="B3359" s="44">
        <v>46060</v>
      </c>
      <c r="C3359" s="3" t="s">
        <v>416</v>
      </c>
      <c r="D3359" s="3" t="s">
        <v>610</v>
      </c>
      <c r="E3359" s="42"/>
      <c r="F3359" s="3" t="s">
        <v>685</v>
      </c>
      <c r="G3359" s="3" t="s">
        <v>382</v>
      </c>
      <c r="H3359" s="4">
        <v>3200804</v>
      </c>
      <c r="I3359" s="4" t="s">
        <v>666</v>
      </c>
      <c r="J3359" s="4" t="s">
        <v>348</v>
      </c>
      <c r="K3359" s="4">
        <v>3205903</v>
      </c>
    </row>
    <row r="3360" spans="2:11" x14ac:dyDescent="0.3">
      <c r="B3360" s="44">
        <v>46060</v>
      </c>
      <c r="C3360" s="3" t="s">
        <v>416</v>
      </c>
      <c r="D3360" s="3" t="s">
        <v>495</v>
      </c>
      <c r="E3360" s="42"/>
      <c r="F3360" s="3" t="s">
        <v>685</v>
      </c>
      <c r="G3360" s="3" t="s">
        <v>197</v>
      </c>
      <c r="H3360" s="4">
        <v>3353300</v>
      </c>
      <c r="I3360" s="3" t="s">
        <v>666</v>
      </c>
      <c r="J3360" s="3" t="s">
        <v>192</v>
      </c>
      <c r="K3360" s="53">
        <v>3357004</v>
      </c>
    </row>
    <row r="3361" spans="1:43" x14ac:dyDescent="0.3">
      <c r="A3361" s="4"/>
      <c r="B3361" s="100">
        <v>46060</v>
      </c>
      <c r="C3361" s="98" t="s">
        <v>553</v>
      </c>
      <c r="D3361" s="4" t="s">
        <v>516</v>
      </c>
      <c r="E3361" s="4"/>
      <c r="F3361" s="73" t="s">
        <v>474</v>
      </c>
      <c r="G3361" s="73" t="s">
        <v>474</v>
      </c>
      <c r="H3361" s="73"/>
      <c r="I3361" s="73" t="s">
        <v>518</v>
      </c>
      <c r="J3361" s="73" t="s">
        <v>518</v>
      </c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</row>
    <row r="3362" spans="1:43" x14ac:dyDescent="0.3">
      <c r="B3362" s="44">
        <v>46060</v>
      </c>
      <c r="C3362" s="3" t="s">
        <v>416</v>
      </c>
      <c r="D3362" s="3" t="s">
        <v>56</v>
      </c>
      <c r="E3362" s="42"/>
      <c r="F3362" s="73" t="s">
        <v>474</v>
      </c>
      <c r="G3362" s="73" t="s">
        <v>253</v>
      </c>
      <c r="H3362" s="4">
        <v>3037109</v>
      </c>
      <c r="I3362" s="4" t="s">
        <v>696</v>
      </c>
      <c r="J3362" s="4" t="s">
        <v>261</v>
      </c>
      <c r="K3362" s="4">
        <v>3202302</v>
      </c>
    </row>
    <row r="3363" spans="1:43" x14ac:dyDescent="0.3">
      <c r="B3363" s="44">
        <v>46060</v>
      </c>
      <c r="C3363" s="3" t="s">
        <v>416</v>
      </c>
      <c r="D3363" s="3" t="s">
        <v>486</v>
      </c>
      <c r="E3363" s="42"/>
      <c r="F3363" s="3" t="s">
        <v>474</v>
      </c>
      <c r="G3363" s="3" t="s">
        <v>103</v>
      </c>
      <c r="H3363" s="4">
        <v>3353206</v>
      </c>
      <c r="I3363" s="4" t="s">
        <v>651</v>
      </c>
      <c r="J3363" s="4" t="s">
        <v>97</v>
      </c>
      <c r="K3363" s="4">
        <v>3362005</v>
      </c>
    </row>
    <row r="3364" spans="1:43" x14ac:dyDescent="0.3">
      <c r="B3364" s="44">
        <v>46060</v>
      </c>
      <c r="C3364" s="3" t="s">
        <v>416</v>
      </c>
      <c r="D3364" s="3" t="s">
        <v>590</v>
      </c>
      <c r="E3364" s="42"/>
      <c r="F3364" s="3" t="s">
        <v>474</v>
      </c>
      <c r="G3364" s="3" t="s">
        <v>317</v>
      </c>
      <c r="H3364" s="4">
        <v>3200700</v>
      </c>
      <c r="I3364" s="3" t="s">
        <v>471</v>
      </c>
      <c r="J3364" s="3" t="s">
        <v>291</v>
      </c>
      <c r="K3364" s="4">
        <v>3196709</v>
      </c>
    </row>
    <row r="3365" spans="1:43" x14ac:dyDescent="0.3">
      <c r="B3365" s="44">
        <v>46060</v>
      </c>
      <c r="C3365" s="3" t="s">
        <v>416</v>
      </c>
      <c r="D3365" s="3" t="s">
        <v>489</v>
      </c>
      <c r="E3365" s="4"/>
      <c r="F3365" s="4" t="s">
        <v>474</v>
      </c>
      <c r="G3365" s="4" t="s">
        <v>130</v>
      </c>
      <c r="H3365" s="4">
        <v>3352405</v>
      </c>
      <c r="I3365" s="4" t="s">
        <v>685</v>
      </c>
      <c r="J3365" s="4" t="s">
        <v>160</v>
      </c>
      <c r="K3365" s="4">
        <v>3353008</v>
      </c>
    </row>
    <row r="3366" spans="1:43" x14ac:dyDescent="0.3">
      <c r="B3366" s="44">
        <v>46060</v>
      </c>
      <c r="C3366" s="3" t="s">
        <v>416</v>
      </c>
      <c r="D3366" s="3" t="s">
        <v>68</v>
      </c>
      <c r="E3366" s="42"/>
      <c r="F3366" s="3" t="s">
        <v>474</v>
      </c>
      <c r="G3366" s="3" t="s">
        <v>383</v>
      </c>
      <c r="H3366" s="4">
        <v>3200502</v>
      </c>
      <c r="I3366" s="4" t="s">
        <v>652</v>
      </c>
      <c r="J3366" s="4" t="s">
        <v>625</v>
      </c>
      <c r="K3366" s="4">
        <v>3899803</v>
      </c>
    </row>
    <row r="3367" spans="1:43" x14ac:dyDescent="0.3">
      <c r="A3367" s="4"/>
      <c r="B3367" s="100">
        <v>46060</v>
      </c>
      <c r="C3367" s="98" t="s">
        <v>553</v>
      </c>
      <c r="D3367" s="4" t="s">
        <v>508</v>
      </c>
      <c r="E3367" s="4"/>
      <c r="F3367" s="73" t="s">
        <v>532</v>
      </c>
      <c r="G3367" s="73" t="s">
        <v>532</v>
      </c>
      <c r="H3367" s="73"/>
      <c r="I3367" s="73" t="s">
        <v>478</v>
      </c>
      <c r="J3367" s="73" t="s">
        <v>478</v>
      </c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</row>
    <row r="3368" spans="1:43" x14ac:dyDescent="0.3">
      <c r="B3368" s="44">
        <v>46060</v>
      </c>
      <c r="C3368" s="3" t="s">
        <v>416</v>
      </c>
      <c r="D3368" s="3" t="s">
        <v>610</v>
      </c>
      <c r="E3368" s="42"/>
      <c r="F3368" s="3" t="s">
        <v>714</v>
      </c>
      <c r="G3368" s="3" t="s">
        <v>352</v>
      </c>
      <c r="H3368" s="4">
        <v>3197208</v>
      </c>
      <c r="I3368" s="4" t="s">
        <v>646</v>
      </c>
      <c r="J3368" s="4" t="s">
        <v>350</v>
      </c>
      <c r="K3368" s="4">
        <v>3202802</v>
      </c>
    </row>
    <row r="3369" spans="1:43" x14ac:dyDescent="0.3">
      <c r="B3369" s="44">
        <v>46060</v>
      </c>
      <c r="C3369" s="3" t="s">
        <v>416</v>
      </c>
      <c r="D3369" s="4" t="s">
        <v>614</v>
      </c>
      <c r="E3369" s="42"/>
      <c r="F3369" s="3" t="s">
        <v>714</v>
      </c>
      <c r="G3369" s="3" t="s">
        <v>454</v>
      </c>
      <c r="H3369" s="4">
        <v>3820300</v>
      </c>
      <c r="I3369" s="4" t="s">
        <v>682</v>
      </c>
      <c r="J3369" s="4" t="s">
        <v>622</v>
      </c>
      <c r="K3369" s="4">
        <v>3969502</v>
      </c>
    </row>
    <row r="3370" spans="1:43" x14ac:dyDescent="0.3">
      <c r="B3370" s="44">
        <v>46060</v>
      </c>
      <c r="C3370" s="3" t="s">
        <v>416</v>
      </c>
      <c r="D3370" s="3" t="s">
        <v>590</v>
      </c>
      <c r="E3370" s="42"/>
      <c r="F3370" s="4" t="s">
        <v>650</v>
      </c>
      <c r="G3370" s="4" t="s">
        <v>277</v>
      </c>
      <c r="H3370" s="4">
        <v>3088400</v>
      </c>
      <c r="I3370" s="4" t="s">
        <v>472</v>
      </c>
      <c r="J3370" s="4" t="s">
        <v>315</v>
      </c>
      <c r="K3370" s="4">
        <v>3455307</v>
      </c>
    </row>
    <row r="3371" spans="1:43" x14ac:dyDescent="0.3">
      <c r="B3371" s="44">
        <v>46060</v>
      </c>
      <c r="C3371" s="3" t="s">
        <v>416</v>
      </c>
      <c r="D3371" s="3" t="s">
        <v>610</v>
      </c>
      <c r="E3371" s="42"/>
      <c r="F3371" s="3" t="s">
        <v>650</v>
      </c>
      <c r="G3371" s="3" t="s">
        <v>353</v>
      </c>
      <c r="H3371" s="4">
        <v>3200200</v>
      </c>
      <c r="I3371" s="4" t="s">
        <v>685</v>
      </c>
      <c r="J3371" s="4" t="s">
        <v>351</v>
      </c>
      <c r="K3371" s="4">
        <v>3201001</v>
      </c>
    </row>
    <row r="3372" spans="1:43" x14ac:dyDescent="0.3">
      <c r="B3372" s="44">
        <v>46060</v>
      </c>
      <c r="C3372" s="3" t="s">
        <v>416</v>
      </c>
      <c r="D3372" s="3" t="s">
        <v>499</v>
      </c>
      <c r="E3372" s="42"/>
      <c r="F3372" s="3" t="s">
        <v>650</v>
      </c>
      <c r="G3372" s="3" t="s">
        <v>571</v>
      </c>
      <c r="H3372" s="4">
        <v>3900505</v>
      </c>
      <c r="I3372" s="3" t="s">
        <v>651</v>
      </c>
      <c r="J3372" s="3" t="s">
        <v>226</v>
      </c>
      <c r="K3372" s="4">
        <v>3361902</v>
      </c>
      <c r="M3372" s="51"/>
    </row>
    <row r="3373" spans="1:43" x14ac:dyDescent="0.3">
      <c r="B3373" s="44">
        <v>46060</v>
      </c>
      <c r="C3373" s="3" t="s">
        <v>416</v>
      </c>
      <c r="D3373" s="3" t="s">
        <v>69</v>
      </c>
      <c r="E3373" s="42"/>
      <c r="F3373" s="3" t="s">
        <v>656</v>
      </c>
      <c r="G3373" s="3" t="s">
        <v>361</v>
      </c>
      <c r="H3373" s="4">
        <v>3200002</v>
      </c>
      <c r="I3373" s="3" t="s">
        <v>694</v>
      </c>
      <c r="J3373" s="3" t="s">
        <v>402</v>
      </c>
      <c r="K3373" s="4">
        <v>3201407</v>
      </c>
    </row>
    <row r="3374" spans="1:43" x14ac:dyDescent="0.3">
      <c r="B3374" s="44">
        <v>46060</v>
      </c>
      <c r="C3374" s="3" t="s">
        <v>416</v>
      </c>
      <c r="D3374" s="3" t="s">
        <v>59</v>
      </c>
      <c r="E3374" s="42"/>
      <c r="F3374" s="3" t="s">
        <v>710</v>
      </c>
      <c r="G3374" s="3" t="s">
        <v>279</v>
      </c>
      <c r="H3374" s="4">
        <v>3199706</v>
      </c>
      <c r="I3374" s="4" t="s">
        <v>476</v>
      </c>
      <c r="J3374" s="4" t="s">
        <v>274</v>
      </c>
      <c r="K3374" s="4">
        <v>3206902</v>
      </c>
    </row>
    <row r="3375" spans="1:43" x14ac:dyDescent="0.3">
      <c r="B3375" s="44">
        <v>46060</v>
      </c>
      <c r="C3375" s="3" t="s">
        <v>416</v>
      </c>
      <c r="D3375" s="3" t="s">
        <v>496</v>
      </c>
      <c r="E3375" s="42"/>
      <c r="F3375" s="3" t="s">
        <v>710</v>
      </c>
      <c r="G3375" s="3" t="s">
        <v>462</v>
      </c>
      <c r="H3375" s="4">
        <v>3352207</v>
      </c>
      <c r="I3375" s="3" t="s">
        <v>671</v>
      </c>
      <c r="J3375" s="3" t="s">
        <v>203</v>
      </c>
      <c r="K3375" s="4">
        <v>3359304</v>
      </c>
    </row>
    <row r="3376" spans="1:43" x14ac:dyDescent="0.3">
      <c r="B3376" s="44">
        <v>46060</v>
      </c>
      <c r="C3376" s="3" t="s">
        <v>416</v>
      </c>
      <c r="D3376" s="3" t="s">
        <v>499</v>
      </c>
      <c r="E3376" s="42"/>
      <c r="F3376" s="3" t="s">
        <v>710</v>
      </c>
      <c r="G3376" s="3" t="s">
        <v>230</v>
      </c>
      <c r="H3376" s="4">
        <v>3900609</v>
      </c>
      <c r="I3376" s="3" t="s">
        <v>671</v>
      </c>
      <c r="J3376" s="3" t="s">
        <v>228</v>
      </c>
      <c r="K3376" s="53">
        <v>3358607</v>
      </c>
      <c r="M3376" s="51"/>
    </row>
    <row r="3377" spans="2:11" x14ac:dyDescent="0.3">
      <c r="B3377" s="44">
        <v>46060</v>
      </c>
      <c r="C3377" s="3" t="s">
        <v>416</v>
      </c>
      <c r="D3377" s="3" t="s">
        <v>60</v>
      </c>
      <c r="E3377" s="42"/>
      <c r="F3377" s="3" t="s">
        <v>706</v>
      </c>
      <c r="G3377" s="3" t="s">
        <v>299</v>
      </c>
      <c r="H3377" s="4">
        <v>3199102</v>
      </c>
      <c r="I3377" s="3" t="s">
        <v>695</v>
      </c>
      <c r="J3377" s="3" t="s">
        <v>296</v>
      </c>
      <c r="K3377" s="4">
        <v>3203905</v>
      </c>
    </row>
    <row r="3378" spans="2:11" x14ac:dyDescent="0.3">
      <c r="B3378" s="44">
        <v>46060</v>
      </c>
      <c r="C3378" s="3" t="s">
        <v>416</v>
      </c>
      <c r="D3378" s="3" t="s">
        <v>504</v>
      </c>
      <c r="E3378" s="42"/>
      <c r="F3378" s="3" t="s">
        <v>645</v>
      </c>
      <c r="G3378" s="3" t="s">
        <v>37</v>
      </c>
      <c r="H3378" s="4">
        <v>3029903</v>
      </c>
      <c r="I3378" s="3" t="s">
        <v>662</v>
      </c>
      <c r="J3378" s="3" t="s">
        <v>99</v>
      </c>
      <c r="K3378" s="4">
        <v>3125604</v>
      </c>
    </row>
    <row r="3379" spans="2:11" x14ac:dyDescent="0.3">
      <c r="B3379" s="44">
        <v>46060</v>
      </c>
      <c r="C3379" s="3" t="s">
        <v>416</v>
      </c>
      <c r="D3379" s="3" t="s">
        <v>61</v>
      </c>
      <c r="E3379" s="42"/>
      <c r="F3379" s="4" t="s">
        <v>645</v>
      </c>
      <c r="G3379" s="4" t="s">
        <v>309</v>
      </c>
      <c r="H3379" s="4">
        <v>3082104</v>
      </c>
      <c r="I3379" s="4" t="s">
        <v>477</v>
      </c>
      <c r="J3379" s="4" t="s">
        <v>308</v>
      </c>
      <c r="K3379" s="4">
        <v>3199300</v>
      </c>
    </row>
    <row r="3380" spans="2:11" x14ac:dyDescent="0.3">
      <c r="B3380" s="44">
        <v>46060</v>
      </c>
      <c r="C3380" s="3" t="s">
        <v>416</v>
      </c>
      <c r="D3380" s="3" t="s">
        <v>487</v>
      </c>
      <c r="E3380" s="4"/>
      <c r="F3380" s="4" t="s">
        <v>645</v>
      </c>
      <c r="G3380" s="4" t="s">
        <v>114</v>
      </c>
      <c r="H3380" s="4">
        <v>3351000</v>
      </c>
      <c r="I3380" s="4" t="s">
        <v>471</v>
      </c>
      <c r="J3380" s="4" t="s">
        <v>133</v>
      </c>
      <c r="K3380" s="4">
        <v>3348705</v>
      </c>
    </row>
    <row r="3381" spans="2:11" x14ac:dyDescent="0.3">
      <c r="B3381" s="44">
        <v>46060</v>
      </c>
      <c r="C3381" s="3" t="s">
        <v>416</v>
      </c>
      <c r="D3381" s="3" t="s">
        <v>63</v>
      </c>
      <c r="E3381" s="42"/>
      <c r="F3381" s="104" t="s">
        <v>645</v>
      </c>
      <c r="G3381" s="104" t="s">
        <v>333</v>
      </c>
      <c r="H3381" s="74">
        <v>3198801</v>
      </c>
      <c r="I3381" s="3" t="s">
        <v>658</v>
      </c>
      <c r="J3381" s="3" t="s">
        <v>366</v>
      </c>
      <c r="K3381" s="74">
        <v>3210404</v>
      </c>
    </row>
    <row r="3382" spans="2:11" x14ac:dyDescent="0.3">
      <c r="B3382" s="44">
        <v>46060</v>
      </c>
      <c r="C3382" s="3" t="s">
        <v>416</v>
      </c>
      <c r="D3382" s="3" t="s">
        <v>488</v>
      </c>
      <c r="E3382" s="42"/>
      <c r="F3382" s="3" t="s">
        <v>645</v>
      </c>
      <c r="G3382" s="3" t="s">
        <v>123</v>
      </c>
      <c r="H3382" s="4">
        <v>3351104</v>
      </c>
      <c r="I3382" s="3" t="s">
        <v>703</v>
      </c>
      <c r="J3382" s="3" t="s">
        <v>560</v>
      </c>
      <c r="K3382" s="4" t="s">
        <v>562</v>
      </c>
    </row>
    <row r="3383" spans="2:11" x14ac:dyDescent="0.3">
      <c r="B3383" s="44">
        <v>46060</v>
      </c>
      <c r="C3383" s="3" t="s">
        <v>416</v>
      </c>
      <c r="D3383" s="3" t="s">
        <v>491</v>
      </c>
      <c r="E3383" s="42"/>
      <c r="F3383" s="3" t="s">
        <v>645</v>
      </c>
      <c r="G3383" s="3" t="s">
        <v>152</v>
      </c>
      <c r="H3383" s="4">
        <v>3351302</v>
      </c>
      <c r="I3383" s="104" t="s">
        <v>684</v>
      </c>
      <c r="J3383" s="104" t="s">
        <v>182</v>
      </c>
      <c r="K3383" s="53">
        <v>3900203</v>
      </c>
    </row>
    <row r="3384" spans="2:11" x14ac:dyDescent="0.3">
      <c r="B3384" s="44">
        <v>46060</v>
      </c>
      <c r="C3384" s="3" t="s">
        <v>416</v>
      </c>
      <c r="D3384" s="3" t="s">
        <v>496</v>
      </c>
      <c r="E3384" s="42"/>
      <c r="F3384" s="4" t="s">
        <v>716</v>
      </c>
      <c r="G3384" s="4" t="s">
        <v>427</v>
      </c>
      <c r="H3384" s="4">
        <v>3351500</v>
      </c>
      <c r="I3384" s="4" t="s">
        <v>474</v>
      </c>
      <c r="J3384" s="4" t="s">
        <v>426</v>
      </c>
      <c r="K3384" s="4">
        <v>3352603</v>
      </c>
    </row>
    <row r="3385" spans="2:11" x14ac:dyDescent="0.3">
      <c r="B3385" s="44">
        <v>46060</v>
      </c>
      <c r="C3385" s="3" t="s">
        <v>416</v>
      </c>
      <c r="D3385" s="3" t="s">
        <v>610</v>
      </c>
      <c r="E3385" s="42"/>
      <c r="F3385" s="3" t="s">
        <v>716</v>
      </c>
      <c r="G3385" s="3" t="s">
        <v>433</v>
      </c>
      <c r="H3385" s="4">
        <v>3198905</v>
      </c>
      <c r="I3385" s="4" t="s">
        <v>652</v>
      </c>
      <c r="J3385" s="4" t="s">
        <v>347</v>
      </c>
      <c r="K3385" s="4">
        <v>3818504</v>
      </c>
    </row>
    <row r="3386" spans="2:11" x14ac:dyDescent="0.3">
      <c r="B3386" s="44">
        <v>46060</v>
      </c>
      <c r="C3386" s="3" t="s">
        <v>416</v>
      </c>
      <c r="D3386" s="3" t="s">
        <v>497</v>
      </c>
      <c r="E3386" s="42"/>
      <c r="F3386" s="3" t="s">
        <v>678</v>
      </c>
      <c r="G3386" s="3" t="s">
        <v>172</v>
      </c>
      <c r="H3386" s="74">
        <v>3350709</v>
      </c>
      <c r="I3386" s="17" t="s">
        <v>653</v>
      </c>
      <c r="J3386" s="17" t="s">
        <v>208</v>
      </c>
      <c r="K3386" s="74">
        <v>3361308</v>
      </c>
    </row>
    <row r="3387" spans="2:11" x14ac:dyDescent="0.3">
      <c r="B3387" s="44">
        <v>46060</v>
      </c>
      <c r="C3387" s="3" t="s">
        <v>416</v>
      </c>
      <c r="D3387" s="3" t="s">
        <v>496</v>
      </c>
      <c r="E3387" s="42"/>
      <c r="F3387" s="3" t="s">
        <v>675</v>
      </c>
      <c r="G3387" s="3" t="s">
        <v>198</v>
      </c>
      <c r="H3387" s="4">
        <v>3350803</v>
      </c>
      <c r="I3387" s="3" t="s">
        <v>671</v>
      </c>
      <c r="J3387" s="3" t="s">
        <v>227</v>
      </c>
      <c r="K3387" s="4">
        <v>3359408</v>
      </c>
    </row>
    <row r="3388" spans="2:11" x14ac:dyDescent="0.3">
      <c r="B3388" s="44">
        <v>46060</v>
      </c>
      <c r="C3388" s="3" t="s">
        <v>416</v>
      </c>
      <c r="D3388" s="3" t="s">
        <v>590</v>
      </c>
      <c r="E3388" s="42"/>
      <c r="F3388" s="4" t="s">
        <v>691</v>
      </c>
      <c r="G3388" s="4" t="s">
        <v>289</v>
      </c>
      <c r="H3388" s="4">
        <v>3068804</v>
      </c>
      <c r="I3388" s="4" t="s">
        <v>479</v>
      </c>
      <c r="J3388" s="4" t="s">
        <v>284</v>
      </c>
      <c r="K3388" s="4">
        <v>3210904</v>
      </c>
    </row>
    <row r="3389" spans="2:11" x14ac:dyDescent="0.3">
      <c r="B3389" s="44">
        <v>46060</v>
      </c>
      <c r="C3389" s="3" t="s">
        <v>416</v>
      </c>
      <c r="D3389" s="3" t="s">
        <v>65</v>
      </c>
      <c r="E3389" s="42"/>
      <c r="F3389" s="15" t="s">
        <v>691</v>
      </c>
      <c r="G3389" s="15" t="s">
        <v>327</v>
      </c>
      <c r="H3389" s="74">
        <v>3198603</v>
      </c>
      <c r="I3389" s="4" t="s">
        <v>655</v>
      </c>
      <c r="J3389" s="4" t="s">
        <v>325</v>
      </c>
      <c r="K3389" s="4">
        <v>3201501</v>
      </c>
    </row>
    <row r="3390" spans="2:11" x14ac:dyDescent="0.3">
      <c r="B3390" s="44">
        <v>46060</v>
      </c>
      <c r="C3390" s="3" t="s">
        <v>416</v>
      </c>
      <c r="D3390" s="3" t="s">
        <v>500</v>
      </c>
      <c r="E3390" s="42"/>
      <c r="F3390" s="3" t="s">
        <v>691</v>
      </c>
      <c r="G3390" s="3" t="s">
        <v>238</v>
      </c>
      <c r="H3390" s="4">
        <v>3350105</v>
      </c>
      <c r="I3390" s="4" t="s">
        <v>654</v>
      </c>
      <c r="J3390" s="4" t="s">
        <v>576</v>
      </c>
      <c r="K3390" s="4">
        <v>4009003</v>
      </c>
    </row>
    <row r="3391" spans="2:11" x14ac:dyDescent="0.3">
      <c r="B3391" s="44">
        <v>46060</v>
      </c>
      <c r="C3391" s="3" t="s">
        <v>416</v>
      </c>
      <c r="D3391" s="3" t="s">
        <v>69</v>
      </c>
      <c r="E3391" s="42"/>
      <c r="F3391" s="3" t="s">
        <v>691</v>
      </c>
      <c r="G3391" s="3" t="s">
        <v>395</v>
      </c>
      <c r="H3391" s="4">
        <v>3197604</v>
      </c>
      <c r="I3391" s="3" t="s">
        <v>471</v>
      </c>
      <c r="J3391" s="3" t="s">
        <v>364</v>
      </c>
      <c r="K3391" s="4">
        <v>3197000</v>
      </c>
    </row>
    <row r="3392" spans="2:11" x14ac:dyDescent="0.3">
      <c r="B3392" s="44">
        <v>46060</v>
      </c>
      <c r="C3392" s="3" t="s">
        <v>416</v>
      </c>
      <c r="D3392" s="3" t="s">
        <v>494</v>
      </c>
      <c r="E3392" s="42"/>
      <c r="F3392" s="3" t="s">
        <v>689</v>
      </c>
      <c r="G3392" s="3" t="s">
        <v>189</v>
      </c>
      <c r="H3392" s="4">
        <v>3350209</v>
      </c>
      <c r="I3392" s="3" t="s">
        <v>475</v>
      </c>
      <c r="J3392" s="3" t="s">
        <v>183</v>
      </c>
      <c r="K3392" s="4">
        <v>3362901</v>
      </c>
    </row>
    <row r="3393" spans="1:43" x14ac:dyDescent="0.3">
      <c r="B3393" s="44">
        <v>46060</v>
      </c>
      <c r="C3393" s="3" t="s">
        <v>416</v>
      </c>
      <c r="D3393" s="3" t="s">
        <v>498</v>
      </c>
      <c r="E3393" s="42"/>
      <c r="F3393" s="3" t="s">
        <v>689</v>
      </c>
      <c r="G3393" s="3" t="s">
        <v>468</v>
      </c>
      <c r="H3393" s="4">
        <v>3349902</v>
      </c>
      <c r="I3393" s="3" t="s">
        <v>647</v>
      </c>
      <c r="J3393" s="3" t="s">
        <v>225</v>
      </c>
      <c r="K3393" s="4">
        <v>3345802</v>
      </c>
    </row>
    <row r="3394" spans="1:43" x14ac:dyDescent="0.3">
      <c r="B3394" s="44">
        <v>46060</v>
      </c>
      <c r="C3394" s="3" t="s">
        <v>416</v>
      </c>
      <c r="D3394" s="3" t="s">
        <v>501</v>
      </c>
      <c r="E3394" s="42"/>
      <c r="F3394" s="3" t="s">
        <v>689</v>
      </c>
      <c r="G3394" s="3" t="s">
        <v>581</v>
      </c>
      <c r="H3394" s="4">
        <v>4022804</v>
      </c>
      <c r="I3394" s="3" t="s">
        <v>717</v>
      </c>
      <c r="J3394" s="3" t="s">
        <v>583</v>
      </c>
      <c r="K3394" s="4">
        <v>4022908</v>
      </c>
      <c r="M3394" s="51"/>
    </row>
    <row r="3395" spans="1:43" x14ac:dyDescent="0.3">
      <c r="B3395" s="44">
        <v>46060</v>
      </c>
      <c r="C3395" s="3" t="s">
        <v>416</v>
      </c>
      <c r="D3395" s="3" t="s">
        <v>490</v>
      </c>
      <c r="E3395" s="4"/>
      <c r="F3395" s="3" t="s">
        <v>654</v>
      </c>
      <c r="G3395" s="3" t="s">
        <v>143</v>
      </c>
      <c r="H3395" s="4">
        <v>3349704</v>
      </c>
      <c r="I3395" s="4" t="s">
        <v>676</v>
      </c>
      <c r="J3395" s="4" t="s">
        <v>138</v>
      </c>
      <c r="K3395" s="4">
        <v>3067805</v>
      </c>
    </row>
    <row r="3396" spans="1:43" x14ac:dyDescent="0.3">
      <c r="B3396" s="44">
        <v>46060</v>
      </c>
      <c r="C3396" s="3" t="s">
        <v>416</v>
      </c>
      <c r="D3396" s="3" t="s">
        <v>497</v>
      </c>
      <c r="E3396" s="42"/>
      <c r="F3396" s="3" t="s">
        <v>654</v>
      </c>
      <c r="G3396" s="3" t="s">
        <v>438</v>
      </c>
      <c r="H3396" s="74">
        <v>3906207</v>
      </c>
      <c r="I3396" s="17" t="s">
        <v>691</v>
      </c>
      <c r="J3396" s="17" t="s">
        <v>215</v>
      </c>
      <c r="K3396" s="74">
        <v>3350407</v>
      </c>
    </row>
    <row r="3397" spans="1:43" x14ac:dyDescent="0.3">
      <c r="B3397" s="44">
        <v>46060</v>
      </c>
      <c r="C3397" s="3" t="s">
        <v>416</v>
      </c>
      <c r="D3397" s="3" t="s">
        <v>489</v>
      </c>
      <c r="E3397" s="4"/>
      <c r="F3397" s="4" t="s">
        <v>712</v>
      </c>
      <c r="G3397" s="4" t="s">
        <v>132</v>
      </c>
      <c r="H3397" s="4">
        <v>3068304</v>
      </c>
      <c r="I3397" s="4" t="s">
        <v>476</v>
      </c>
      <c r="J3397" s="4" t="s">
        <v>128</v>
      </c>
      <c r="K3397" s="4">
        <v>3357202</v>
      </c>
    </row>
    <row r="3398" spans="1:43" x14ac:dyDescent="0.3">
      <c r="B3398" s="44">
        <v>46060</v>
      </c>
      <c r="C3398" s="3" t="s">
        <v>416</v>
      </c>
      <c r="D3398" s="4" t="s">
        <v>614</v>
      </c>
      <c r="E3398" s="42"/>
      <c r="F3398" s="3" t="s">
        <v>713</v>
      </c>
      <c r="G3398" s="3" t="s">
        <v>386</v>
      </c>
      <c r="H3398" s="4">
        <v>3900807</v>
      </c>
      <c r="I3398" s="4" t="s">
        <v>675</v>
      </c>
      <c r="J3398" s="4" t="s">
        <v>403</v>
      </c>
      <c r="K3398" s="4">
        <v>3198509</v>
      </c>
    </row>
    <row r="3399" spans="1:43" x14ac:dyDescent="0.3">
      <c r="B3399" s="44">
        <v>46060</v>
      </c>
      <c r="C3399" s="3" t="s">
        <v>416</v>
      </c>
      <c r="D3399" s="3" t="s">
        <v>487</v>
      </c>
      <c r="E3399" s="4"/>
      <c r="F3399" s="3" t="s">
        <v>663</v>
      </c>
      <c r="G3399" s="3" t="s">
        <v>419</v>
      </c>
      <c r="H3399" s="4">
        <v>3349204</v>
      </c>
      <c r="I3399" s="3" t="s">
        <v>695</v>
      </c>
      <c r="J3399" s="3" t="s">
        <v>101</v>
      </c>
      <c r="K3399" s="4">
        <v>3067305</v>
      </c>
    </row>
    <row r="3400" spans="1:43" x14ac:dyDescent="0.3">
      <c r="B3400" s="44">
        <v>46060</v>
      </c>
      <c r="C3400" s="3" t="s">
        <v>416</v>
      </c>
      <c r="D3400" s="3" t="s">
        <v>65</v>
      </c>
      <c r="E3400" s="42"/>
      <c r="F3400" s="3" t="s">
        <v>663</v>
      </c>
      <c r="G3400" s="3" t="s">
        <v>290</v>
      </c>
      <c r="H3400" s="4">
        <v>3197500</v>
      </c>
      <c r="I3400" s="4" t="s">
        <v>656</v>
      </c>
      <c r="J3400" s="4" t="s">
        <v>326</v>
      </c>
      <c r="K3400" s="4">
        <v>3199904</v>
      </c>
    </row>
    <row r="3401" spans="1:43" x14ac:dyDescent="0.3">
      <c r="B3401" s="44">
        <v>46060</v>
      </c>
      <c r="C3401" s="3" t="s">
        <v>416</v>
      </c>
      <c r="D3401" s="3" t="s">
        <v>593</v>
      </c>
      <c r="E3401" s="42"/>
      <c r="F3401" s="3" t="s">
        <v>663</v>
      </c>
      <c r="G3401" s="3" t="s">
        <v>396</v>
      </c>
      <c r="H3401" s="4">
        <v>3197104</v>
      </c>
      <c r="I3401" s="4" t="s">
        <v>701</v>
      </c>
      <c r="J3401" s="4" t="s">
        <v>631</v>
      </c>
      <c r="K3401" s="4">
        <v>4023209</v>
      </c>
    </row>
    <row r="3402" spans="1:43" x14ac:dyDescent="0.3">
      <c r="A3402" s="4"/>
      <c r="B3402" s="100">
        <v>46060</v>
      </c>
      <c r="C3402" s="98" t="s">
        <v>553</v>
      </c>
      <c r="D3402" s="4" t="s">
        <v>521</v>
      </c>
      <c r="E3402" s="4"/>
      <c r="F3402" s="73" t="s">
        <v>471</v>
      </c>
      <c r="G3402" s="73" t="s">
        <v>471</v>
      </c>
      <c r="H3402" s="73"/>
      <c r="I3402" s="73" t="s">
        <v>536</v>
      </c>
      <c r="J3402" s="73" t="s">
        <v>536</v>
      </c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</row>
    <row r="3403" spans="1:43" x14ac:dyDescent="0.3">
      <c r="B3403" s="44">
        <v>46060</v>
      </c>
      <c r="C3403" s="3" t="s">
        <v>416</v>
      </c>
      <c r="D3403" s="3" t="s">
        <v>504</v>
      </c>
      <c r="E3403" s="42"/>
      <c r="F3403" s="3" t="s">
        <v>471</v>
      </c>
      <c r="G3403" s="3" t="s">
        <v>14</v>
      </c>
      <c r="H3403" s="4">
        <v>3348601</v>
      </c>
      <c r="I3403" s="3" t="s">
        <v>479</v>
      </c>
      <c r="J3403" s="3" t="s">
        <v>9</v>
      </c>
      <c r="K3403" s="4">
        <v>3033405</v>
      </c>
    </row>
    <row r="3404" spans="1:43" x14ac:dyDescent="0.3">
      <c r="B3404" s="44">
        <v>46060</v>
      </c>
      <c r="C3404" s="3" t="s">
        <v>416</v>
      </c>
      <c r="D3404" s="3" t="s">
        <v>493</v>
      </c>
      <c r="E3404" s="42"/>
      <c r="F3404" s="3" t="s">
        <v>471</v>
      </c>
      <c r="G3404" s="3" t="s">
        <v>174</v>
      </c>
      <c r="H3404" s="4">
        <v>3348101</v>
      </c>
      <c r="I3404" s="4" t="s">
        <v>663</v>
      </c>
      <c r="J3404" s="4" t="s">
        <v>173</v>
      </c>
      <c r="K3404" s="4">
        <v>3349308</v>
      </c>
    </row>
    <row r="3405" spans="1:43" x14ac:dyDescent="0.3">
      <c r="B3405" s="44">
        <v>46060</v>
      </c>
      <c r="C3405" s="3" t="s">
        <v>416</v>
      </c>
      <c r="D3405" s="3" t="s">
        <v>62</v>
      </c>
      <c r="E3405" s="42"/>
      <c r="F3405" s="3" t="s">
        <v>471</v>
      </c>
      <c r="G3405" s="3" t="s">
        <v>328</v>
      </c>
      <c r="H3405" s="4">
        <v>3196803</v>
      </c>
      <c r="I3405" s="3" t="s">
        <v>701</v>
      </c>
      <c r="J3405" s="3" t="s">
        <v>360</v>
      </c>
      <c r="K3405" s="4">
        <v>3203801</v>
      </c>
    </row>
    <row r="3406" spans="1:43" x14ac:dyDescent="0.3">
      <c r="B3406" s="44">
        <v>46060</v>
      </c>
      <c r="C3406" s="3" t="s">
        <v>416</v>
      </c>
      <c r="D3406" s="3" t="s">
        <v>65</v>
      </c>
      <c r="E3406" s="42"/>
      <c r="F3406" s="3" t="s">
        <v>471</v>
      </c>
      <c r="G3406" s="3" t="s">
        <v>363</v>
      </c>
      <c r="H3406" s="4">
        <v>3196907</v>
      </c>
      <c r="I3406" s="4" t="s">
        <v>479</v>
      </c>
      <c r="J3406" s="4" t="s">
        <v>320</v>
      </c>
      <c r="K3406" s="4">
        <v>3210602</v>
      </c>
    </row>
    <row r="3407" spans="1:43" x14ac:dyDescent="0.3">
      <c r="B3407" s="44">
        <v>46060</v>
      </c>
      <c r="C3407" s="3" t="s">
        <v>416</v>
      </c>
      <c r="D3407" s="3" t="s">
        <v>493</v>
      </c>
      <c r="E3407" s="42"/>
      <c r="F3407" s="3" t="s">
        <v>471</v>
      </c>
      <c r="G3407" s="3" t="s">
        <v>217</v>
      </c>
      <c r="H3407" s="4">
        <v>3348309</v>
      </c>
      <c r="I3407" s="4" t="s">
        <v>476</v>
      </c>
      <c r="J3407" s="4" t="s">
        <v>169</v>
      </c>
      <c r="K3407" s="4">
        <v>3356609</v>
      </c>
    </row>
    <row r="3408" spans="1:43" x14ac:dyDescent="0.3">
      <c r="B3408" s="44">
        <v>46060</v>
      </c>
      <c r="C3408" s="3" t="s">
        <v>416</v>
      </c>
      <c r="D3408" s="3" t="s">
        <v>500</v>
      </c>
      <c r="E3408" s="42"/>
      <c r="F3408" s="3" t="s">
        <v>471</v>
      </c>
      <c r="G3408" s="3" t="s">
        <v>467</v>
      </c>
      <c r="H3408" s="4">
        <v>3819409</v>
      </c>
      <c r="I3408" s="4" t="s">
        <v>672</v>
      </c>
      <c r="J3408" s="4" t="s">
        <v>187</v>
      </c>
      <c r="K3408" s="4">
        <v>3354101</v>
      </c>
    </row>
    <row r="3409" spans="1:43" x14ac:dyDescent="0.3">
      <c r="B3409" s="44">
        <v>46060</v>
      </c>
      <c r="C3409" s="3" t="s">
        <v>416</v>
      </c>
      <c r="D3409" s="3" t="s">
        <v>64</v>
      </c>
      <c r="E3409" s="42">
        <v>4370907</v>
      </c>
      <c r="F3409" s="3" t="s">
        <v>692</v>
      </c>
      <c r="G3409" s="3" t="s">
        <v>342</v>
      </c>
      <c r="H3409" s="4">
        <v>3196501</v>
      </c>
      <c r="I3409" s="4" t="s">
        <v>710</v>
      </c>
      <c r="J3409" s="4" t="s">
        <v>354</v>
      </c>
      <c r="K3409" s="4">
        <v>3199404</v>
      </c>
    </row>
    <row r="3410" spans="1:43" x14ac:dyDescent="0.3">
      <c r="B3410" s="44">
        <v>46060</v>
      </c>
      <c r="C3410" s="3" t="s">
        <v>416</v>
      </c>
      <c r="D3410" s="3" t="s">
        <v>491</v>
      </c>
      <c r="E3410" s="42"/>
      <c r="F3410" s="3" t="s">
        <v>698</v>
      </c>
      <c r="G3410" s="3" t="s">
        <v>567</v>
      </c>
      <c r="H3410" s="4" t="s">
        <v>556</v>
      </c>
      <c r="I3410" s="4" t="s">
        <v>680</v>
      </c>
      <c r="J3410" s="4" t="s">
        <v>177</v>
      </c>
      <c r="K3410" s="4">
        <v>3899709</v>
      </c>
    </row>
    <row r="3411" spans="1:43" x14ac:dyDescent="0.3">
      <c r="B3411" s="44">
        <v>46060</v>
      </c>
      <c r="C3411" s="3" t="s">
        <v>416</v>
      </c>
      <c r="D3411" s="3" t="s">
        <v>60</v>
      </c>
      <c r="E3411" s="42"/>
      <c r="F3411" s="3" t="s">
        <v>698</v>
      </c>
      <c r="G3411" s="3" t="s">
        <v>595</v>
      </c>
      <c r="H3411" s="4" t="s">
        <v>563</v>
      </c>
      <c r="I3411" s="3" t="s">
        <v>667</v>
      </c>
      <c r="J3411" s="3" t="s">
        <v>444</v>
      </c>
      <c r="K3411" s="32">
        <v>3209909</v>
      </c>
    </row>
    <row r="3412" spans="1:43" x14ac:dyDescent="0.3">
      <c r="B3412" s="44">
        <v>46060</v>
      </c>
      <c r="C3412" s="3" t="s">
        <v>416</v>
      </c>
      <c r="D3412" s="3" t="s">
        <v>495</v>
      </c>
      <c r="E3412" s="42"/>
      <c r="F3412" s="3" t="s">
        <v>699</v>
      </c>
      <c r="G3412" s="3" t="s">
        <v>569</v>
      </c>
      <c r="H3412" s="4">
        <v>3125708</v>
      </c>
      <c r="I3412" s="3" t="s">
        <v>712</v>
      </c>
      <c r="J3412" s="3" t="s">
        <v>164</v>
      </c>
      <c r="K3412" s="4">
        <v>3349402</v>
      </c>
    </row>
    <row r="3413" spans="1:43" x14ac:dyDescent="0.3">
      <c r="B3413" s="44">
        <v>46060</v>
      </c>
      <c r="C3413" s="3" t="s">
        <v>416</v>
      </c>
      <c r="D3413" s="3" t="s">
        <v>590</v>
      </c>
      <c r="E3413" s="42"/>
      <c r="F3413" s="3" t="s">
        <v>699</v>
      </c>
      <c r="G3413" s="3" t="s">
        <v>594</v>
      </c>
      <c r="H3413" s="4">
        <v>3196407</v>
      </c>
      <c r="I3413" s="4" t="s">
        <v>671</v>
      </c>
      <c r="J3413" s="4" t="s">
        <v>311</v>
      </c>
      <c r="K3413" s="4">
        <v>3209003</v>
      </c>
    </row>
    <row r="3414" spans="1:43" x14ac:dyDescent="0.3">
      <c r="B3414" s="44">
        <v>46060</v>
      </c>
      <c r="C3414" s="3" t="s">
        <v>416</v>
      </c>
      <c r="D3414" s="4" t="s">
        <v>614</v>
      </c>
      <c r="E3414" s="42"/>
      <c r="F3414" s="3" t="s">
        <v>699</v>
      </c>
      <c r="G3414" s="3" t="s">
        <v>624</v>
      </c>
      <c r="H3414" s="4">
        <v>3196105</v>
      </c>
      <c r="I3414" s="4" t="s">
        <v>713</v>
      </c>
      <c r="J3414" s="4" t="s">
        <v>623</v>
      </c>
      <c r="K3414" s="4">
        <v>3819305</v>
      </c>
    </row>
    <row r="3415" spans="1:43" x14ac:dyDescent="0.3">
      <c r="B3415" s="44">
        <v>46060</v>
      </c>
      <c r="C3415" s="3" t="s">
        <v>416</v>
      </c>
      <c r="D3415" s="3" t="s">
        <v>486</v>
      </c>
      <c r="E3415" s="42"/>
      <c r="F3415" s="3" t="s">
        <v>681</v>
      </c>
      <c r="G3415" s="3" t="s">
        <v>105</v>
      </c>
      <c r="H3415" s="4">
        <v>3035809</v>
      </c>
      <c r="I3415" s="3" t="s">
        <v>673</v>
      </c>
      <c r="J3415" s="3" t="s">
        <v>106</v>
      </c>
      <c r="K3415" s="4">
        <v>3067607</v>
      </c>
    </row>
    <row r="3416" spans="1:43" x14ac:dyDescent="0.3">
      <c r="B3416" s="44">
        <v>46060</v>
      </c>
      <c r="C3416" s="3" t="s">
        <v>416</v>
      </c>
      <c r="D3416" s="3" t="s">
        <v>497</v>
      </c>
      <c r="E3416" s="42"/>
      <c r="F3416" s="3" t="s">
        <v>681</v>
      </c>
      <c r="G3416" s="3" t="s">
        <v>175</v>
      </c>
      <c r="H3416" s="74">
        <v>3347800</v>
      </c>
      <c r="I3416" s="17" t="s">
        <v>480</v>
      </c>
      <c r="J3416" s="17" t="s">
        <v>428</v>
      </c>
      <c r="K3416" s="74">
        <v>3360309</v>
      </c>
    </row>
    <row r="3417" spans="1:43" x14ac:dyDescent="0.3">
      <c r="B3417" s="44">
        <v>46060</v>
      </c>
      <c r="C3417" s="3" t="s">
        <v>416</v>
      </c>
      <c r="D3417" s="3" t="s">
        <v>69</v>
      </c>
      <c r="E3417" s="42"/>
      <c r="F3417" s="3" t="s">
        <v>681</v>
      </c>
      <c r="G3417" s="3" t="s">
        <v>365</v>
      </c>
      <c r="H3417" s="4">
        <v>3195804</v>
      </c>
      <c r="I3417" s="3" t="s">
        <v>479</v>
      </c>
      <c r="J3417" s="3" t="s">
        <v>392</v>
      </c>
      <c r="K3417" s="53">
        <v>3210706</v>
      </c>
    </row>
    <row r="3418" spans="1:43" x14ac:dyDescent="0.3">
      <c r="B3418" s="44">
        <v>46060</v>
      </c>
      <c r="C3418" s="3" t="s">
        <v>416</v>
      </c>
      <c r="D3418" s="3" t="s">
        <v>593</v>
      </c>
      <c r="E3418" s="42"/>
      <c r="F3418" s="3" t="s">
        <v>681</v>
      </c>
      <c r="G3418" s="3" t="s">
        <v>397</v>
      </c>
      <c r="H3418" s="4">
        <v>3195908</v>
      </c>
      <c r="I3418" s="4" t="s">
        <v>694</v>
      </c>
      <c r="J3418" s="4" t="s">
        <v>632</v>
      </c>
      <c r="K3418" s="4">
        <v>4023303</v>
      </c>
    </row>
    <row r="3419" spans="1:43" x14ac:dyDescent="0.3">
      <c r="A3419" s="4"/>
      <c r="B3419" s="100">
        <v>46060</v>
      </c>
      <c r="C3419" s="98" t="s">
        <v>553</v>
      </c>
      <c r="D3419" s="4" t="s">
        <v>508</v>
      </c>
      <c r="E3419" s="4"/>
      <c r="F3419" s="73" t="s">
        <v>509</v>
      </c>
      <c r="G3419" s="73" t="s">
        <v>509</v>
      </c>
      <c r="H3419" s="73"/>
      <c r="I3419" s="73" t="s">
        <v>476</v>
      </c>
      <c r="J3419" s="73" t="s">
        <v>476</v>
      </c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</row>
    <row r="3420" spans="1:43" x14ac:dyDescent="0.3">
      <c r="B3420" s="44">
        <v>46060</v>
      </c>
      <c r="C3420" s="3" t="s">
        <v>416</v>
      </c>
      <c r="D3420" s="3" t="s">
        <v>64</v>
      </c>
      <c r="E3420" s="42">
        <v>4370907</v>
      </c>
      <c r="F3420" s="3" t="s">
        <v>670</v>
      </c>
      <c r="G3420" s="3" t="s">
        <v>343</v>
      </c>
      <c r="H3420" s="4">
        <v>3195606</v>
      </c>
      <c r="I3420" s="4" t="s">
        <v>662</v>
      </c>
      <c r="J3420" s="4" t="s">
        <v>372</v>
      </c>
      <c r="K3420" s="4">
        <v>3207703</v>
      </c>
    </row>
    <row r="3421" spans="1:43" x14ac:dyDescent="0.3">
      <c r="B3421" s="44">
        <v>46060</v>
      </c>
      <c r="C3421" s="3" t="s">
        <v>416</v>
      </c>
      <c r="D3421" s="3" t="s">
        <v>495</v>
      </c>
      <c r="E3421" s="42"/>
      <c r="F3421" s="3" t="s">
        <v>670</v>
      </c>
      <c r="G3421" s="3" t="s">
        <v>224</v>
      </c>
      <c r="H3421" s="4">
        <v>3347008</v>
      </c>
      <c r="I3421" s="3" t="s">
        <v>570</v>
      </c>
      <c r="J3421" s="3" t="s">
        <v>570</v>
      </c>
      <c r="K3421" s="4" t="s">
        <v>556</v>
      </c>
    </row>
    <row r="3422" spans="1:43" x14ac:dyDescent="0.3">
      <c r="B3422" s="44">
        <v>46060</v>
      </c>
      <c r="C3422" s="3" t="s">
        <v>416</v>
      </c>
      <c r="D3422" s="3" t="s">
        <v>64</v>
      </c>
      <c r="E3422" s="42">
        <v>4370907</v>
      </c>
      <c r="F3422" s="3" t="s">
        <v>673</v>
      </c>
      <c r="G3422" s="3" t="s">
        <v>355</v>
      </c>
      <c r="H3422" s="4">
        <v>3195002</v>
      </c>
      <c r="I3422" s="4" t="s">
        <v>717</v>
      </c>
      <c r="J3422" s="4" t="s">
        <v>432</v>
      </c>
      <c r="K3422" s="4">
        <v>3195106</v>
      </c>
    </row>
    <row r="3423" spans="1:43" x14ac:dyDescent="0.3">
      <c r="B3423" s="44">
        <v>46060</v>
      </c>
      <c r="C3423" s="3" t="s">
        <v>416</v>
      </c>
      <c r="D3423" s="4" t="s">
        <v>614</v>
      </c>
      <c r="E3423" s="42"/>
      <c r="F3423" s="3" t="s">
        <v>673</v>
      </c>
      <c r="G3423" s="3" t="s">
        <v>455</v>
      </c>
      <c r="H3423" s="4">
        <v>3961604</v>
      </c>
      <c r="I3423" s="4" t="s">
        <v>674</v>
      </c>
      <c r="J3423" s="4" t="s">
        <v>346</v>
      </c>
      <c r="K3423" s="4">
        <v>3208900</v>
      </c>
    </row>
    <row r="3424" spans="1:43" x14ac:dyDescent="0.3">
      <c r="B3424" s="44">
        <v>46060</v>
      </c>
      <c r="C3424" s="3" t="s">
        <v>416</v>
      </c>
      <c r="D3424" s="3" t="s">
        <v>498</v>
      </c>
      <c r="E3424" s="42"/>
      <c r="F3424" s="3" t="s">
        <v>717</v>
      </c>
      <c r="G3424" s="3" t="s">
        <v>429</v>
      </c>
      <c r="H3424" s="4">
        <v>3346905</v>
      </c>
      <c r="I3424" s="3" t="s">
        <v>692</v>
      </c>
      <c r="J3424" s="3" t="s">
        <v>223</v>
      </c>
      <c r="K3424" s="4">
        <v>3348007</v>
      </c>
    </row>
    <row r="3425" spans="1:43" x14ac:dyDescent="0.3">
      <c r="B3425" s="44">
        <v>46060</v>
      </c>
      <c r="C3425" s="3" t="s">
        <v>416</v>
      </c>
      <c r="D3425" s="3" t="s">
        <v>67</v>
      </c>
      <c r="E3425" s="42"/>
      <c r="F3425" s="3" t="s">
        <v>717</v>
      </c>
      <c r="G3425" s="3" t="s">
        <v>435</v>
      </c>
      <c r="H3425" s="4">
        <v>3195200</v>
      </c>
      <c r="I3425" s="4" t="s">
        <v>715</v>
      </c>
      <c r="J3425" s="4" t="s">
        <v>377</v>
      </c>
      <c r="K3425" s="4">
        <v>3200106</v>
      </c>
    </row>
    <row r="3426" spans="1:43" x14ac:dyDescent="0.3">
      <c r="B3426" s="44">
        <v>46060</v>
      </c>
      <c r="C3426" s="3" t="s">
        <v>416</v>
      </c>
      <c r="D3426" s="3" t="s">
        <v>70</v>
      </c>
      <c r="E3426" s="42"/>
      <c r="F3426" s="3" t="s">
        <v>717</v>
      </c>
      <c r="G3426" s="3" t="s">
        <v>434</v>
      </c>
      <c r="H3426" s="4">
        <v>3195408</v>
      </c>
      <c r="I3426" s="3" t="s">
        <v>692</v>
      </c>
      <c r="J3426" s="3" t="s">
        <v>378</v>
      </c>
      <c r="K3426" s="4">
        <v>3197802</v>
      </c>
    </row>
    <row r="3427" spans="1:43" x14ac:dyDescent="0.3">
      <c r="B3427" s="44">
        <v>46060</v>
      </c>
      <c r="C3427" s="3" t="s">
        <v>416</v>
      </c>
      <c r="D3427" s="3" t="s">
        <v>489</v>
      </c>
      <c r="E3427" s="4"/>
      <c r="F3427" s="4" t="s">
        <v>679</v>
      </c>
      <c r="G3427" s="4" t="s">
        <v>135</v>
      </c>
      <c r="H3427" s="4">
        <v>3346603</v>
      </c>
      <c r="I3427" s="4" t="s">
        <v>682</v>
      </c>
      <c r="J3427" s="4" t="s">
        <v>564</v>
      </c>
      <c r="K3427" s="4">
        <v>3969804</v>
      </c>
    </row>
    <row r="3428" spans="1:43" x14ac:dyDescent="0.3">
      <c r="B3428" s="44">
        <v>46060</v>
      </c>
      <c r="C3428" s="3" t="s">
        <v>416</v>
      </c>
      <c r="D3428" s="3" t="s">
        <v>593</v>
      </c>
      <c r="E3428" s="42"/>
      <c r="F3428" s="3" t="s">
        <v>679</v>
      </c>
      <c r="G3428" s="3" t="s">
        <v>633</v>
      </c>
      <c r="H3428" s="4">
        <v>3194607</v>
      </c>
      <c r="I3428" s="4" t="s">
        <v>653</v>
      </c>
      <c r="J3428" s="4" t="s">
        <v>459</v>
      </c>
      <c r="K3428" s="4">
        <v>3211101</v>
      </c>
    </row>
    <row r="3429" spans="1:43" x14ac:dyDescent="0.3">
      <c r="B3429" s="44">
        <v>46060</v>
      </c>
      <c r="C3429" s="3" t="s">
        <v>416</v>
      </c>
      <c r="D3429" s="3" t="s">
        <v>58</v>
      </c>
      <c r="E3429" s="42"/>
      <c r="F3429" s="3" t="s">
        <v>721</v>
      </c>
      <c r="G3429" s="3" t="s">
        <v>271</v>
      </c>
      <c r="H3429" s="4">
        <v>3194701</v>
      </c>
      <c r="I3429" s="3" t="s">
        <v>683</v>
      </c>
      <c r="J3429" s="3" t="s">
        <v>305</v>
      </c>
      <c r="K3429" s="32">
        <v>3202906</v>
      </c>
    </row>
    <row r="3430" spans="1:43" x14ac:dyDescent="0.3">
      <c r="B3430" s="44">
        <v>46060</v>
      </c>
      <c r="C3430" s="3" t="s">
        <v>416</v>
      </c>
      <c r="D3430" s="3" t="s">
        <v>60</v>
      </c>
      <c r="E3430" s="42"/>
      <c r="F3430" s="3" t="s">
        <v>721</v>
      </c>
      <c r="G3430" s="3" t="s">
        <v>300</v>
      </c>
      <c r="H3430" s="4">
        <v>3194805</v>
      </c>
      <c r="I3430" s="3" t="s">
        <v>473</v>
      </c>
      <c r="J3430" s="3" t="s">
        <v>446</v>
      </c>
      <c r="K3430" s="32">
        <v>3204206</v>
      </c>
    </row>
    <row r="3431" spans="1:43" x14ac:dyDescent="0.3">
      <c r="B3431" s="44">
        <v>46060</v>
      </c>
      <c r="C3431" s="3" t="s">
        <v>416</v>
      </c>
      <c r="D3431" s="3" t="s">
        <v>56</v>
      </c>
      <c r="E3431" s="42"/>
      <c r="F3431" s="4" t="s">
        <v>688</v>
      </c>
      <c r="G3431" s="4" t="s">
        <v>264</v>
      </c>
      <c r="H3431" s="4">
        <v>3055603</v>
      </c>
      <c r="I3431" s="4" t="s">
        <v>472</v>
      </c>
      <c r="J3431" s="4" t="s">
        <v>248</v>
      </c>
      <c r="K3431" s="4">
        <v>3207609</v>
      </c>
    </row>
    <row r="3432" spans="1:43" x14ac:dyDescent="0.3">
      <c r="B3432" s="44">
        <v>46060</v>
      </c>
      <c r="C3432" s="3" t="s">
        <v>416</v>
      </c>
      <c r="D3432" s="3" t="s">
        <v>67</v>
      </c>
      <c r="E3432" s="42"/>
      <c r="F3432" s="3" t="s">
        <v>688</v>
      </c>
      <c r="G3432" s="3" t="s">
        <v>344</v>
      </c>
      <c r="H3432" s="4">
        <v>3194909</v>
      </c>
      <c r="I3432" s="4" t="s">
        <v>472</v>
      </c>
      <c r="J3432" s="4" t="s">
        <v>338</v>
      </c>
      <c r="K3432" s="4">
        <v>3207307</v>
      </c>
    </row>
    <row r="3433" spans="1:43" x14ac:dyDescent="0.3">
      <c r="B3433" s="44">
        <v>46060</v>
      </c>
      <c r="C3433" s="3" t="s">
        <v>416</v>
      </c>
      <c r="D3433" s="3" t="s">
        <v>70</v>
      </c>
      <c r="E3433" s="42"/>
      <c r="F3433" s="3" t="s">
        <v>688</v>
      </c>
      <c r="G3433" s="3" t="s">
        <v>379</v>
      </c>
      <c r="H3433" s="4">
        <v>3194409</v>
      </c>
      <c r="I3433" s="3" t="s">
        <v>662</v>
      </c>
      <c r="J3433" s="3" t="s">
        <v>399</v>
      </c>
      <c r="K3433" s="4">
        <v>3207401</v>
      </c>
    </row>
    <row r="3434" spans="1:43" x14ac:dyDescent="0.3">
      <c r="B3434" s="44">
        <v>46060</v>
      </c>
      <c r="C3434" s="3" t="s">
        <v>416</v>
      </c>
      <c r="D3434" s="3" t="s">
        <v>70</v>
      </c>
      <c r="E3434" s="42"/>
      <c r="F3434" s="3" t="s">
        <v>688</v>
      </c>
      <c r="G3434" s="3" t="s">
        <v>460</v>
      </c>
      <c r="H3434" s="4">
        <v>3194503</v>
      </c>
      <c r="I3434" s="3" t="s">
        <v>472</v>
      </c>
      <c r="J3434" s="3" t="s">
        <v>400</v>
      </c>
      <c r="K3434" s="4">
        <v>3818608</v>
      </c>
    </row>
    <row r="3435" spans="1:43" x14ac:dyDescent="0.3">
      <c r="B3435" s="44">
        <v>46060</v>
      </c>
      <c r="C3435" s="3" t="s">
        <v>416</v>
      </c>
      <c r="D3435" s="3" t="s">
        <v>487</v>
      </c>
      <c r="E3435" s="4"/>
      <c r="F3435" s="3" t="s">
        <v>647</v>
      </c>
      <c r="G3435" s="3" t="s">
        <v>116</v>
      </c>
      <c r="H3435" s="4">
        <v>3346009</v>
      </c>
      <c r="I3435" s="3" t="s">
        <v>709</v>
      </c>
      <c r="J3435" s="3" t="s">
        <v>111</v>
      </c>
      <c r="K3435" s="4">
        <v>3354601</v>
      </c>
    </row>
    <row r="3436" spans="1:43" x14ac:dyDescent="0.3">
      <c r="B3436" s="44">
        <v>46060</v>
      </c>
      <c r="C3436" s="3" t="s">
        <v>416</v>
      </c>
      <c r="D3436" s="3" t="s">
        <v>67</v>
      </c>
      <c r="E3436" s="42"/>
      <c r="F3436" s="3" t="s">
        <v>647</v>
      </c>
      <c r="G3436" s="3" t="s">
        <v>345</v>
      </c>
      <c r="H3436" s="4">
        <v>3194003</v>
      </c>
      <c r="I3436" s="3" t="s">
        <v>672</v>
      </c>
      <c r="J3436" s="3" t="s">
        <v>375</v>
      </c>
      <c r="K3436" s="4">
        <v>3069209</v>
      </c>
    </row>
    <row r="3437" spans="1:43" x14ac:dyDescent="0.3">
      <c r="B3437" s="44">
        <v>46060</v>
      </c>
      <c r="C3437" s="3" t="s">
        <v>416</v>
      </c>
      <c r="D3437" s="3" t="s">
        <v>68</v>
      </c>
      <c r="E3437" s="42"/>
      <c r="F3437" s="3" t="s">
        <v>687</v>
      </c>
      <c r="G3437" s="3" t="s">
        <v>391</v>
      </c>
      <c r="H3437" s="4">
        <v>3193806</v>
      </c>
      <c r="I3437" s="4" t="s">
        <v>650</v>
      </c>
      <c r="J3437" s="4" t="s">
        <v>390</v>
      </c>
      <c r="K3437" s="4">
        <v>3544509</v>
      </c>
    </row>
    <row r="3438" spans="1:43" x14ac:dyDescent="0.3">
      <c r="B3438" s="44">
        <v>46060</v>
      </c>
      <c r="C3438" s="3" t="s">
        <v>416</v>
      </c>
      <c r="D3438" s="3" t="s">
        <v>499</v>
      </c>
      <c r="E3438" s="42"/>
      <c r="F3438" s="3" t="s">
        <v>687</v>
      </c>
      <c r="G3438" s="3" t="s">
        <v>231</v>
      </c>
      <c r="H3438" s="4">
        <v>3819503</v>
      </c>
      <c r="I3438" s="3" t="s">
        <v>675</v>
      </c>
      <c r="J3438" s="3" t="s">
        <v>572</v>
      </c>
      <c r="K3438" s="53">
        <v>3350303</v>
      </c>
      <c r="M3438" s="51"/>
    </row>
    <row r="3439" spans="1:43" x14ac:dyDescent="0.3">
      <c r="A3439" s="4"/>
      <c r="B3439" s="100">
        <v>46074</v>
      </c>
      <c r="C3439" s="98" t="s">
        <v>553</v>
      </c>
      <c r="D3439" s="4" t="s">
        <v>508</v>
      </c>
      <c r="E3439" s="4"/>
      <c r="F3439" s="73" t="s">
        <v>475</v>
      </c>
      <c r="G3439" s="73" t="s">
        <v>475</v>
      </c>
      <c r="H3439" s="73"/>
      <c r="I3439" s="73" t="s">
        <v>534</v>
      </c>
      <c r="J3439" s="73" t="s">
        <v>524</v>
      </c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</row>
    <row r="3440" spans="1:43" x14ac:dyDescent="0.3">
      <c r="B3440" s="44">
        <v>46074</v>
      </c>
      <c r="C3440" s="3" t="s">
        <v>416</v>
      </c>
      <c r="D3440" s="3" t="s">
        <v>490</v>
      </c>
      <c r="E3440" s="4"/>
      <c r="F3440" s="3" t="s">
        <v>475</v>
      </c>
      <c r="G3440" s="3" t="s">
        <v>125</v>
      </c>
      <c r="H3440" s="4">
        <v>3362807</v>
      </c>
      <c r="I3440" s="4" t="s">
        <v>654</v>
      </c>
      <c r="J3440" s="4" t="s">
        <v>143</v>
      </c>
      <c r="K3440" s="4">
        <v>3349704</v>
      </c>
    </row>
    <row r="3441" spans="2:11" x14ac:dyDescent="0.3">
      <c r="B3441" s="44">
        <v>46074</v>
      </c>
      <c r="C3441" s="3" t="s">
        <v>416</v>
      </c>
      <c r="D3441" s="3" t="s">
        <v>64</v>
      </c>
      <c r="E3441" s="42">
        <v>4370907</v>
      </c>
      <c r="F3441" s="3" t="s">
        <v>475</v>
      </c>
      <c r="G3441" s="3" t="s">
        <v>310</v>
      </c>
      <c r="H3441" s="4">
        <v>3212402</v>
      </c>
      <c r="I3441" s="4" t="s">
        <v>669</v>
      </c>
      <c r="J3441" s="4" t="s">
        <v>337</v>
      </c>
      <c r="K3441" s="4">
        <v>3209305</v>
      </c>
    </row>
    <row r="3442" spans="2:11" x14ac:dyDescent="0.3">
      <c r="B3442" s="44">
        <v>46074</v>
      </c>
      <c r="C3442" s="3" t="s">
        <v>416</v>
      </c>
      <c r="D3442" s="3" t="s">
        <v>494</v>
      </c>
      <c r="E3442" s="42"/>
      <c r="F3442" s="3" t="s">
        <v>475</v>
      </c>
      <c r="G3442" s="3" t="s">
        <v>183</v>
      </c>
      <c r="H3442" s="4">
        <v>3362901</v>
      </c>
      <c r="I3442" s="4" t="s">
        <v>472</v>
      </c>
      <c r="J3442" s="4" t="s">
        <v>186</v>
      </c>
      <c r="K3442" s="4">
        <v>3357702</v>
      </c>
    </row>
    <row r="3443" spans="2:11" x14ac:dyDescent="0.3">
      <c r="B3443" s="44">
        <v>46074</v>
      </c>
      <c r="C3443" s="3" t="s">
        <v>416</v>
      </c>
      <c r="D3443" s="3" t="s">
        <v>60</v>
      </c>
      <c r="E3443" s="42"/>
      <c r="F3443" s="32" t="s">
        <v>705</v>
      </c>
      <c r="G3443" s="32" t="s">
        <v>293</v>
      </c>
      <c r="H3443" s="15">
        <v>3211705</v>
      </c>
      <c r="I3443" s="3" t="s">
        <v>707</v>
      </c>
      <c r="J3443" s="3" t="s">
        <v>295</v>
      </c>
      <c r="K3443" s="32">
        <v>3207505</v>
      </c>
    </row>
    <row r="3444" spans="2:11" x14ac:dyDescent="0.3">
      <c r="B3444" s="44">
        <v>46074</v>
      </c>
      <c r="C3444" s="3" t="s">
        <v>416</v>
      </c>
      <c r="D3444" s="3" t="s">
        <v>590</v>
      </c>
      <c r="E3444" s="42"/>
      <c r="F3444" s="3" t="s">
        <v>648</v>
      </c>
      <c r="G3444" s="3" t="s">
        <v>449</v>
      </c>
      <c r="H3444" s="4">
        <v>3961500</v>
      </c>
      <c r="I3444" s="3" t="s">
        <v>699</v>
      </c>
      <c r="J3444" s="3" t="s">
        <v>594</v>
      </c>
      <c r="K3444" s="4">
        <v>3196407</v>
      </c>
    </row>
    <row r="3445" spans="2:11" x14ac:dyDescent="0.3">
      <c r="B3445" s="44">
        <v>46074</v>
      </c>
      <c r="C3445" s="3" t="s">
        <v>416</v>
      </c>
      <c r="D3445" s="3" t="s">
        <v>68</v>
      </c>
      <c r="E3445" s="42"/>
      <c r="F3445" s="3" t="s">
        <v>649</v>
      </c>
      <c r="G3445" s="3" t="s">
        <v>456</v>
      </c>
      <c r="H3445" s="4">
        <v>3545602</v>
      </c>
      <c r="I3445" s="4" t="s">
        <v>665</v>
      </c>
      <c r="J3445" s="4" t="s">
        <v>457</v>
      </c>
      <c r="K3445" s="4">
        <v>3818806</v>
      </c>
    </row>
    <row r="3446" spans="2:11" x14ac:dyDescent="0.3">
      <c r="B3446" s="44">
        <v>46074</v>
      </c>
      <c r="C3446" s="3" t="s">
        <v>416</v>
      </c>
      <c r="D3446" s="3" t="s">
        <v>486</v>
      </c>
      <c r="E3446" s="42"/>
      <c r="F3446" s="4" t="s">
        <v>651</v>
      </c>
      <c r="G3446" s="4" t="s">
        <v>97</v>
      </c>
      <c r="H3446" s="4">
        <v>3362005</v>
      </c>
      <c r="I3446" s="3" t="s">
        <v>676</v>
      </c>
      <c r="J3446" s="3" t="s">
        <v>109</v>
      </c>
      <c r="K3446" s="4">
        <v>3067701</v>
      </c>
    </row>
    <row r="3447" spans="2:11" x14ac:dyDescent="0.3">
      <c r="B3447" s="44">
        <v>46074</v>
      </c>
      <c r="C3447" s="3" t="s">
        <v>416</v>
      </c>
      <c r="D3447" s="3" t="s">
        <v>68</v>
      </c>
      <c r="E3447" s="42"/>
      <c r="F3447" s="3" t="s">
        <v>651</v>
      </c>
      <c r="G3447" s="3" t="s">
        <v>387</v>
      </c>
      <c r="H3447" s="4">
        <v>3211403</v>
      </c>
      <c r="I3447" s="15" t="s">
        <v>664</v>
      </c>
      <c r="J3447" s="15" t="s">
        <v>388</v>
      </c>
      <c r="K3447" s="74">
        <v>3165306</v>
      </c>
    </row>
    <row r="3448" spans="2:11" x14ac:dyDescent="0.3">
      <c r="B3448" s="44">
        <v>46074</v>
      </c>
      <c r="C3448" s="3" t="s">
        <v>416</v>
      </c>
      <c r="D3448" s="3" t="s">
        <v>492</v>
      </c>
      <c r="E3448" s="42"/>
      <c r="F3448" s="3" t="s">
        <v>719</v>
      </c>
      <c r="G3448" s="3" t="s">
        <v>155</v>
      </c>
      <c r="H3448" s="4">
        <v>3361600</v>
      </c>
      <c r="I3448" s="3" t="s">
        <v>646</v>
      </c>
      <c r="J3448" s="3" t="s">
        <v>159</v>
      </c>
      <c r="K3448" s="4">
        <v>3354403</v>
      </c>
    </row>
    <row r="3449" spans="2:11" x14ac:dyDescent="0.3">
      <c r="B3449" s="44">
        <v>46074</v>
      </c>
      <c r="C3449" s="3" t="s">
        <v>416</v>
      </c>
      <c r="D3449" s="3" t="s">
        <v>59</v>
      </c>
      <c r="E3449" s="42"/>
      <c r="F3449" s="3" t="s">
        <v>653</v>
      </c>
      <c r="G3449" s="3" t="s">
        <v>272</v>
      </c>
      <c r="H3449" s="4">
        <v>3211205</v>
      </c>
      <c r="I3449" s="3" t="s">
        <v>479</v>
      </c>
      <c r="J3449" s="3" t="s">
        <v>273</v>
      </c>
      <c r="K3449" s="4">
        <v>3211007</v>
      </c>
    </row>
    <row r="3450" spans="2:11" x14ac:dyDescent="0.3">
      <c r="B3450" s="44">
        <v>46074</v>
      </c>
      <c r="C3450" s="3" t="s">
        <v>416</v>
      </c>
      <c r="D3450" s="3" t="s">
        <v>497</v>
      </c>
      <c r="E3450" s="42"/>
      <c r="F3450" s="17" t="s">
        <v>653</v>
      </c>
      <c r="G3450" s="17" t="s">
        <v>208</v>
      </c>
      <c r="H3450" s="74">
        <v>3361308</v>
      </c>
      <c r="I3450" s="17" t="s">
        <v>660</v>
      </c>
      <c r="J3450" s="17" t="s">
        <v>212</v>
      </c>
      <c r="K3450" s="74">
        <v>3360007</v>
      </c>
    </row>
    <row r="3451" spans="2:11" x14ac:dyDescent="0.3">
      <c r="B3451" s="44">
        <v>46074</v>
      </c>
      <c r="C3451" s="3" t="s">
        <v>416</v>
      </c>
      <c r="D3451" s="3" t="s">
        <v>497</v>
      </c>
      <c r="E3451" s="42"/>
      <c r="F3451" s="17" t="s">
        <v>653</v>
      </c>
      <c r="G3451" s="17" t="s">
        <v>209</v>
      </c>
      <c r="H3451" s="74">
        <v>3360705</v>
      </c>
      <c r="I3451" s="3" t="s">
        <v>681</v>
      </c>
      <c r="J3451" s="3" t="s">
        <v>175</v>
      </c>
      <c r="K3451" s="74">
        <v>3347800</v>
      </c>
    </row>
    <row r="3452" spans="2:11" x14ac:dyDescent="0.3">
      <c r="B3452" s="44">
        <v>46074</v>
      </c>
      <c r="C3452" s="3" t="s">
        <v>416</v>
      </c>
      <c r="D3452" s="3" t="s">
        <v>593</v>
      </c>
      <c r="E3452" s="42"/>
      <c r="F3452" s="3" t="s">
        <v>653</v>
      </c>
      <c r="G3452" s="3" t="s">
        <v>459</v>
      </c>
      <c r="H3452" s="4">
        <v>3211101</v>
      </c>
      <c r="I3452" s="4" t="s">
        <v>476</v>
      </c>
      <c r="J3452" s="4" t="s">
        <v>630</v>
      </c>
      <c r="K3452" s="4">
        <v>3206308</v>
      </c>
    </row>
    <row r="3453" spans="2:11" x14ac:dyDescent="0.3">
      <c r="B3453" s="44">
        <v>46074</v>
      </c>
      <c r="C3453" s="3" t="s">
        <v>416</v>
      </c>
      <c r="D3453" s="3" t="s">
        <v>504</v>
      </c>
      <c r="E3453" s="42"/>
      <c r="F3453" s="3" t="s">
        <v>479</v>
      </c>
      <c r="G3453" s="3" t="s">
        <v>9</v>
      </c>
      <c r="H3453" s="4">
        <v>3033405</v>
      </c>
      <c r="I3453" s="4" t="s">
        <v>671</v>
      </c>
      <c r="J3453" s="4" t="s">
        <v>8</v>
      </c>
      <c r="K3453" s="4">
        <v>3034008</v>
      </c>
    </row>
    <row r="3454" spans="2:11" x14ac:dyDescent="0.3">
      <c r="B3454" s="44">
        <v>46074</v>
      </c>
      <c r="C3454" s="3" t="s">
        <v>416</v>
      </c>
      <c r="D3454" s="3" t="s">
        <v>490</v>
      </c>
      <c r="E3454" s="4"/>
      <c r="F3454" s="3" t="s">
        <v>479</v>
      </c>
      <c r="G3454" s="3" t="s">
        <v>136</v>
      </c>
      <c r="H3454" s="4">
        <v>3360903</v>
      </c>
      <c r="I3454" s="4" t="s">
        <v>660</v>
      </c>
      <c r="J3454" s="4" t="s">
        <v>137</v>
      </c>
      <c r="K3454" s="4">
        <v>3359908</v>
      </c>
    </row>
    <row r="3455" spans="2:11" x14ac:dyDescent="0.3">
      <c r="B3455" s="44">
        <v>46074</v>
      </c>
      <c r="C3455" s="3" t="s">
        <v>416</v>
      </c>
      <c r="D3455" s="3" t="s">
        <v>590</v>
      </c>
      <c r="E3455" s="42"/>
      <c r="F3455" s="4" t="s">
        <v>479</v>
      </c>
      <c r="G3455" s="4" t="s">
        <v>284</v>
      </c>
      <c r="H3455" s="4">
        <v>3210904</v>
      </c>
      <c r="I3455" s="3" t="s">
        <v>471</v>
      </c>
      <c r="J3455" s="3" t="s">
        <v>291</v>
      </c>
      <c r="K3455" s="4">
        <v>3196709</v>
      </c>
    </row>
    <row r="3456" spans="2:11" x14ac:dyDescent="0.3">
      <c r="B3456" s="44">
        <v>46074</v>
      </c>
      <c r="C3456" s="3" t="s">
        <v>416</v>
      </c>
      <c r="D3456" s="3" t="s">
        <v>490</v>
      </c>
      <c r="E3456" s="4"/>
      <c r="F3456" s="3" t="s">
        <v>479</v>
      </c>
      <c r="G3456" s="3" t="s">
        <v>166</v>
      </c>
      <c r="H3456" s="4">
        <v>3361006</v>
      </c>
      <c r="I3456" s="4" t="s">
        <v>676</v>
      </c>
      <c r="J3456" s="4" t="s">
        <v>138</v>
      </c>
      <c r="K3456" s="4">
        <v>3067805</v>
      </c>
    </row>
    <row r="3457" spans="1:43" x14ac:dyDescent="0.3">
      <c r="B3457" s="44">
        <v>46074</v>
      </c>
      <c r="C3457" s="3" t="s">
        <v>416</v>
      </c>
      <c r="D3457" s="3" t="s">
        <v>62</v>
      </c>
      <c r="E3457" s="42"/>
      <c r="F3457" s="3" t="s">
        <v>479</v>
      </c>
      <c r="G3457" s="3" t="s">
        <v>319</v>
      </c>
      <c r="H3457" s="4">
        <v>3210508</v>
      </c>
      <c r="I3457" s="3" t="s">
        <v>694</v>
      </c>
      <c r="J3457" s="3" t="s">
        <v>340</v>
      </c>
      <c r="K3457" s="4">
        <v>3201803</v>
      </c>
    </row>
    <row r="3458" spans="1:43" x14ac:dyDescent="0.3">
      <c r="B3458" s="44">
        <v>46074</v>
      </c>
      <c r="C3458" s="3" t="s">
        <v>416</v>
      </c>
      <c r="D3458" s="3" t="s">
        <v>493</v>
      </c>
      <c r="E3458" s="42"/>
      <c r="F3458" s="3" t="s">
        <v>479</v>
      </c>
      <c r="G3458" s="3" t="s">
        <v>210</v>
      </c>
      <c r="H3458" s="4">
        <v>3361100</v>
      </c>
      <c r="I3458" s="4" t="s">
        <v>676</v>
      </c>
      <c r="J3458" s="4" t="s">
        <v>214</v>
      </c>
      <c r="K3458" s="4">
        <v>3358805</v>
      </c>
    </row>
    <row r="3459" spans="1:43" x14ac:dyDescent="0.3">
      <c r="B3459" s="44">
        <v>46074</v>
      </c>
      <c r="C3459" s="3" t="s">
        <v>416</v>
      </c>
      <c r="D3459" s="3" t="s">
        <v>65</v>
      </c>
      <c r="E3459" s="42"/>
      <c r="F3459" s="3" t="s">
        <v>479</v>
      </c>
      <c r="G3459" s="3" t="s">
        <v>320</v>
      </c>
      <c r="H3459" s="4">
        <v>3210602</v>
      </c>
      <c r="I3459" s="4" t="s">
        <v>718</v>
      </c>
      <c r="J3459" s="4" t="s">
        <v>359</v>
      </c>
      <c r="K3459" s="4">
        <v>3204602</v>
      </c>
    </row>
    <row r="3460" spans="1:43" x14ac:dyDescent="0.3">
      <c r="A3460" s="4"/>
      <c r="B3460" s="100">
        <v>46074</v>
      </c>
      <c r="C3460" s="98" t="s">
        <v>553</v>
      </c>
      <c r="D3460" s="4" t="s">
        <v>508</v>
      </c>
      <c r="E3460" s="4"/>
      <c r="F3460" s="73" t="s">
        <v>554</v>
      </c>
      <c r="G3460" s="73" t="s">
        <v>9</v>
      </c>
      <c r="H3460" s="73"/>
      <c r="I3460" s="73" t="s">
        <v>473</v>
      </c>
      <c r="J3460" s="73" t="s">
        <v>473</v>
      </c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</row>
    <row r="3461" spans="1:43" x14ac:dyDescent="0.3">
      <c r="B3461" s="44">
        <v>46074</v>
      </c>
      <c r="C3461" s="3" t="s">
        <v>416</v>
      </c>
      <c r="D3461" s="3" t="s">
        <v>486</v>
      </c>
      <c r="E3461" s="42"/>
      <c r="F3461" s="3" t="s">
        <v>480</v>
      </c>
      <c r="G3461" s="3" t="s">
        <v>406</v>
      </c>
      <c r="H3461" s="4">
        <v>3124501</v>
      </c>
      <c r="I3461" s="4" t="s">
        <v>680</v>
      </c>
      <c r="J3461" s="4" t="s">
        <v>98</v>
      </c>
      <c r="K3461" s="4">
        <v>3358909</v>
      </c>
    </row>
    <row r="3462" spans="1:43" x14ac:dyDescent="0.3">
      <c r="B3462" s="44">
        <v>46074</v>
      </c>
      <c r="C3462" s="3" t="s">
        <v>416</v>
      </c>
      <c r="D3462" s="3" t="s">
        <v>493</v>
      </c>
      <c r="E3462" s="42"/>
      <c r="F3462" s="3" t="s">
        <v>480</v>
      </c>
      <c r="G3462" s="3" t="s">
        <v>423</v>
      </c>
      <c r="H3462" s="4">
        <v>3360403</v>
      </c>
      <c r="I3462" s="4" t="s">
        <v>657</v>
      </c>
      <c r="J3462" s="4" t="s">
        <v>167</v>
      </c>
      <c r="K3462" s="4">
        <v>3359804</v>
      </c>
    </row>
    <row r="3463" spans="1:43" x14ac:dyDescent="0.3">
      <c r="B3463" s="44">
        <v>46074</v>
      </c>
      <c r="C3463" s="3" t="s">
        <v>416</v>
      </c>
      <c r="D3463" s="3" t="s">
        <v>497</v>
      </c>
      <c r="E3463" s="42"/>
      <c r="F3463" s="17" t="s">
        <v>480</v>
      </c>
      <c r="G3463" s="17" t="s">
        <v>428</v>
      </c>
      <c r="H3463" s="74">
        <v>3360309</v>
      </c>
      <c r="I3463" s="3" t="s">
        <v>678</v>
      </c>
      <c r="J3463" s="3" t="s">
        <v>172</v>
      </c>
      <c r="K3463" s="74">
        <v>3350709</v>
      </c>
    </row>
    <row r="3464" spans="1:43" x14ac:dyDescent="0.3">
      <c r="B3464" s="44">
        <v>46074</v>
      </c>
      <c r="C3464" s="3" t="s">
        <v>416</v>
      </c>
      <c r="D3464" s="3" t="s">
        <v>56</v>
      </c>
      <c r="E3464" s="42"/>
      <c r="F3464" s="4" t="s">
        <v>661</v>
      </c>
      <c r="G3464" s="4" t="s">
        <v>439</v>
      </c>
      <c r="H3464" s="4">
        <v>3023701</v>
      </c>
      <c r="I3464" s="73" t="s">
        <v>474</v>
      </c>
      <c r="J3464" s="73" t="s">
        <v>253</v>
      </c>
      <c r="K3464" s="4">
        <v>3037109</v>
      </c>
    </row>
    <row r="3465" spans="1:43" x14ac:dyDescent="0.3">
      <c r="B3465" s="44">
        <v>46074</v>
      </c>
      <c r="C3465" s="3" t="s">
        <v>416</v>
      </c>
      <c r="D3465" s="3" t="s">
        <v>590</v>
      </c>
      <c r="E3465" s="42"/>
      <c r="F3465" s="3" t="s">
        <v>657</v>
      </c>
      <c r="G3465" s="3" t="s">
        <v>321</v>
      </c>
      <c r="H3465" s="4">
        <v>3209607</v>
      </c>
      <c r="I3465" s="3" t="s">
        <v>650</v>
      </c>
      <c r="J3465" s="3" t="s">
        <v>277</v>
      </c>
      <c r="K3465" s="4">
        <v>3088400</v>
      </c>
    </row>
    <row r="3466" spans="1:43" x14ac:dyDescent="0.3">
      <c r="B3466" s="44">
        <v>46074</v>
      </c>
      <c r="C3466" s="3" t="s">
        <v>416</v>
      </c>
      <c r="D3466" s="3" t="s">
        <v>497</v>
      </c>
      <c r="E3466" s="42"/>
      <c r="F3466" s="17" t="s">
        <v>657</v>
      </c>
      <c r="G3466" s="17" t="s">
        <v>213</v>
      </c>
      <c r="H3466" s="74">
        <v>3359502</v>
      </c>
      <c r="I3466" s="17" t="s">
        <v>691</v>
      </c>
      <c r="J3466" s="17" t="s">
        <v>215</v>
      </c>
      <c r="K3466" s="74">
        <v>3350407</v>
      </c>
    </row>
    <row r="3467" spans="1:43" x14ac:dyDescent="0.3">
      <c r="B3467" s="44">
        <v>46074</v>
      </c>
      <c r="C3467" s="3" t="s">
        <v>416</v>
      </c>
      <c r="D3467" s="3" t="s">
        <v>495</v>
      </c>
      <c r="E3467" s="42"/>
      <c r="F3467" s="3" t="s">
        <v>570</v>
      </c>
      <c r="G3467" s="3" t="s">
        <v>570</v>
      </c>
      <c r="H3467" s="4" t="s">
        <v>556</v>
      </c>
      <c r="I3467" s="3" t="s">
        <v>699</v>
      </c>
      <c r="J3467" s="3" t="s">
        <v>569</v>
      </c>
      <c r="K3467" s="4">
        <v>3125708</v>
      </c>
    </row>
    <row r="3468" spans="1:43" x14ac:dyDescent="0.3">
      <c r="B3468" s="44">
        <v>46074</v>
      </c>
      <c r="C3468" s="3" t="s">
        <v>416</v>
      </c>
      <c r="D3468" s="3" t="s">
        <v>67</v>
      </c>
      <c r="E3468" s="42"/>
      <c r="F3468" s="4" t="s">
        <v>570</v>
      </c>
      <c r="G3468" s="4" t="s">
        <v>570</v>
      </c>
      <c r="H3468" s="4" t="s">
        <v>556</v>
      </c>
      <c r="I3468" s="3" t="s">
        <v>717</v>
      </c>
      <c r="J3468" s="3" t="s">
        <v>435</v>
      </c>
      <c r="K3468" s="4">
        <v>3195200</v>
      </c>
    </row>
    <row r="3469" spans="1:43" x14ac:dyDescent="0.3">
      <c r="B3469" s="44">
        <v>46074</v>
      </c>
      <c r="C3469" s="3" t="s">
        <v>416</v>
      </c>
      <c r="D3469" s="3" t="s">
        <v>60</v>
      </c>
      <c r="E3469" s="42"/>
      <c r="F3469" s="3" t="s">
        <v>667</v>
      </c>
      <c r="G3469" s="3" t="s">
        <v>444</v>
      </c>
      <c r="H3469" s="4">
        <v>3209909</v>
      </c>
      <c r="I3469" s="3" t="s">
        <v>706</v>
      </c>
      <c r="J3469" s="3" t="s">
        <v>299</v>
      </c>
      <c r="K3469" s="32">
        <v>3199102</v>
      </c>
    </row>
    <row r="3470" spans="1:43" x14ac:dyDescent="0.3">
      <c r="B3470" s="44">
        <v>46074</v>
      </c>
      <c r="C3470" s="3" t="s">
        <v>416</v>
      </c>
      <c r="D3470" s="3" t="s">
        <v>60</v>
      </c>
      <c r="E3470" s="42"/>
      <c r="F3470" s="3" t="s">
        <v>667</v>
      </c>
      <c r="G3470" s="3" t="s">
        <v>294</v>
      </c>
      <c r="H3470" s="4">
        <v>3209409</v>
      </c>
      <c r="I3470" s="3" t="s">
        <v>698</v>
      </c>
      <c r="J3470" s="3" t="s">
        <v>595</v>
      </c>
      <c r="K3470" s="32" t="s">
        <v>563</v>
      </c>
    </row>
    <row r="3471" spans="1:43" x14ac:dyDescent="0.3">
      <c r="B3471" s="44">
        <v>46074</v>
      </c>
      <c r="C3471" s="3" t="s">
        <v>416</v>
      </c>
      <c r="D3471" s="3" t="s">
        <v>56</v>
      </c>
      <c r="E3471" s="42"/>
      <c r="F3471" s="73" t="s">
        <v>671</v>
      </c>
      <c r="G3471" s="73" t="s">
        <v>247</v>
      </c>
      <c r="H3471" s="4">
        <v>3034102</v>
      </c>
      <c r="I3471" s="3" t="s">
        <v>690</v>
      </c>
      <c r="J3471" s="3" t="s">
        <v>250</v>
      </c>
      <c r="K3471" s="4">
        <v>3070100</v>
      </c>
    </row>
    <row r="3472" spans="1:43" x14ac:dyDescent="0.3">
      <c r="B3472" s="44">
        <v>46074</v>
      </c>
      <c r="C3472" s="3" t="s">
        <v>416</v>
      </c>
      <c r="D3472" s="3" t="s">
        <v>486</v>
      </c>
      <c r="E3472" s="42"/>
      <c r="F3472" s="3" t="s">
        <v>671</v>
      </c>
      <c r="G3472" s="3" t="s">
        <v>108</v>
      </c>
      <c r="H3472" s="4">
        <v>3359700</v>
      </c>
      <c r="I3472" s="3" t="s">
        <v>681</v>
      </c>
      <c r="J3472" s="3" t="s">
        <v>105</v>
      </c>
      <c r="K3472" s="4">
        <v>3035809</v>
      </c>
    </row>
    <row r="3473" spans="2:11" x14ac:dyDescent="0.3">
      <c r="B3473" s="44">
        <v>46074</v>
      </c>
      <c r="C3473" s="3" t="s">
        <v>416</v>
      </c>
      <c r="D3473" s="3" t="s">
        <v>590</v>
      </c>
      <c r="E3473" s="42"/>
      <c r="F3473" s="4" t="s">
        <v>671</v>
      </c>
      <c r="G3473" s="4" t="s">
        <v>311</v>
      </c>
      <c r="H3473" s="4">
        <v>3209003</v>
      </c>
      <c r="I3473" s="4" t="s">
        <v>693</v>
      </c>
      <c r="J3473" s="4" t="s">
        <v>322</v>
      </c>
      <c r="K3473" s="4">
        <v>3207005</v>
      </c>
    </row>
    <row r="3474" spans="2:11" x14ac:dyDescent="0.3">
      <c r="B3474" s="44">
        <v>46074</v>
      </c>
      <c r="C3474" s="3" t="s">
        <v>416</v>
      </c>
      <c r="D3474" s="3" t="s">
        <v>496</v>
      </c>
      <c r="E3474" s="42"/>
      <c r="F3474" s="3" t="s">
        <v>671</v>
      </c>
      <c r="G3474" s="3" t="s">
        <v>203</v>
      </c>
      <c r="H3474" s="4">
        <v>3359304</v>
      </c>
      <c r="I3474" s="3" t="s">
        <v>651</v>
      </c>
      <c r="J3474" s="3" t="s">
        <v>202</v>
      </c>
      <c r="K3474" s="74">
        <v>3361808</v>
      </c>
    </row>
    <row r="3475" spans="2:11" x14ac:dyDescent="0.3">
      <c r="B3475" s="44">
        <v>46074</v>
      </c>
      <c r="C3475" s="3" t="s">
        <v>416</v>
      </c>
      <c r="D3475" s="3" t="s">
        <v>496</v>
      </c>
      <c r="E3475" s="42"/>
      <c r="F3475" s="3" t="s">
        <v>671</v>
      </c>
      <c r="G3475" s="3" t="s">
        <v>227</v>
      </c>
      <c r="H3475" s="4">
        <v>3359408</v>
      </c>
      <c r="I3475" s="4" t="s">
        <v>710</v>
      </c>
      <c r="J3475" s="4" t="s">
        <v>206</v>
      </c>
      <c r="K3475" s="4">
        <v>3352103</v>
      </c>
    </row>
    <row r="3476" spans="2:11" x14ac:dyDescent="0.3">
      <c r="B3476" s="44">
        <v>46074</v>
      </c>
      <c r="C3476" s="3" t="s">
        <v>416</v>
      </c>
      <c r="D3476" s="4" t="s">
        <v>614</v>
      </c>
      <c r="E3476" s="42"/>
      <c r="F3476" s="3" t="s">
        <v>674</v>
      </c>
      <c r="G3476" s="3" t="s">
        <v>346</v>
      </c>
      <c r="H3476" s="4">
        <v>3208900</v>
      </c>
      <c r="I3476" s="4" t="s">
        <v>646</v>
      </c>
      <c r="J3476" s="4" t="s">
        <v>380</v>
      </c>
      <c r="K3476" s="4">
        <v>3202208</v>
      </c>
    </row>
    <row r="3477" spans="2:11" x14ac:dyDescent="0.3">
      <c r="B3477" s="44">
        <v>46074</v>
      </c>
      <c r="C3477" s="3" t="s">
        <v>416</v>
      </c>
      <c r="D3477" s="3" t="s">
        <v>65</v>
      </c>
      <c r="E3477" s="42"/>
      <c r="F3477" s="3" t="s">
        <v>676</v>
      </c>
      <c r="G3477" s="3" t="s">
        <v>356</v>
      </c>
      <c r="H3477" s="4">
        <v>3208608</v>
      </c>
      <c r="I3477" s="15" t="s">
        <v>691</v>
      </c>
      <c r="J3477" s="15" t="s">
        <v>327</v>
      </c>
      <c r="K3477" s="74">
        <v>3198603</v>
      </c>
    </row>
    <row r="3478" spans="2:11" x14ac:dyDescent="0.3">
      <c r="B3478" s="44">
        <v>46074</v>
      </c>
      <c r="C3478" s="3" t="s">
        <v>416</v>
      </c>
      <c r="D3478" s="3" t="s">
        <v>500</v>
      </c>
      <c r="E3478" s="42"/>
      <c r="F3478" s="3" t="s">
        <v>676</v>
      </c>
      <c r="G3478" s="3" t="s">
        <v>577</v>
      </c>
      <c r="H3478" s="4" t="s">
        <v>556</v>
      </c>
      <c r="I3478" s="4" t="s">
        <v>663</v>
      </c>
      <c r="J3478" s="4" t="s">
        <v>239</v>
      </c>
      <c r="K3478" s="4">
        <v>3348809</v>
      </c>
    </row>
    <row r="3479" spans="2:11" x14ac:dyDescent="0.3">
      <c r="B3479" s="44">
        <v>46074</v>
      </c>
      <c r="C3479" s="3" t="s">
        <v>416</v>
      </c>
      <c r="D3479" s="3" t="s">
        <v>593</v>
      </c>
      <c r="E3479" s="42"/>
      <c r="F3479" s="3" t="s">
        <v>676</v>
      </c>
      <c r="G3479" s="3" t="s">
        <v>639</v>
      </c>
      <c r="H3479" s="4">
        <v>3776805</v>
      </c>
      <c r="I3479" s="4" t="s">
        <v>661</v>
      </c>
      <c r="J3479" s="4" t="s">
        <v>640</v>
      </c>
      <c r="K3479" s="4">
        <v>3210102</v>
      </c>
    </row>
    <row r="3480" spans="2:11" x14ac:dyDescent="0.3">
      <c r="B3480" s="44">
        <v>46074</v>
      </c>
      <c r="C3480" s="3" t="s">
        <v>416</v>
      </c>
      <c r="D3480" s="3" t="s">
        <v>61</v>
      </c>
      <c r="E3480" s="42"/>
      <c r="F3480" s="73" t="s">
        <v>680</v>
      </c>
      <c r="G3480" s="73" t="s">
        <v>302</v>
      </c>
      <c r="H3480" s="4">
        <v>3208400</v>
      </c>
      <c r="I3480" s="3" t="s">
        <v>690</v>
      </c>
      <c r="J3480" s="3" t="s">
        <v>304</v>
      </c>
      <c r="K3480" s="4">
        <v>3204404</v>
      </c>
    </row>
    <row r="3481" spans="2:11" x14ac:dyDescent="0.3">
      <c r="B3481" s="44">
        <v>46074</v>
      </c>
      <c r="C3481" s="3" t="s">
        <v>416</v>
      </c>
      <c r="D3481" s="3" t="s">
        <v>491</v>
      </c>
      <c r="E3481" s="42"/>
      <c r="F3481" s="4" t="s">
        <v>680</v>
      </c>
      <c r="G3481" s="4" t="s">
        <v>177</v>
      </c>
      <c r="H3481" s="4">
        <v>3899709</v>
      </c>
      <c r="I3481" s="3" t="s">
        <v>690</v>
      </c>
      <c r="J3481" s="3" t="s">
        <v>179</v>
      </c>
      <c r="K3481" s="4">
        <v>3818900</v>
      </c>
    </row>
    <row r="3482" spans="2:11" x14ac:dyDescent="0.3">
      <c r="B3482" s="44">
        <v>46074</v>
      </c>
      <c r="C3482" s="3" t="s">
        <v>416</v>
      </c>
      <c r="D3482" s="3" t="s">
        <v>486</v>
      </c>
      <c r="E3482" s="42"/>
      <c r="F3482" s="4" t="s">
        <v>652</v>
      </c>
      <c r="G3482" s="4" t="s">
        <v>110</v>
      </c>
      <c r="H3482" s="4">
        <v>3359106</v>
      </c>
      <c r="I3482" s="3" t="s">
        <v>682</v>
      </c>
      <c r="J3482" s="3" t="s">
        <v>559</v>
      </c>
      <c r="K3482" s="4">
        <v>3969200</v>
      </c>
    </row>
    <row r="3483" spans="2:11" x14ac:dyDescent="0.3">
      <c r="B3483" s="44">
        <v>46074</v>
      </c>
      <c r="C3483" s="3" t="s">
        <v>416</v>
      </c>
      <c r="D3483" s="3" t="s">
        <v>59</v>
      </c>
      <c r="E3483" s="42"/>
      <c r="F3483" s="3" t="s">
        <v>652</v>
      </c>
      <c r="G3483" s="3" t="s">
        <v>313</v>
      </c>
      <c r="H3483" s="4">
        <v>3207901</v>
      </c>
      <c r="I3483" s="4" t="s">
        <v>710</v>
      </c>
      <c r="J3483" s="4" t="s">
        <v>279</v>
      </c>
      <c r="K3483" s="4">
        <v>3199706</v>
      </c>
    </row>
    <row r="3484" spans="2:11" x14ac:dyDescent="0.3">
      <c r="B3484" s="44">
        <v>46074</v>
      </c>
      <c r="C3484" s="3" t="s">
        <v>416</v>
      </c>
      <c r="D3484" s="3" t="s">
        <v>610</v>
      </c>
      <c r="E3484" s="42"/>
      <c r="F3484" s="3" t="s">
        <v>652</v>
      </c>
      <c r="G3484" s="3" t="s">
        <v>347</v>
      </c>
      <c r="H3484" s="4">
        <v>3818504</v>
      </c>
      <c r="I3484" s="4" t="s">
        <v>714</v>
      </c>
      <c r="J3484" s="4" t="s">
        <v>352</v>
      </c>
      <c r="K3484" s="4">
        <v>3197208</v>
      </c>
    </row>
    <row r="3485" spans="2:11" x14ac:dyDescent="0.3">
      <c r="B3485" s="44">
        <v>46074</v>
      </c>
      <c r="C3485" s="3" t="s">
        <v>416</v>
      </c>
      <c r="D3485" s="3" t="s">
        <v>68</v>
      </c>
      <c r="E3485" s="42"/>
      <c r="F3485" s="3" t="s">
        <v>652</v>
      </c>
      <c r="G3485" s="3" t="s">
        <v>625</v>
      </c>
      <c r="H3485" s="4">
        <v>3899803</v>
      </c>
      <c r="I3485" s="4" t="s">
        <v>665</v>
      </c>
      <c r="J3485" s="4" t="s">
        <v>627</v>
      </c>
      <c r="K3485" s="4" t="s">
        <v>638</v>
      </c>
    </row>
    <row r="3486" spans="2:11" x14ac:dyDescent="0.3">
      <c r="B3486" s="44">
        <v>46074</v>
      </c>
      <c r="C3486" s="3" t="s">
        <v>416</v>
      </c>
      <c r="D3486" s="3" t="s">
        <v>68</v>
      </c>
      <c r="E3486" s="42"/>
      <c r="F3486" s="3" t="s">
        <v>686</v>
      </c>
      <c r="G3486" s="3" t="s">
        <v>626</v>
      </c>
      <c r="H3486" s="4" t="s">
        <v>637</v>
      </c>
      <c r="I3486" s="4" t="s">
        <v>671</v>
      </c>
      <c r="J3486" s="4" t="s">
        <v>389</v>
      </c>
      <c r="K3486" s="4">
        <v>3209201</v>
      </c>
    </row>
    <row r="3487" spans="2:11" x14ac:dyDescent="0.3">
      <c r="B3487" s="44">
        <v>46074</v>
      </c>
      <c r="C3487" s="3" t="s">
        <v>416</v>
      </c>
      <c r="D3487" s="3" t="s">
        <v>504</v>
      </c>
      <c r="E3487" s="42"/>
      <c r="F3487" s="3" t="s">
        <v>662</v>
      </c>
      <c r="G3487" s="3" t="s">
        <v>99</v>
      </c>
      <c r="H3487" s="4">
        <v>3125604</v>
      </c>
      <c r="I3487" s="3" t="s">
        <v>472</v>
      </c>
      <c r="J3487" s="3" t="s">
        <v>11</v>
      </c>
      <c r="K3487" s="4">
        <v>3034800</v>
      </c>
    </row>
    <row r="3488" spans="2:11" x14ac:dyDescent="0.3">
      <c r="B3488" s="44">
        <v>46074</v>
      </c>
      <c r="C3488" s="3" t="s">
        <v>416</v>
      </c>
      <c r="D3488" s="3" t="s">
        <v>64</v>
      </c>
      <c r="E3488" s="42">
        <v>4370907</v>
      </c>
      <c r="F3488" s="3" t="s">
        <v>662</v>
      </c>
      <c r="G3488" s="3" t="s">
        <v>372</v>
      </c>
      <c r="H3488" s="4">
        <v>3207703</v>
      </c>
      <c r="I3488" s="4" t="s">
        <v>673</v>
      </c>
      <c r="J3488" s="4" t="s">
        <v>355</v>
      </c>
      <c r="K3488" s="4">
        <v>3195002</v>
      </c>
    </row>
    <row r="3489" spans="1:43" x14ac:dyDescent="0.3">
      <c r="B3489" s="44">
        <v>46074</v>
      </c>
      <c r="C3489" s="3" t="s">
        <v>416</v>
      </c>
      <c r="D3489" s="3" t="s">
        <v>494</v>
      </c>
      <c r="E3489" s="42"/>
      <c r="F3489" s="4" t="s">
        <v>662</v>
      </c>
      <c r="G3489" s="4" t="s">
        <v>242</v>
      </c>
      <c r="H3489" s="4">
        <v>3358107</v>
      </c>
      <c r="I3489" s="4" t="s">
        <v>708</v>
      </c>
      <c r="J3489" s="4" t="s">
        <v>141</v>
      </c>
      <c r="K3489" s="4">
        <v>3125802</v>
      </c>
    </row>
    <row r="3490" spans="1:43" x14ac:dyDescent="0.3">
      <c r="B3490" s="44">
        <v>46074</v>
      </c>
      <c r="C3490" s="3" t="s">
        <v>416</v>
      </c>
      <c r="D3490" s="3" t="s">
        <v>590</v>
      </c>
      <c r="E3490" s="42"/>
      <c r="F3490" s="4" t="s">
        <v>472</v>
      </c>
      <c r="G3490" s="4" t="s">
        <v>315</v>
      </c>
      <c r="H3490" s="4">
        <v>3455307</v>
      </c>
      <c r="I3490" s="3" t="s">
        <v>474</v>
      </c>
      <c r="J3490" s="3" t="s">
        <v>317</v>
      </c>
      <c r="K3490" s="4">
        <v>3200700</v>
      </c>
    </row>
    <row r="3491" spans="1:43" x14ac:dyDescent="0.3">
      <c r="B3491" s="44">
        <v>46074</v>
      </c>
      <c r="C3491" s="3" t="s">
        <v>416</v>
      </c>
      <c r="D3491" s="3" t="s">
        <v>67</v>
      </c>
      <c r="E3491" s="42"/>
      <c r="F3491" s="4" t="s">
        <v>472</v>
      </c>
      <c r="G3491" s="4" t="s">
        <v>338</v>
      </c>
      <c r="H3491" s="4">
        <v>3207307</v>
      </c>
      <c r="I3491" s="3" t="s">
        <v>662</v>
      </c>
      <c r="J3491" s="3" t="s">
        <v>373</v>
      </c>
      <c r="K3491" s="4">
        <v>3207807</v>
      </c>
    </row>
    <row r="3492" spans="1:43" x14ac:dyDescent="0.3">
      <c r="B3492" s="44">
        <v>46074</v>
      </c>
      <c r="C3492" s="3" t="s">
        <v>416</v>
      </c>
      <c r="D3492" s="3" t="s">
        <v>494</v>
      </c>
      <c r="E3492" s="42"/>
      <c r="F3492" s="4" t="s">
        <v>472</v>
      </c>
      <c r="G3492" s="4" t="s">
        <v>185</v>
      </c>
      <c r="H3492" s="4">
        <v>3357806</v>
      </c>
      <c r="I3492" s="3" t="s">
        <v>694</v>
      </c>
      <c r="J3492" s="3" t="s">
        <v>188</v>
      </c>
      <c r="K3492" s="4">
        <v>3353508</v>
      </c>
    </row>
    <row r="3493" spans="1:43" x14ac:dyDescent="0.3">
      <c r="B3493" s="44">
        <v>46074</v>
      </c>
      <c r="C3493" s="3" t="s">
        <v>416</v>
      </c>
      <c r="D3493" s="3" t="s">
        <v>67</v>
      </c>
      <c r="E3493" s="42"/>
      <c r="F3493" s="3" t="s">
        <v>472</v>
      </c>
      <c r="G3493" s="3" t="s">
        <v>374</v>
      </c>
      <c r="H3493" s="4">
        <v>3207203</v>
      </c>
      <c r="I3493" s="3" t="s">
        <v>688</v>
      </c>
      <c r="J3493" s="3" t="s">
        <v>344</v>
      </c>
      <c r="K3493" s="4">
        <v>3194909</v>
      </c>
    </row>
    <row r="3494" spans="1:43" x14ac:dyDescent="0.3">
      <c r="B3494" s="44">
        <v>46074</v>
      </c>
      <c r="C3494" s="3" t="s">
        <v>416</v>
      </c>
      <c r="D3494" s="3" t="s">
        <v>57</v>
      </c>
      <c r="E3494" s="42"/>
      <c r="F3494" s="3" t="s">
        <v>693</v>
      </c>
      <c r="G3494" s="3" t="s">
        <v>258</v>
      </c>
      <c r="H3494" s="4">
        <v>3207109</v>
      </c>
      <c r="I3494" s="3" t="s">
        <v>682</v>
      </c>
      <c r="J3494" s="3" t="s">
        <v>584</v>
      </c>
      <c r="K3494" s="4">
        <v>3069303</v>
      </c>
    </row>
    <row r="3495" spans="1:43" x14ac:dyDescent="0.3">
      <c r="B3495" s="44">
        <v>46074</v>
      </c>
      <c r="C3495" s="3" t="s">
        <v>416</v>
      </c>
      <c r="D3495" s="3" t="s">
        <v>593</v>
      </c>
      <c r="E3495" s="42"/>
      <c r="F3495" s="3" t="s">
        <v>693</v>
      </c>
      <c r="G3495" s="3" t="s">
        <v>629</v>
      </c>
      <c r="H3495" s="4">
        <v>3961708</v>
      </c>
      <c r="I3495" s="15" t="s">
        <v>570</v>
      </c>
      <c r="J3495" s="15" t="s">
        <v>570</v>
      </c>
      <c r="K3495" s="74" t="s">
        <v>556</v>
      </c>
    </row>
    <row r="3496" spans="1:43" x14ac:dyDescent="0.3">
      <c r="A3496" s="4"/>
      <c r="B3496" s="100">
        <v>46074</v>
      </c>
      <c r="C3496" s="98" t="s">
        <v>553</v>
      </c>
      <c r="D3496" s="4" t="s">
        <v>508</v>
      </c>
      <c r="E3496" s="4"/>
      <c r="F3496" s="73" t="s">
        <v>476</v>
      </c>
      <c r="G3496" s="73" t="s">
        <v>476</v>
      </c>
      <c r="H3496" s="73"/>
      <c r="I3496" s="73" t="s">
        <v>532</v>
      </c>
      <c r="J3496" s="73" t="s">
        <v>532</v>
      </c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</row>
    <row r="3497" spans="1:43" x14ac:dyDescent="0.3">
      <c r="B3497" s="44">
        <v>46074</v>
      </c>
      <c r="C3497" s="3" t="s">
        <v>416</v>
      </c>
      <c r="D3497" s="3" t="s">
        <v>504</v>
      </c>
      <c r="E3497" s="42"/>
      <c r="F3497" s="4" t="s">
        <v>476</v>
      </c>
      <c r="G3497" s="4" t="s">
        <v>100</v>
      </c>
      <c r="H3497" s="4">
        <v>3125302</v>
      </c>
      <c r="I3497" s="4" t="s">
        <v>480</v>
      </c>
      <c r="J3497" s="4" t="s">
        <v>505</v>
      </c>
      <c r="K3497" s="4">
        <v>3033207</v>
      </c>
    </row>
    <row r="3498" spans="1:43" x14ac:dyDescent="0.3">
      <c r="B3498" s="44">
        <v>46074</v>
      </c>
      <c r="C3498" s="3" t="s">
        <v>416</v>
      </c>
      <c r="D3498" s="3" t="s">
        <v>57</v>
      </c>
      <c r="E3498" s="42"/>
      <c r="F3498" s="32" t="s">
        <v>476</v>
      </c>
      <c r="G3498" s="32" t="s">
        <v>249</v>
      </c>
      <c r="H3498" s="15">
        <v>3038202</v>
      </c>
      <c r="I3498" s="74" t="s">
        <v>694</v>
      </c>
      <c r="J3498" s="74" t="s">
        <v>276</v>
      </c>
      <c r="K3498" s="74">
        <v>3201709</v>
      </c>
    </row>
    <row r="3499" spans="1:43" x14ac:dyDescent="0.3">
      <c r="B3499" s="44">
        <v>46074</v>
      </c>
      <c r="C3499" s="3" t="s">
        <v>416</v>
      </c>
      <c r="D3499" s="3" t="s">
        <v>489</v>
      </c>
      <c r="E3499" s="4"/>
      <c r="F3499" s="4" t="s">
        <v>476</v>
      </c>
      <c r="G3499" s="4" t="s">
        <v>128</v>
      </c>
      <c r="H3499" s="4">
        <v>3357202</v>
      </c>
      <c r="I3499" s="4" t="s">
        <v>474</v>
      </c>
      <c r="J3499" s="4" t="s">
        <v>130</v>
      </c>
      <c r="K3499" s="4">
        <v>3352405</v>
      </c>
    </row>
    <row r="3500" spans="1:43" x14ac:dyDescent="0.3">
      <c r="B3500" s="44">
        <v>46074</v>
      </c>
      <c r="C3500" s="3" t="s">
        <v>416</v>
      </c>
      <c r="D3500" s="3" t="s">
        <v>59</v>
      </c>
      <c r="E3500" s="42"/>
      <c r="F3500" s="3" t="s">
        <v>476</v>
      </c>
      <c r="G3500" s="3" t="s">
        <v>274</v>
      </c>
      <c r="H3500" s="4">
        <v>3206902</v>
      </c>
      <c r="I3500" s="3" t="s">
        <v>662</v>
      </c>
      <c r="J3500" s="3" t="s">
        <v>314</v>
      </c>
      <c r="K3500" s="4">
        <v>3208004</v>
      </c>
    </row>
    <row r="3501" spans="1:43" x14ac:dyDescent="0.3">
      <c r="B3501" s="44">
        <v>46074</v>
      </c>
      <c r="C3501" s="3" t="s">
        <v>416</v>
      </c>
      <c r="D3501" s="3" t="s">
        <v>490</v>
      </c>
      <c r="E3501" s="4"/>
      <c r="F3501" s="3" t="s">
        <v>476</v>
      </c>
      <c r="G3501" s="3" t="s">
        <v>168</v>
      </c>
      <c r="H3501" s="4">
        <v>3356505</v>
      </c>
      <c r="I3501" s="4" t="s">
        <v>472</v>
      </c>
      <c r="J3501" s="4" t="s">
        <v>140</v>
      </c>
      <c r="K3501" s="4">
        <v>3357900</v>
      </c>
    </row>
    <row r="3502" spans="1:43" x14ac:dyDescent="0.3">
      <c r="B3502" s="44">
        <v>46074</v>
      </c>
      <c r="C3502" s="3" t="s">
        <v>416</v>
      </c>
      <c r="D3502" s="3" t="s">
        <v>493</v>
      </c>
      <c r="E3502" s="42"/>
      <c r="F3502" s="3" t="s">
        <v>476</v>
      </c>
      <c r="G3502" s="3" t="s">
        <v>170</v>
      </c>
      <c r="H3502" s="4">
        <v>3356703</v>
      </c>
      <c r="I3502" s="4" t="s">
        <v>471</v>
      </c>
      <c r="J3502" s="4" t="s">
        <v>217</v>
      </c>
      <c r="K3502" s="4">
        <v>3348309</v>
      </c>
    </row>
    <row r="3503" spans="1:43" x14ac:dyDescent="0.3">
      <c r="B3503" s="44">
        <v>46074</v>
      </c>
      <c r="C3503" s="3" t="s">
        <v>416</v>
      </c>
      <c r="D3503" s="3" t="s">
        <v>500</v>
      </c>
      <c r="E3503" s="42"/>
      <c r="F3503" s="3" t="s">
        <v>476</v>
      </c>
      <c r="G3503" s="3" t="s">
        <v>575</v>
      </c>
      <c r="H3503" s="4">
        <v>3900005</v>
      </c>
      <c r="I3503" s="4" t="s">
        <v>691</v>
      </c>
      <c r="J3503" s="4" t="s">
        <v>238</v>
      </c>
      <c r="K3503" s="4">
        <v>3350105</v>
      </c>
    </row>
    <row r="3504" spans="1:43" x14ac:dyDescent="0.3">
      <c r="B3504" s="44">
        <v>46074</v>
      </c>
      <c r="C3504" s="3" t="s">
        <v>416</v>
      </c>
      <c r="D3504" s="3" t="s">
        <v>57</v>
      </c>
      <c r="E3504" s="42"/>
      <c r="F3504" s="4" t="s">
        <v>666</v>
      </c>
      <c r="G3504" s="4" t="s">
        <v>259</v>
      </c>
      <c r="H3504" s="4">
        <v>3205809</v>
      </c>
      <c r="I3504" s="3" t="s">
        <v>667</v>
      </c>
      <c r="J3504" s="3" t="s">
        <v>257</v>
      </c>
      <c r="K3504" s="4">
        <v>3209805</v>
      </c>
    </row>
    <row r="3505" spans="1:43" x14ac:dyDescent="0.3">
      <c r="B3505" s="44">
        <v>46074</v>
      </c>
      <c r="C3505" s="3" t="s">
        <v>416</v>
      </c>
      <c r="D3505" s="3" t="s">
        <v>610</v>
      </c>
      <c r="E3505" s="42"/>
      <c r="F3505" s="3" t="s">
        <v>666</v>
      </c>
      <c r="G3505" s="3" t="s">
        <v>348</v>
      </c>
      <c r="H3505" s="4">
        <v>3205903</v>
      </c>
      <c r="I3505" s="4" t="s">
        <v>646</v>
      </c>
      <c r="J3505" s="4" t="s">
        <v>350</v>
      </c>
      <c r="K3505" s="4">
        <v>3202802</v>
      </c>
    </row>
    <row r="3506" spans="1:43" x14ac:dyDescent="0.3">
      <c r="B3506" s="44">
        <v>46074</v>
      </c>
      <c r="C3506" s="3" t="s">
        <v>416</v>
      </c>
      <c r="D3506" s="3" t="s">
        <v>495</v>
      </c>
      <c r="E3506" s="42"/>
      <c r="F3506" s="3" t="s">
        <v>666</v>
      </c>
      <c r="G3506" s="3" t="s">
        <v>192</v>
      </c>
      <c r="H3506" s="53">
        <v>3357004</v>
      </c>
      <c r="I3506" s="3" t="s">
        <v>666</v>
      </c>
      <c r="J3506" s="3" t="s">
        <v>193</v>
      </c>
      <c r="K3506" s="4">
        <v>3357108</v>
      </c>
    </row>
    <row r="3507" spans="1:43" x14ac:dyDescent="0.3">
      <c r="A3507" s="4"/>
      <c r="B3507" s="100">
        <v>46074</v>
      </c>
      <c r="C3507" s="98" t="s">
        <v>553</v>
      </c>
      <c r="D3507" s="4" t="s">
        <v>508</v>
      </c>
      <c r="E3507" s="4"/>
      <c r="F3507" s="73" t="s">
        <v>478</v>
      </c>
      <c r="G3507" s="73" t="s">
        <v>478</v>
      </c>
      <c r="H3507" s="73"/>
      <c r="I3507" s="73" t="s">
        <v>510</v>
      </c>
      <c r="J3507" s="73" t="s">
        <v>510</v>
      </c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</row>
    <row r="3508" spans="1:43" x14ac:dyDescent="0.3">
      <c r="B3508" s="44">
        <v>46074</v>
      </c>
      <c r="C3508" s="3" t="s">
        <v>416</v>
      </c>
      <c r="D3508" s="3" t="s">
        <v>57</v>
      </c>
      <c r="E3508" s="42"/>
      <c r="F3508" s="73" t="s">
        <v>478</v>
      </c>
      <c r="G3508" s="73" t="s">
        <v>260</v>
      </c>
      <c r="H3508" s="15">
        <v>3205705</v>
      </c>
      <c r="I3508" s="15" t="s">
        <v>703</v>
      </c>
      <c r="J3508" s="15" t="s">
        <v>585</v>
      </c>
      <c r="K3508" s="74" t="s">
        <v>556</v>
      </c>
    </row>
    <row r="3509" spans="1:43" x14ac:dyDescent="0.3">
      <c r="B3509" s="44">
        <v>46074</v>
      </c>
      <c r="C3509" s="3" t="s">
        <v>416</v>
      </c>
      <c r="D3509" s="3" t="s">
        <v>58</v>
      </c>
      <c r="E3509" s="42"/>
      <c r="F3509" s="32" t="s">
        <v>478</v>
      </c>
      <c r="G3509" s="32" t="s">
        <v>267</v>
      </c>
      <c r="H3509" s="15">
        <v>3205205</v>
      </c>
      <c r="I3509" s="3" t="s">
        <v>702</v>
      </c>
      <c r="J3509" s="3" t="s">
        <v>447</v>
      </c>
      <c r="K3509" s="32">
        <v>3055207</v>
      </c>
    </row>
    <row r="3510" spans="1:43" x14ac:dyDescent="0.3">
      <c r="B3510" s="44">
        <v>46074</v>
      </c>
      <c r="C3510" s="3" t="s">
        <v>416</v>
      </c>
      <c r="D3510" s="3" t="s">
        <v>61</v>
      </c>
      <c r="E3510" s="42"/>
      <c r="F3510" s="4" t="s">
        <v>478</v>
      </c>
      <c r="G3510" s="4" t="s">
        <v>330</v>
      </c>
      <c r="H3510" s="4">
        <v>3205309</v>
      </c>
      <c r="I3510" s="3" t="s">
        <v>703</v>
      </c>
      <c r="J3510" s="3" t="s">
        <v>596</v>
      </c>
      <c r="K3510" s="4" t="s">
        <v>556</v>
      </c>
    </row>
    <row r="3511" spans="1:43" x14ac:dyDescent="0.3">
      <c r="B3511" s="44">
        <v>46074</v>
      </c>
      <c r="C3511" s="3" t="s">
        <v>416</v>
      </c>
      <c r="D3511" s="3" t="s">
        <v>58</v>
      </c>
      <c r="E3511" s="42"/>
      <c r="F3511" s="3" t="s">
        <v>690</v>
      </c>
      <c r="G3511" s="3" t="s">
        <v>303</v>
      </c>
      <c r="H3511" s="4">
        <v>3205101</v>
      </c>
      <c r="I3511" s="3" t="s">
        <v>704</v>
      </c>
      <c r="J3511" s="3" t="s">
        <v>297</v>
      </c>
      <c r="K3511" s="32">
        <v>3204008</v>
      </c>
    </row>
    <row r="3512" spans="1:43" x14ac:dyDescent="0.3">
      <c r="B3512" s="44">
        <v>46074</v>
      </c>
      <c r="C3512" s="3" t="s">
        <v>416</v>
      </c>
      <c r="D3512" s="3" t="s">
        <v>489</v>
      </c>
      <c r="E3512" s="4"/>
      <c r="F3512" s="4" t="s">
        <v>682</v>
      </c>
      <c r="G3512" s="4" t="s">
        <v>564</v>
      </c>
      <c r="H3512" s="4">
        <v>3969804</v>
      </c>
      <c r="I3512" s="3" t="s">
        <v>650</v>
      </c>
      <c r="J3512" s="3" t="s">
        <v>163</v>
      </c>
      <c r="K3512" s="4">
        <v>3351802</v>
      </c>
    </row>
    <row r="3513" spans="1:43" x14ac:dyDescent="0.3">
      <c r="B3513" s="44">
        <v>46074</v>
      </c>
      <c r="C3513" s="3" t="s">
        <v>416</v>
      </c>
      <c r="D3513" s="3" t="s">
        <v>62</v>
      </c>
      <c r="E3513" s="42"/>
      <c r="F3513" s="3" t="s">
        <v>700</v>
      </c>
      <c r="G3513" s="3" t="s">
        <v>442</v>
      </c>
      <c r="H3513" s="4">
        <v>3205007</v>
      </c>
      <c r="I3513" s="4" t="s">
        <v>660</v>
      </c>
      <c r="J3513" s="4" t="s">
        <v>443</v>
      </c>
      <c r="K3513" s="4">
        <v>3210008</v>
      </c>
    </row>
    <row r="3514" spans="1:43" x14ac:dyDescent="0.3">
      <c r="B3514" s="44">
        <v>46074</v>
      </c>
      <c r="C3514" s="3" t="s">
        <v>416</v>
      </c>
      <c r="D3514" s="3" t="s">
        <v>493</v>
      </c>
      <c r="E3514" s="42"/>
      <c r="F3514" s="3" t="s">
        <v>701</v>
      </c>
      <c r="G3514" s="3" t="s">
        <v>171</v>
      </c>
      <c r="H3514" s="4">
        <v>3355600</v>
      </c>
      <c r="I3514" s="4" t="s">
        <v>476</v>
      </c>
      <c r="J3514" s="4" t="s">
        <v>169</v>
      </c>
      <c r="K3514" s="4">
        <v>3356609</v>
      </c>
    </row>
    <row r="3515" spans="1:43" x14ac:dyDescent="0.3">
      <c r="B3515" s="44">
        <v>46074</v>
      </c>
      <c r="C3515" s="3" t="s">
        <v>416</v>
      </c>
      <c r="D3515" s="3" t="s">
        <v>62</v>
      </c>
      <c r="E3515" s="42"/>
      <c r="F3515" s="3" t="s">
        <v>701</v>
      </c>
      <c r="G3515" s="3" t="s">
        <v>360</v>
      </c>
      <c r="H3515" s="4">
        <v>3203801</v>
      </c>
      <c r="I3515" s="3" t="s">
        <v>677</v>
      </c>
      <c r="J3515" s="3" t="s">
        <v>324</v>
      </c>
      <c r="K3515" s="4">
        <v>3201605</v>
      </c>
    </row>
    <row r="3516" spans="1:43" x14ac:dyDescent="0.3">
      <c r="B3516" s="44">
        <v>46074</v>
      </c>
      <c r="C3516" s="3" t="s">
        <v>416</v>
      </c>
      <c r="D3516" s="3" t="s">
        <v>500</v>
      </c>
      <c r="E3516" s="42"/>
      <c r="F3516" s="3" t="s">
        <v>701</v>
      </c>
      <c r="G3516" s="3" t="s">
        <v>236</v>
      </c>
      <c r="H3516" s="4">
        <v>3355704</v>
      </c>
      <c r="I3516" s="4" t="s">
        <v>479</v>
      </c>
      <c r="J3516" s="4" t="s">
        <v>232</v>
      </c>
      <c r="K3516" s="4">
        <v>3360507</v>
      </c>
    </row>
    <row r="3517" spans="1:43" x14ac:dyDescent="0.3">
      <c r="B3517" s="44">
        <v>46074</v>
      </c>
      <c r="C3517" s="3" t="s">
        <v>416</v>
      </c>
      <c r="D3517" s="3" t="s">
        <v>593</v>
      </c>
      <c r="E3517" s="42"/>
      <c r="F3517" s="3" t="s">
        <v>701</v>
      </c>
      <c r="G3517" s="3" t="s">
        <v>631</v>
      </c>
      <c r="H3517" s="4">
        <v>4023209</v>
      </c>
      <c r="I3517" s="4" t="s">
        <v>479</v>
      </c>
      <c r="J3517" s="4" t="s">
        <v>628</v>
      </c>
      <c r="K3517" s="4" t="s">
        <v>642</v>
      </c>
    </row>
    <row r="3518" spans="1:43" x14ac:dyDescent="0.3">
      <c r="B3518" s="44">
        <v>46074</v>
      </c>
      <c r="C3518" s="3" t="s">
        <v>416</v>
      </c>
      <c r="D3518" s="3" t="s">
        <v>487</v>
      </c>
      <c r="E3518" s="4"/>
      <c r="F3518" s="3" t="s">
        <v>695</v>
      </c>
      <c r="G3518" s="3" t="s">
        <v>101</v>
      </c>
      <c r="H3518" s="4">
        <v>3067305</v>
      </c>
      <c r="I3518" s="3" t="s">
        <v>647</v>
      </c>
      <c r="J3518" s="3" t="s">
        <v>116</v>
      </c>
      <c r="K3518" s="4">
        <v>3346009</v>
      </c>
    </row>
    <row r="3519" spans="1:43" x14ac:dyDescent="0.3">
      <c r="B3519" s="44">
        <v>46074</v>
      </c>
      <c r="C3519" s="3" t="s">
        <v>416</v>
      </c>
      <c r="D3519" s="3" t="s">
        <v>60</v>
      </c>
      <c r="E3519" s="42"/>
      <c r="F3519" s="3" t="s">
        <v>695</v>
      </c>
      <c r="G3519" s="3" t="s">
        <v>296</v>
      </c>
      <c r="H3519" s="4">
        <v>3203905</v>
      </c>
      <c r="I3519" s="3" t="s">
        <v>473</v>
      </c>
      <c r="J3519" s="3" t="s">
        <v>298</v>
      </c>
      <c r="K3519" s="32">
        <v>3817807</v>
      </c>
    </row>
    <row r="3520" spans="1:43" x14ac:dyDescent="0.3">
      <c r="B3520" s="44">
        <v>46074</v>
      </c>
      <c r="C3520" s="3" t="s">
        <v>416</v>
      </c>
      <c r="D3520" s="3" t="s">
        <v>488</v>
      </c>
      <c r="E3520" s="42"/>
      <c r="F3520" s="4" t="s">
        <v>695</v>
      </c>
      <c r="G3520" s="4" t="s">
        <v>147</v>
      </c>
      <c r="H3520" s="4">
        <v>3067409</v>
      </c>
      <c r="I3520" s="3" t="s">
        <v>690</v>
      </c>
      <c r="J3520" s="3" t="s">
        <v>118</v>
      </c>
      <c r="K3520" s="4">
        <v>3356005</v>
      </c>
    </row>
    <row r="3521" spans="2:11" x14ac:dyDescent="0.3">
      <c r="B3521" s="44">
        <v>46074</v>
      </c>
      <c r="C3521" s="3" t="s">
        <v>416</v>
      </c>
      <c r="D3521" s="3" t="s">
        <v>488</v>
      </c>
      <c r="E3521" s="42"/>
      <c r="F3521" s="3" t="s">
        <v>704</v>
      </c>
      <c r="G3521" s="3" t="s">
        <v>120</v>
      </c>
      <c r="H3521" s="4">
        <v>3355506</v>
      </c>
      <c r="I3521" s="3" t="s">
        <v>645</v>
      </c>
      <c r="J3521" s="3" t="s">
        <v>123</v>
      </c>
      <c r="K3521" s="4">
        <v>3351104</v>
      </c>
    </row>
    <row r="3522" spans="2:11" x14ac:dyDescent="0.3">
      <c r="B3522" s="44">
        <v>46074</v>
      </c>
      <c r="C3522" s="3" t="s">
        <v>416</v>
      </c>
      <c r="D3522" s="3" t="s">
        <v>60</v>
      </c>
      <c r="E3522" s="42"/>
      <c r="F3522" s="3" t="s">
        <v>473</v>
      </c>
      <c r="G3522" s="3" t="s">
        <v>445</v>
      </c>
      <c r="H3522" s="4">
        <v>3204102</v>
      </c>
      <c r="I3522" s="3" t="s">
        <v>721</v>
      </c>
      <c r="J3522" s="3" t="s">
        <v>300</v>
      </c>
      <c r="K3522" s="32">
        <v>3194805</v>
      </c>
    </row>
    <row r="3523" spans="2:11" x14ac:dyDescent="0.3">
      <c r="B3523" s="44">
        <v>46074</v>
      </c>
      <c r="C3523" s="3" t="s">
        <v>416</v>
      </c>
      <c r="D3523" s="3" t="s">
        <v>67</v>
      </c>
      <c r="E3523" s="42"/>
      <c r="F3523" s="4" t="s">
        <v>708</v>
      </c>
      <c r="G3523" s="4" t="s">
        <v>339</v>
      </c>
      <c r="H3523" s="4">
        <v>3204300</v>
      </c>
      <c r="I3523" s="4" t="s">
        <v>647</v>
      </c>
      <c r="J3523" s="4" t="s">
        <v>345</v>
      </c>
      <c r="K3523" s="4">
        <v>3194003</v>
      </c>
    </row>
    <row r="3524" spans="2:11" x14ac:dyDescent="0.3">
      <c r="B3524" s="44">
        <v>46074</v>
      </c>
      <c r="C3524" s="3" t="s">
        <v>416</v>
      </c>
      <c r="D3524" s="3" t="s">
        <v>488</v>
      </c>
      <c r="E3524" s="42"/>
      <c r="F3524" s="3" t="s">
        <v>703</v>
      </c>
      <c r="G3524" s="3" t="s">
        <v>560</v>
      </c>
      <c r="H3524" s="4" t="s">
        <v>562</v>
      </c>
      <c r="I3524" s="3" t="s">
        <v>702</v>
      </c>
      <c r="J3524" s="3" t="s">
        <v>119</v>
      </c>
      <c r="K3524" s="4">
        <v>3067909</v>
      </c>
    </row>
    <row r="3525" spans="2:11" x14ac:dyDescent="0.3">
      <c r="B3525" s="44">
        <v>46074</v>
      </c>
      <c r="C3525" s="3" t="s">
        <v>416</v>
      </c>
      <c r="D3525" s="3" t="s">
        <v>487</v>
      </c>
      <c r="E3525" s="4"/>
      <c r="F3525" s="3" t="s">
        <v>709</v>
      </c>
      <c r="G3525" s="3" t="s">
        <v>111</v>
      </c>
      <c r="H3525" s="4">
        <v>3354601</v>
      </c>
      <c r="I3525" s="3" t="s">
        <v>479</v>
      </c>
      <c r="J3525" s="3" t="s">
        <v>127</v>
      </c>
      <c r="K3525" s="4">
        <v>3360809</v>
      </c>
    </row>
    <row r="3526" spans="2:11" x14ac:dyDescent="0.3">
      <c r="B3526" s="44">
        <v>46074</v>
      </c>
      <c r="C3526" s="3" t="s">
        <v>416</v>
      </c>
      <c r="D3526" s="3" t="s">
        <v>491</v>
      </c>
      <c r="E3526" s="42"/>
      <c r="F3526" s="4" t="s">
        <v>709</v>
      </c>
      <c r="G3526" s="4" t="s">
        <v>566</v>
      </c>
      <c r="H3526" s="4">
        <v>3560703</v>
      </c>
      <c r="I3526" s="3" t="s">
        <v>698</v>
      </c>
      <c r="J3526" s="3" t="s">
        <v>567</v>
      </c>
      <c r="K3526" s="4" t="s">
        <v>556</v>
      </c>
    </row>
    <row r="3527" spans="2:11" x14ac:dyDescent="0.3">
      <c r="B3527" s="44">
        <v>46074</v>
      </c>
      <c r="C3527" s="3" t="s">
        <v>416</v>
      </c>
      <c r="D3527" s="3" t="s">
        <v>61</v>
      </c>
      <c r="E3527" s="42"/>
      <c r="F3527" s="3" t="s">
        <v>684</v>
      </c>
      <c r="G3527" s="3" t="s">
        <v>306</v>
      </c>
      <c r="H3527" s="4">
        <v>3202604</v>
      </c>
      <c r="I3527" s="106" t="s">
        <v>659</v>
      </c>
      <c r="J3527" s="106" t="s">
        <v>367</v>
      </c>
      <c r="K3527" s="106">
        <v>3208806</v>
      </c>
    </row>
    <row r="3528" spans="2:11" x14ac:dyDescent="0.3">
      <c r="B3528" s="44">
        <v>46074</v>
      </c>
      <c r="C3528" s="3" t="s">
        <v>416</v>
      </c>
      <c r="D3528" s="3" t="s">
        <v>491</v>
      </c>
      <c r="E3528" s="42"/>
      <c r="F3528" s="3" t="s">
        <v>684</v>
      </c>
      <c r="G3528" s="3" t="s">
        <v>149</v>
      </c>
      <c r="H3528" s="4">
        <v>3354507</v>
      </c>
      <c r="I3528" s="4" t="s">
        <v>702</v>
      </c>
      <c r="J3528" s="4" t="s">
        <v>180</v>
      </c>
      <c r="K3528" s="4">
        <v>3355308</v>
      </c>
    </row>
    <row r="3529" spans="2:11" x14ac:dyDescent="0.3">
      <c r="B3529" s="44">
        <v>46074</v>
      </c>
      <c r="C3529" s="3" t="s">
        <v>416</v>
      </c>
      <c r="D3529" s="3" t="s">
        <v>491</v>
      </c>
      <c r="E3529" s="42"/>
      <c r="F3529" s="104" t="s">
        <v>684</v>
      </c>
      <c r="G3529" s="104" t="s">
        <v>182</v>
      </c>
      <c r="H3529" s="53">
        <v>3900203</v>
      </c>
      <c r="I3529" s="3" t="s">
        <v>695</v>
      </c>
      <c r="J3529" s="3" t="s">
        <v>148</v>
      </c>
      <c r="K3529" s="4">
        <v>3355402</v>
      </c>
    </row>
    <row r="3530" spans="2:11" x14ac:dyDescent="0.3">
      <c r="B3530" s="44">
        <v>46074</v>
      </c>
      <c r="C3530" s="3" t="s">
        <v>416</v>
      </c>
      <c r="D3530" s="3" t="s">
        <v>56</v>
      </c>
      <c r="E3530" s="42"/>
      <c r="F3530" s="3" t="s">
        <v>646</v>
      </c>
      <c r="G3530" s="3" t="s">
        <v>251</v>
      </c>
      <c r="H3530" s="4">
        <v>3036704</v>
      </c>
      <c r="I3530" s="106" t="s">
        <v>672</v>
      </c>
      <c r="J3530" s="106" t="s">
        <v>252</v>
      </c>
      <c r="K3530" s="106">
        <v>3070204</v>
      </c>
    </row>
    <row r="3531" spans="2:11" x14ac:dyDescent="0.3">
      <c r="B3531" s="44">
        <v>46074</v>
      </c>
      <c r="C3531" s="3" t="s">
        <v>416</v>
      </c>
      <c r="D3531" s="3" t="s">
        <v>64</v>
      </c>
      <c r="E3531" s="42">
        <v>4370907</v>
      </c>
      <c r="F3531" s="3" t="s">
        <v>646</v>
      </c>
      <c r="G3531" s="3" t="s">
        <v>349</v>
      </c>
      <c r="H3531" s="4">
        <v>3202500</v>
      </c>
      <c r="I3531" s="4" t="s">
        <v>692</v>
      </c>
      <c r="J3531" s="4" t="s">
        <v>342</v>
      </c>
      <c r="K3531" s="4">
        <v>3196501</v>
      </c>
    </row>
    <row r="3532" spans="2:11" x14ac:dyDescent="0.3">
      <c r="B3532" s="44">
        <v>46074</v>
      </c>
      <c r="C3532" s="3" t="s">
        <v>416</v>
      </c>
      <c r="D3532" s="3" t="s">
        <v>495</v>
      </c>
      <c r="E3532" s="42"/>
      <c r="F3532" s="3" t="s">
        <v>646</v>
      </c>
      <c r="G3532" s="3" t="s">
        <v>195</v>
      </c>
      <c r="H3532" s="74">
        <v>3361600</v>
      </c>
      <c r="I3532" s="3" t="s">
        <v>685</v>
      </c>
      <c r="J3532" s="3" t="s">
        <v>197</v>
      </c>
      <c r="K3532" s="4">
        <v>3353300</v>
      </c>
    </row>
    <row r="3533" spans="2:11" x14ac:dyDescent="0.3">
      <c r="B3533" s="44">
        <v>46074</v>
      </c>
      <c r="C3533" s="3" t="s">
        <v>416</v>
      </c>
      <c r="D3533" s="3" t="s">
        <v>56</v>
      </c>
      <c r="E3533" s="42"/>
      <c r="F3533" s="4" t="s">
        <v>696</v>
      </c>
      <c r="G3533" s="4" t="s">
        <v>261</v>
      </c>
      <c r="H3533" s="4">
        <v>3202302</v>
      </c>
      <c r="I3533" s="4" t="s">
        <v>688</v>
      </c>
      <c r="J3533" s="4" t="s">
        <v>264</v>
      </c>
      <c r="K3533" s="4">
        <v>3055603</v>
      </c>
    </row>
    <row r="3534" spans="2:11" x14ac:dyDescent="0.3">
      <c r="B3534" s="44">
        <v>46074</v>
      </c>
      <c r="C3534" s="3" t="s">
        <v>416</v>
      </c>
      <c r="D3534" s="3" t="s">
        <v>61</v>
      </c>
      <c r="E3534" s="42"/>
      <c r="F3534" s="3" t="s">
        <v>696</v>
      </c>
      <c r="G3534" s="3" t="s">
        <v>307</v>
      </c>
      <c r="H3534" s="4">
        <v>3201907</v>
      </c>
      <c r="I3534" s="4" t="s">
        <v>477</v>
      </c>
      <c r="J3534" s="4" t="s">
        <v>332</v>
      </c>
      <c r="K3534" s="4">
        <v>3199206</v>
      </c>
    </row>
    <row r="3535" spans="2:11" x14ac:dyDescent="0.3">
      <c r="B3535" s="44">
        <v>46074</v>
      </c>
      <c r="C3535" s="3" t="s">
        <v>416</v>
      </c>
      <c r="D3535" s="3" t="s">
        <v>500</v>
      </c>
      <c r="E3535" s="42"/>
      <c r="F3535" s="3" t="s">
        <v>672</v>
      </c>
      <c r="G3535" s="3" t="s">
        <v>187</v>
      </c>
      <c r="H3535" s="4">
        <v>3354101</v>
      </c>
      <c r="I3535" s="4" t="s">
        <v>657</v>
      </c>
      <c r="J3535" s="4" t="s">
        <v>574</v>
      </c>
      <c r="K3535" s="4">
        <v>3359606</v>
      </c>
    </row>
    <row r="3536" spans="2:11" x14ac:dyDescent="0.3">
      <c r="B3536" s="44">
        <v>46074</v>
      </c>
      <c r="C3536" s="3" t="s">
        <v>416</v>
      </c>
      <c r="D3536" s="3" t="s">
        <v>67</v>
      </c>
      <c r="E3536" s="42"/>
      <c r="F3536" s="3" t="s">
        <v>672</v>
      </c>
      <c r="G3536" s="3" t="s">
        <v>375</v>
      </c>
      <c r="H3536" s="4">
        <v>3069209</v>
      </c>
      <c r="I3536" s="3" t="s">
        <v>475</v>
      </c>
      <c r="J3536" s="3" t="s">
        <v>336</v>
      </c>
      <c r="K3536" s="4">
        <v>3211809</v>
      </c>
    </row>
    <row r="3537" spans="2:11" x14ac:dyDescent="0.3">
      <c r="B3537" s="44">
        <v>46074</v>
      </c>
      <c r="C3537" s="3" t="s">
        <v>416</v>
      </c>
      <c r="D3537" s="3" t="s">
        <v>58</v>
      </c>
      <c r="E3537" s="42"/>
      <c r="F3537" s="3" t="s">
        <v>697</v>
      </c>
      <c r="G3537" s="3" t="s">
        <v>262</v>
      </c>
      <c r="H3537" s="4">
        <v>3055405</v>
      </c>
      <c r="I3537" s="3" t="s">
        <v>659</v>
      </c>
      <c r="J3537" s="3" t="s">
        <v>265</v>
      </c>
      <c r="K3537" s="32">
        <v>3208702</v>
      </c>
    </row>
    <row r="3538" spans="2:11" x14ac:dyDescent="0.3">
      <c r="B3538" s="44">
        <v>46074</v>
      </c>
      <c r="C3538" s="3" t="s">
        <v>416</v>
      </c>
      <c r="D3538" s="3" t="s">
        <v>491</v>
      </c>
      <c r="E3538" s="42"/>
      <c r="F3538" s="3" t="s">
        <v>697</v>
      </c>
      <c r="G3538" s="3" t="s">
        <v>150</v>
      </c>
      <c r="H3538" s="4">
        <v>3353706</v>
      </c>
      <c r="I3538" s="3" t="s">
        <v>645</v>
      </c>
      <c r="J3538" s="3" t="s">
        <v>152</v>
      </c>
      <c r="K3538" s="4">
        <v>3351302</v>
      </c>
    </row>
    <row r="3539" spans="2:11" x14ac:dyDescent="0.3">
      <c r="B3539" s="44">
        <v>46074</v>
      </c>
      <c r="C3539" s="3" t="s">
        <v>416</v>
      </c>
      <c r="D3539" s="3" t="s">
        <v>504</v>
      </c>
      <c r="E3539" s="42"/>
      <c r="F3539" s="4" t="s">
        <v>694</v>
      </c>
      <c r="G3539" s="4" t="s">
        <v>112</v>
      </c>
      <c r="H3539" s="4">
        <v>3353602</v>
      </c>
      <c r="I3539" s="3" t="s">
        <v>666</v>
      </c>
      <c r="J3539" s="3" t="s">
        <v>12</v>
      </c>
      <c r="K3539" s="4">
        <v>3034206</v>
      </c>
    </row>
    <row r="3540" spans="2:11" x14ac:dyDescent="0.3">
      <c r="B3540" s="44">
        <v>46074</v>
      </c>
      <c r="C3540" s="3" t="s">
        <v>416</v>
      </c>
      <c r="D3540" s="3" t="s">
        <v>593</v>
      </c>
      <c r="E3540" s="42"/>
      <c r="F3540" s="3" t="s">
        <v>694</v>
      </c>
      <c r="G3540" s="3" t="s">
        <v>632</v>
      </c>
      <c r="H3540" s="4">
        <v>4023303</v>
      </c>
      <c r="I3540" s="4" t="s">
        <v>663</v>
      </c>
      <c r="J3540" s="4" t="s">
        <v>396</v>
      </c>
      <c r="K3540" s="4">
        <v>3197104</v>
      </c>
    </row>
    <row r="3541" spans="2:11" x14ac:dyDescent="0.3">
      <c r="B3541" s="44">
        <v>46074</v>
      </c>
      <c r="C3541" s="3" t="s">
        <v>416</v>
      </c>
      <c r="D3541" s="3" t="s">
        <v>65</v>
      </c>
      <c r="E3541" s="42"/>
      <c r="F3541" s="3" t="s">
        <v>655</v>
      </c>
      <c r="G3541" s="3" t="s">
        <v>325</v>
      </c>
      <c r="H3541" s="4">
        <v>3201501</v>
      </c>
      <c r="I3541" s="4" t="s">
        <v>653</v>
      </c>
      <c r="J3541" s="4" t="s">
        <v>451</v>
      </c>
      <c r="K3541" s="4">
        <v>3211309</v>
      </c>
    </row>
    <row r="3542" spans="2:11" x14ac:dyDescent="0.3">
      <c r="B3542" s="44">
        <v>46074</v>
      </c>
      <c r="C3542" s="3" t="s">
        <v>416</v>
      </c>
      <c r="D3542" s="3" t="s">
        <v>489</v>
      </c>
      <c r="E3542" s="4"/>
      <c r="F3542" s="4" t="s">
        <v>685</v>
      </c>
      <c r="G3542" s="4" t="s">
        <v>160</v>
      </c>
      <c r="H3542" s="4">
        <v>3353008</v>
      </c>
      <c r="I3542" s="3" t="s">
        <v>672</v>
      </c>
      <c r="J3542" s="3" t="s">
        <v>129</v>
      </c>
      <c r="K3542" s="4">
        <v>3067503</v>
      </c>
    </row>
    <row r="3543" spans="2:11" x14ac:dyDescent="0.3">
      <c r="B3543" s="44">
        <v>46074</v>
      </c>
      <c r="C3543" s="3" t="s">
        <v>416</v>
      </c>
      <c r="D3543" s="3" t="s">
        <v>610</v>
      </c>
      <c r="E3543" s="42"/>
      <c r="F3543" s="3" t="s">
        <v>685</v>
      </c>
      <c r="G3543" s="3" t="s">
        <v>351</v>
      </c>
      <c r="H3543" s="4">
        <v>3201001</v>
      </c>
      <c r="I3543" s="4" t="s">
        <v>682</v>
      </c>
      <c r="J3543" s="4" t="s">
        <v>611</v>
      </c>
      <c r="K3543" s="4">
        <v>3204800</v>
      </c>
    </row>
    <row r="3544" spans="2:11" x14ac:dyDescent="0.3">
      <c r="B3544" s="44">
        <v>46074</v>
      </c>
      <c r="C3544" s="3" t="s">
        <v>416</v>
      </c>
      <c r="D3544" s="3" t="s">
        <v>495</v>
      </c>
      <c r="E3544" s="42"/>
      <c r="F3544" s="3" t="s">
        <v>685</v>
      </c>
      <c r="G3544" s="3" t="s">
        <v>196</v>
      </c>
      <c r="H3544" s="4">
        <v>3353102</v>
      </c>
      <c r="I3544" s="3" t="s">
        <v>670</v>
      </c>
      <c r="J3544" s="3" t="s">
        <v>224</v>
      </c>
      <c r="K3544" s="4">
        <v>3347008</v>
      </c>
    </row>
    <row r="3545" spans="2:11" x14ac:dyDescent="0.3">
      <c r="B3545" s="44">
        <v>46074</v>
      </c>
      <c r="C3545" s="3" t="s">
        <v>416</v>
      </c>
      <c r="D3545" s="3" t="s">
        <v>610</v>
      </c>
      <c r="E3545" s="42"/>
      <c r="F3545" s="3" t="s">
        <v>685</v>
      </c>
      <c r="G3545" s="3" t="s">
        <v>382</v>
      </c>
      <c r="H3545" s="4">
        <v>3200804</v>
      </c>
      <c r="I3545" s="4" t="s">
        <v>711</v>
      </c>
      <c r="J3545" s="4" t="s">
        <v>381</v>
      </c>
      <c r="K3545" s="4">
        <v>3201209</v>
      </c>
    </row>
    <row r="3546" spans="2:11" x14ac:dyDescent="0.3">
      <c r="B3546" s="44">
        <v>46074</v>
      </c>
      <c r="C3546" s="3" t="s">
        <v>416</v>
      </c>
      <c r="D3546" s="3" t="s">
        <v>610</v>
      </c>
      <c r="E3546" s="42"/>
      <c r="F3546" s="3" t="s">
        <v>474</v>
      </c>
      <c r="G3546" s="3" t="s">
        <v>458</v>
      </c>
      <c r="H3546" s="4">
        <v>3200304</v>
      </c>
      <c r="I3546" s="4" t="s">
        <v>650</v>
      </c>
      <c r="J3546" s="4" t="s">
        <v>353</v>
      </c>
      <c r="K3546" s="4">
        <v>3200200</v>
      </c>
    </row>
    <row r="3547" spans="2:11" x14ac:dyDescent="0.3">
      <c r="B3547" s="44">
        <v>46074</v>
      </c>
      <c r="C3547" s="3" t="s">
        <v>416</v>
      </c>
      <c r="D3547" s="3" t="s">
        <v>492</v>
      </c>
      <c r="E3547" s="42"/>
      <c r="F3547" s="3" t="s">
        <v>474</v>
      </c>
      <c r="G3547" s="3" t="s">
        <v>161</v>
      </c>
      <c r="H3547" s="4">
        <v>3352509</v>
      </c>
      <c r="I3547" s="4" t="s">
        <v>646</v>
      </c>
      <c r="J3547" s="4" t="s">
        <v>194</v>
      </c>
      <c r="K3547" s="4">
        <v>3354205</v>
      </c>
    </row>
    <row r="3548" spans="2:11" x14ac:dyDescent="0.3">
      <c r="B3548" s="44">
        <v>46074</v>
      </c>
      <c r="C3548" s="3" t="s">
        <v>416</v>
      </c>
      <c r="D3548" s="3" t="s">
        <v>496</v>
      </c>
      <c r="E3548" s="42"/>
      <c r="F3548" s="4" t="s">
        <v>474</v>
      </c>
      <c r="G3548" s="4" t="s">
        <v>426</v>
      </c>
      <c r="H3548" s="4">
        <v>3352603</v>
      </c>
      <c r="I3548" s="4" t="s">
        <v>665</v>
      </c>
      <c r="J3548" s="4" t="s">
        <v>204</v>
      </c>
      <c r="K3548" s="4">
        <v>3357400</v>
      </c>
    </row>
    <row r="3549" spans="2:11" x14ac:dyDescent="0.3">
      <c r="B3549" s="44">
        <v>46074</v>
      </c>
      <c r="C3549" s="3" t="s">
        <v>416</v>
      </c>
      <c r="D3549" s="3" t="s">
        <v>492</v>
      </c>
      <c r="E3549" s="42"/>
      <c r="F3549" s="3" t="s">
        <v>714</v>
      </c>
      <c r="G3549" s="3" t="s">
        <v>162</v>
      </c>
      <c r="H3549" s="4">
        <v>3348903</v>
      </c>
      <c r="I3549" s="3" t="s">
        <v>649</v>
      </c>
      <c r="J3549" s="3" t="s">
        <v>154</v>
      </c>
      <c r="K3549" s="4">
        <v>3362109</v>
      </c>
    </row>
    <row r="3550" spans="2:11" x14ac:dyDescent="0.3">
      <c r="B3550" s="44">
        <v>46074</v>
      </c>
      <c r="C3550" s="3" t="s">
        <v>416</v>
      </c>
      <c r="D3550" s="3" t="s">
        <v>496</v>
      </c>
      <c r="E3550" s="42"/>
      <c r="F3550" s="3" t="s">
        <v>650</v>
      </c>
      <c r="G3550" s="3" t="s">
        <v>205</v>
      </c>
      <c r="H3550" s="74">
        <v>3351906</v>
      </c>
      <c r="I3550" s="3" t="s">
        <v>652</v>
      </c>
      <c r="J3550" s="3" t="s">
        <v>229</v>
      </c>
      <c r="K3550" s="4">
        <v>3358409</v>
      </c>
    </row>
    <row r="3551" spans="2:11" x14ac:dyDescent="0.3">
      <c r="B3551" s="44">
        <v>46074</v>
      </c>
      <c r="C3551" s="3" t="s">
        <v>416</v>
      </c>
      <c r="D3551" s="3" t="s">
        <v>68</v>
      </c>
      <c r="E3551" s="42"/>
      <c r="F3551" s="3" t="s">
        <v>650</v>
      </c>
      <c r="G3551" s="3" t="s">
        <v>390</v>
      </c>
      <c r="H3551" s="4">
        <v>3544509</v>
      </c>
      <c r="I3551" s="4" t="s">
        <v>570</v>
      </c>
      <c r="J3551" s="4" t="s">
        <v>570</v>
      </c>
      <c r="K3551" s="4" t="s">
        <v>556</v>
      </c>
    </row>
    <row r="3552" spans="2:11" x14ac:dyDescent="0.3">
      <c r="B3552" s="44">
        <v>46074</v>
      </c>
      <c r="C3552" s="3" t="s">
        <v>416</v>
      </c>
      <c r="D3552" s="3" t="s">
        <v>59</v>
      </c>
      <c r="E3552" s="42"/>
      <c r="F3552" s="4" t="s">
        <v>656</v>
      </c>
      <c r="G3552" s="4" t="s">
        <v>278</v>
      </c>
      <c r="H3552" s="4">
        <v>3199800</v>
      </c>
      <c r="I3552" s="4" t="s">
        <v>655</v>
      </c>
      <c r="J3552" s="4" t="s">
        <v>288</v>
      </c>
      <c r="K3552" s="4">
        <v>3200908</v>
      </c>
    </row>
    <row r="3553" spans="1:43" x14ac:dyDescent="0.3">
      <c r="B3553" s="44">
        <v>46074</v>
      </c>
      <c r="C3553" s="3" t="s">
        <v>416</v>
      </c>
      <c r="D3553" s="3" t="s">
        <v>65</v>
      </c>
      <c r="E3553" s="42"/>
      <c r="F3553" s="3" t="s">
        <v>656</v>
      </c>
      <c r="G3553" s="3" t="s">
        <v>326</v>
      </c>
      <c r="H3553" s="4">
        <v>3199904</v>
      </c>
      <c r="I3553" s="4" t="s">
        <v>693</v>
      </c>
      <c r="J3553" s="4" t="s">
        <v>357</v>
      </c>
      <c r="K3553" s="4">
        <v>3206704</v>
      </c>
    </row>
    <row r="3554" spans="1:43" x14ac:dyDescent="0.3">
      <c r="B3554" s="44">
        <v>46074</v>
      </c>
      <c r="C3554" s="3" t="s">
        <v>416</v>
      </c>
      <c r="D3554" s="3" t="s">
        <v>487</v>
      </c>
      <c r="E3554" s="4"/>
      <c r="F3554" s="4" t="s">
        <v>710</v>
      </c>
      <c r="G3554" s="4" t="s">
        <v>113</v>
      </c>
      <c r="H3554" s="4">
        <v>3352009</v>
      </c>
      <c r="I3554" s="3" t="s">
        <v>663</v>
      </c>
      <c r="J3554" s="3" t="s">
        <v>419</v>
      </c>
      <c r="K3554" s="4">
        <v>3349204</v>
      </c>
    </row>
    <row r="3555" spans="1:43" x14ac:dyDescent="0.3">
      <c r="B3555" s="44">
        <v>46074</v>
      </c>
      <c r="C3555" s="3" t="s">
        <v>416</v>
      </c>
      <c r="D3555" s="3" t="s">
        <v>64</v>
      </c>
      <c r="E3555" s="42">
        <v>4370907</v>
      </c>
      <c r="F3555" s="3" t="s">
        <v>710</v>
      </c>
      <c r="G3555" s="3" t="s">
        <v>354</v>
      </c>
      <c r="H3555" s="4">
        <v>3199404</v>
      </c>
      <c r="I3555" s="4" t="s">
        <v>670</v>
      </c>
      <c r="J3555" s="4" t="s">
        <v>343</v>
      </c>
      <c r="K3555" s="4">
        <v>3195606</v>
      </c>
    </row>
    <row r="3556" spans="1:43" x14ac:dyDescent="0.3">
      <c r="B3556" s="44">
        <v>46074</v>
      </c>
      <c r="C3556" s="3" t="s">
        <v>416</v>
      </c>
      <c r="D3556" s="4" t="s">
        <v>614</v>
      </c>
      <c r="E3556" s="42"/>
      <c r="F3556" s="3" t="s">
        <v>710</v>
      </c>
      <c r="G3556" s="3" t="s">
        <v>384</v>
      </c>
      <c r="H3556" s="4">
        <v>3199508</v>
      </c>
      <c r="I3556" s="4" t="s">
        <v>714</v>
      </c>
      <c r="J3556" s="4" t="s">
        <v>454</v>
      </c>
      <c r="K3556" s="4">
        <v>3820300</v>
      </c>
    </row>
    <row r="3557" spans="1:43" x14ac:dyDescent="0.3">
      <c r="B3557" s="44">
        <v>46074</v>
      </c>
      <c r="C3557" s="3" t="s">
        <v>416</v>
      </c>
      <c r="D3557" s="4" t="s">
        <v>614</v>
      </c>
      <c r="E3557" s="42"/>
      <c r="F3557" s="3" t="s">
        <v>710</v>
      </c>
      <c r="G3557" s="3" t="s">
        <v>385</v>
      </c>
      <c r="H3557" s="4">
        <v>3199602</v>
      </c>
      <c r="I3557" s="4" t="s">
        <v>666</v>
      </c>
      <c r="J3557" s="4" t="s">
        <v>453</v>
      </c>
      <c r="K3557" s="4">
        <v>3206006</v>
      </c>
    </row>
    <row r="3558" spans="1:43" x14ac:dyDescent="0.3">
      <c r="A3558" s="4"/>
      <c r="B3558" s="100">
        <v>46074</v>
      </c>
      <c r="C3558" s="98" t="s">
        <v>553</v>
      </c>
      <c r="D3558" s="4" t="s">
        <v>512</v>
      </c>
      <c r="E3558" s="4"/>
      <c r="F3558" s="73" t="s">
        <v>477</v>
      </c>
      <c r="G3558" s="73" t="s">
        <v>477</v>
      </c>
      <c r="H3558" s="73"/>
      <c r="I3558" s="73" t="s">
        <v>538</v>
      </c>
      <c r="J3558" s="73" t="s">
        <v>538</v>
      </c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</row>
    <row r="3559" spans="1:43" x14ac:dyDescent="0.3">
      <c r="B3559" s="44">
        <v>46074</v>
      </c>
      <c r="C3559" s="3" t="s">
        <v>416</v>
      </c>
      <c r="D3559" s="3" t="s">
        <v>61</v>
      </c>
      <c r="E3559" s="42"/>
      <c r="F3559" s="4" t="s">
        <v>477</v>
      </c>
      <c r="G3559" s="4" t="s">
        <v>308</v>
      </c>
      <c r="H3559" s="4">
        <v>3199300</v>
      </c>
      <c r="I3559" s="4" t="s">
        <v>658</v>
      </c>
      <c r="J3559" s="4" t="s">
        <v>301</v>
      </c>
      <c r="K3559" s="4">
        <v>3210300</v>
      </c>
    </row>
    <row r="3560" spans="1:43" x14ac:dyDescent="0.3">
      <c r="B3560" s="44">
        <v>46074</v>
      </c>
      <c r="C3560" s="3" t="s">
        <v>416</v>
      </c>
      <c r="D3560" s="3" t="s">
        <v>58</v>
      </c>
      <c r="E3560" s="42"/>
      <c r="F3560" s="3" t="s">
        <v>706</v>
      </c>
      <c r="G3560" s="3" t="s">
        <v>269</v>
      </c>
      <c r="H3560" s="4">
        <v>3069407</v>
      </c>
      <c r="I3560" s="3" t="s">
        <v>683</v>
      </c>
      <c r="J3560" s="3" t="s">
        <v>305</v>
      </c>
      <c r="K3560" s="4">
        <v>3202906</v>
      </c>
    </row>
    <row r="3561" spans="1:43" x14ac:dyDescent="0.3">
      <c r="B3561" s="44">
        <v>46074</v>
      </c>
      <c r="C3561" s="3" t="s">
        <v>416</v>
      </c>
      <c r="D3561" s="3" t="s">
        <v>57</v>
      </c>
      <c r="E3561" s="42"/>
      <c r="F3561" s="3" t="s">
        <v>645</v>
      </c>
      <c r="G3561" s="3" t="s">
        <v>263</v>
      </c>
      <c r="H3561" s="4">
        <v>3198707</v>
      </c>
      <c r="I3561" s="4" t="s">
        <v>680</v>
      </c>
      <c r="J3561" s="4" t="s">
        <v>266</v>
      </c>
      <c r="K3561" s="4">
        <v>3208306</v>
      </c>
    </row>
    <row r="3562" spans="1:43" x14ac:dyDescent="0.3">
      <c r="B3562" s="44">
        <v>46074</v>
      </c>
      <c r="C3562" s="3" t="s">
        <v>416</v>
      </c>
      <c r="D3562" s="3" t="s">
        <v>486</v>
      </c>
      <c r="E3562" s="42"/>
      <c r="F3562" s="4" t="s">
        <v>645</v>
      </c>
      <c r="G3562" s="4" t="s">
        <v>104</v>
      </c>
      <c r="H3562" s="4">
        <v>3036308</v>
      </c>
      <c r="I3562" s="4" t="s">
        <v>646</v>
      </c>
      <c r="J3562" s="4" t="s">
        <v>102</v>
      </c>
      <c r="K3562" s="4">
        <v>3125406</v>
      </c>
    </row>
    <row r="3563" spans="1:43" x14ac:dyDescent="0.3">
      <c r="B3563" s="44">
        <v>46074</v>
      </c>
      <c r="C3563" s="3" t="s">
        <v>416</v>
      </c>
      <c r="D3563" s="3" t="s">
        <v>488</v>
      </c>
      <c r="E3563" s="42"/>
      <c r="F3563" s="4" t="s">
        <v>645</v>
      </c>
      <c r="G3563" s="4" t="s">
        <v>151</v>
      </c>
      <c r="H3563" s="4">
        <v>3351208</v>
      </c>
      <c r="I3563" s="4" t="s">
        <v>684</v>
      </c>
      <c r="J3563" s="4" t="s">
        <v>121</v>
      </c>
      <c r="K3563" s="4">
        <v>3354309</v>
      </c>
    </row>
    <row r="3564" spans="1:43" x14ac:dyDescent="0.3">
      <c r="B3564" s="44">
        <v>46074</v>
      </c>
      <c r="C3564" s="3" t="s">
        <v>416</v>
      </c>
      <c r="D3564" s="3" t="s">
        <v>491</v>
      </c>
      <c r="E3564" s="42"/>
      <c r="F3564" s="4" t="s">
        <v>645</v>
      </c>
      <c r="G3564" s="4" t="s">
        <v>464</v>
      </c>
      <c r="H3564" s="4">
        <v>3351406</v>
      </c>
      <c r="I3564" s="3" t="s">
        <v>478</v>
      </c>
      <c r="J3564" s="3" t="s">
        <v>463</v>
      </c>
      <c r="K3564" s="74">
        <v>3125500</v>
      </c>
    </row>
    <row r="3565" spans="1:43" x14ac:dyDescent="0.3">
      <c r="B3565" s="44">
        <v>46074</v>
      </c>
      <c r="C3565" s="3" t="s">
        <v>416</v>
      </c>
      <c r="D3565" s="3" t="s">
        <v>489</v>
      </c>
      <c r="E3565" s="4"/>
      <c r="F3565" s="3" t="s">
        <v>678</v>
      </c>
      <c r="G3565" s="3" t="s">
        <v>131</v>
      </c>
      <c r="H3565" s="4">
        <v>3350605</v>
      </c>
      <c r="I3565" s="3" t="s">
        <v>671</v>
      </c>
      <c r="J3565" s="3" t="s">
        <v>156</v>
      </c>
      <c r="K3565" s="4">
        <v>3359200</v>
      </c>
    </row>
    <row r="3566" spans="1:43" x14ac:dyDescent="0.3">
      <c r="B3566" s="44">
        <v>46074</v>
      </c>
      <c r="C3566" s="3" t="s">
        <v>416</v>
      </c>
      <c r="D3566" s="3" t="s">
        <v>65</v>
      </c>
      <c r="E3566" s="42"/>
      <c r="F3566" s="3" t="s">
        <v>678</v>
      </c>
      <c r="G3566" s="3" t="s">
        <v>452</v>
      </c>
      <c r="H3566" s="4">
        <v>3198207</v>
      </c>
      <c r="I3566" s="4" t="s">
        <v>471</v>
      </c>
      <c r="J3566" s="4" t="s">
        <v>363</v>
      </c>
      <c r="K3566" s="4">
        <v>3196907</v>
      </c>
    </row>
    <row r="3567" spans="1:43" x14ac:dyDescent="0.3">
      <c r="B3567" s="44">
        <v>46074</v>
      </c>
      <c r="C3567" s="3" t="s">
        <v>416</v>
      </c>
      <c r="D3567" s="3" t="s">
        <v>496</v>
      </c>
      <c r="E3567" s="42"/>
      <c r="F3567" s="3" t="s">
        <v>675</v>
      </c>
      <c r="G3567" s="3" t="s">
        <v>198</v>
      </c>
      <c r="H3567" s="4">
        <v>3350803</v>
      </c>
      <c r="I3567" s="3" t="s">
        <v>710</v>
      </c>
      <c r="J3567" s="3" t="s">
        <v>462</v>
      </c>
      <c r="K3567" s="4">
        <v>3352207</v>
      </c>
    </row>
    <row r="3568" spans="1:43" x14ac:dyDescent="0.3">
      <c r="B3568" s="44">
        <v>46074</v>
      </c>
      <c r="C3568" s="3" t="s">
        <v>416</v>
      </c>
      <c r="D3568" s="3" t="s">
        <v>610</v>
      </c>
      <c r="E3568" s="42"/>
      <c r="F3568" s="3" t="s">
        <v>675</v>
      </c>
      <c r="G3568" s="3" t="s">
        <v>450</v>
      </c>
      <c r="H3568" s="4">
        <v>3198405</v>
      </c>
      <c r="I3568" s="4" t="s">
        <v>716</v>
      </c>
      <c r="J3568" s="4" t="s">
        <v>433</v>
      </c>
      <c r="K3568" s="4">
        <v>3198905</v>
      </c>
    </row>
    <row r="3569" spans="2:11" x14ac:dyDescent="0.3">
      <c r="B3569" s="44">
        <v>46074</v>
      </c>
      <c r="C3569" s="3" t="s">
        <v>416</v>
      </c>
      <c r="D3569" s="4" t="s">
        <v>614</v>
      </c>
      <c r="E3569" s="42"/>
      <c r="F3569" s="3" t="s">
        <v>675</v>
      </c>
      <c r="G3569" s="3" t="s">
        <v>403</v>
      </c>
      <c r="H3569" s="4">
        <v>3198509</v>
      </c>
      <c r="I3569" s="4" t="s">
        <v>682</v>
      </c>
      <c r="J3569" s="4" t="s">
        <v>622</v>
      </c>
      <c r="K3569" s="4">
        <v>3969502</v>
      </c>
    </row>
    <row r="3570" spans="2:11" x14ac:dyDescent="0.3">
      <c r="B3570" s="44">
        <v>46074</v>
      </c>
      <c r="C3570" s="3" t="s">
        <v>416</v>
      </c>
      <c r="D3570" s="3" t="s">
        <v>490</v>
      </c>
      <c r="E3570" s="4"/>
      <c r="F3570" s="3" t="s">
        <v>691</v>
      </c>
      <c r="G3570" s="3" t="s">
        <v>142</v>
      </c>
      <c r="H3570" s="4">
        <v>3350501</v>
      </c>
      <c r="I3570" s="4" t="s">
        <v>480</v>
      </c>
      <c r="J3570" s="4" t="s">
        <v>420</v>
      </c>
      <c r="K3570" s="4">
        <v>3360101</v>
      </c>
    </row>
    <row r="3571" spans="2:11" x14ac:dyDescent="0.3">
      <c r="B3571" s="44">
        <v>46074</v>
      </c>
      <c r="C3571" s="3" t="s">
        <v>416</v>
      </c>
      <c r="D3571" s="3" t="s">
        <v>590</v>
      </c>
      <c r="E3571" s="42"/>
      <c r="F3571" s="3" t="s">
        <v>691</v>
      </c>
      <c r="G3571" s="3" t="s">
        <v>289</v>
      </c>
      <c r="H3571" s="4">
        <v>3068804</v>
      </c>
      <c r="I3571" s="4" t="s">
        <v>676</v>
      </c>
      <c r="J3571" s="4" t="s">
        <v>285</v>
      </c>
      <c r="K3571" s="4">
        <v>3208504</v>
      </c>
    </row>
    <row r="3572" spans="2:11" x14ac:dyDescent="0.3">
      <c r="B3572" s="44">
        <v>46074</v>
      </c>
      <c r="C3572" s="3" t="s">
        <v>416</v>
      </c>
      <c r="D3572" s="3" t="s">
        <v>494</v>
      </c>
      <c r="E3572" s="42"/>
      <c r="F3572" s="3" t="s">
        <v>689</v>
      </c>
      <c r="G3572" s="3" t="s">
        <v>189</v>
      </c>
      <c r="H3572" s="4">
        <v>3350209</v>
      </c>
      <c r="I3572" s="3" t="s">
        <v>662</v>
      </c>
      <c r="J3572" s="3" t="s">
        <v>218</v>
      </c>
      <c r="K3572" s="4">
        <v>3358201</v>
      </c>
    </row>
    <row r="3573" spans="2:11" x14ac:dyDescent="0.3">
      <c r="B3573" s="44">
        <v>46074</v>
      </c>
      <c r="C3573" s="3" t="s">
        <v>416</v>
      </c>
      <c r="D3573" s="3" t="s">
        <v>67</v>
      </c>
      <c r="E3573" s="42"/>
      <c r="F3573" s="3" t="s">
        <v>689</v>
      </c>
      <c r="G3573" s="3" t="s">
        <v>341</v>
      </c>
      <c r="H3573" s="4">
        <v>3197708</v>
      </c>
      <c r="I3573" s="4" t="s">
        <v>715</v>
      </c>
      <c r="J3573" s="4" t="s">
        <v>377</v>
      </c>
      <c r="K3573" s="4">
        <v>3200106</v>
      </c>
    </row>
    <row r="3574" spans="2:11" x14ac:dyDescent="0.3">
      <c r="B3574" s="44">
        <v>46074</v>
      </c>
      <c r="C3574" s="3" t="s">
        <v>416</v>
      </c>
      <c r="D3574" s="3" t="s">
        <v>60</v>
      </c>
      <c r="E3574" s="42"/>
      <c r="F3574" s="3" t="s">
        <v>668</v>
      </c>
      <c r="G3574" s="3" t="s">
        <v>431</v>
      </c>
      <c r="H3574" s="4">
        <v>3900703</v>
      </c>
      <c r="I3574" s="3" t="s">
        <v>473</v>
      </c>
      <c r="J3574" s="3" t="s">
        <v>446</v>
      </c>
      <c r="K3574" s="4">
        <v>3204206</v>
      </c>
    </row>
    <row r="3575" spans="2:11" x14ac:dyDescent="0.3">
      <c r="B3575" s="44">
        <v>46074</v>
      </c>
      <c r="C3575" s="3" t="s">
        <v>416</v>
      </c>
      <c r="D3575" s="3" t="s">
        <v>497</v>
      </c>
      <c r="E3575" s="42"/>
      <c r="F3575" s="3" t="s">
        <v>654</v>
      </c>
      <c r="G3575" s="3" t="s">
        <v>216</v>
      </c>
      <c r="H3575" s="4">
        <v>3349808</v>
      </c>
      <c r="I3575" s="17" t="s">
        <v>476</v>
      </c>
      <c r="J3575" s="17" t="s">
        <v>234</v>
      </c>
      <c r="K3575" s="74">
        <v>3356807</v>
      </c>
    </row>
    <row r="3576" spans="2:11" x14ac:dyDescent="0.3">
      <c r="B3576" s="44">
        <v>46074</v>
      </c>
      <c r="C3576" s="3" t="s">
        <v>416</v>
      </c>
      <c r="D3576" s="3" t="s">
        <v>500</v>
      </c>
      <c r="E3576" s="42"/>
      <c r="F3576" s="3" t="s">
        <v>654</v>
      </c>
      <c r="G3576" s="3" t="s">
        <v>576</v>
      </c>
      <c r="H3576" s="4">
        <v>4009003</v>
      </c>
      <c r="I3576" s="4" t="s">
        <v>471</v>
      </c>
      <c r="J3576" s="4" t="s">
        <v>467</v>
      </c>
      <c r="K3576" s="4">
        <v>3819409</v>
      </c>
    </row>
    <row r="3577" spans="2:11" x14ac:dyDescent="0.3">
      <c r="B3577" s="44">
        <v>46074</v>
      </c>
      <c r="C3577" s="3" t="s">
        <v>416</v>
      </c>
      <c r="D3577" s="3" t="s">
        <v>58</v>
      </c>
      <c r="E3577" s="42"/>
      <c r="F3577" s="3" t="s">
        <v>712</v>
      </c>
      <c r="G3577" s="3" t="s">
        <v>270</v>
      </c>
      <c r="H3577" s="4">
        <v>3069605</v>
      </c>
      <c r="I3577" s="3" t="s">
        <v>721</v>
      </c>
      <c r="J3577" s="3" t="s">
        <v>271</v>
      </c>
      <c r="K3577" s="32">
        <v>3194701</v>
      </c>
    </row>
    <row r="3578" spans="2:11" x14ac:dyDescent="0.3">
      <c r="B3578" s="44">
        <v>46074</v>
      </c>
      <c r="C3578" s="3" t="s">
        <v>416</v>
      </c>
      <c r="D3578" s="3" t="s">
        <v>495</v>
      </c>
      <c r="E3578" s="42"/>
      <c r="F3578" s="3" t="s">
        <v>712</v>
      </c>
      <c r="G3578" s="3" t="s">
        <v>164</v>
      </c>
      <c r="H3578" s="4">
        <v>3349402</v>
      </c>
      <c r="I3578" s="3" t="s">
        <v>682</v>
      </c>
      <c r="J3578" s="3" t="s">
        <v>568</v>
      </c>
      <c r="K3578" s="4">
        <v>3969908</v>
      </c>
    </row>
    <row r="3579" spans="2:11" x14ac:dyDescent="0.3">
      <c r="B3579" s="44">
        <v>46074</v>
      </c>
      <c r="C3579" s="3" t="s">
        <v>416</v>
      </c>
      <c r="D3579" s="3" t="s">
        <v>492</v>
      </c>
      <c r="E3579" s="42"/>
      <c r="F3579" s="4" t="s">
        <v>713</v>
      </c>
      <c r="G3579" s="4" t="s">
        <v>165</v>
      </c>
      <c r="H3579" s="4">
        <v>3349006</v>
      </c>
      <c r="I3579" s="4" t="s">
        <v>648</v>
      </c>
      <c r="J3579" s="4" t="s">
        <v>201</v>
      </c>
      <c r="K3579" s="4">
        <v>3362203</v>
      </c>
    </row>
    <row r="3580" spans="2:11" x14ac:dyDescent="0.3">
      <c r="B3580" s="44">
        <v>46074</v>
      </c>
      <c r="C3580" s="3" t="s">
        <v>416</v>
      </c>
      <c r="D3580" s="4" t="s">
        <v>614</v>
      </c>
      <c r="E3580" s="42"/>
      <c r="F3580" s="3" t="s">
        <v>713</v>
      </c>
      <c r="G3580" s="3" t="s">
        <v>386</v>
      </c>
      <c r="H3580" s="4">
        <v>3900807</v>
      </c>
      <c r="I3580" s="4" t="s">
        <v>699</v>
      </c>
      <c r="J3580" s="4" t="s">
        <v>624</v>
      </c>
      <c r="K3580" s="4">
        <v>3196105</v>
      </c>
    </row>
    <row r="3581" spans="2:11" x14ac:dyDescent="0.3">
      <c r="B3581" s="44">
        <v>46074</v>
      </c>
      <c r="C3581" s="3" t="s">
        <v>416</v>
      </c>
      <c r="D3581" s="3" t="s">
        <v>495</v>
      </c>
      <c r="E3581" s="42"/>
      <c r="F3581" s="3" t="s">
        <v>713</v>
      </c>
      <c r="G3581" s="3" t="s">
        <v>199</v>
      </c>
      <c r="H3581" s="4">
        <v>3349100</v>
      </c>
      <c r="I3581" s="3" t="s">
        <v>673</v>
      </c>
      <c r="J3581" s="3" t="s">
        <v>200</v>
      </c>
      <c r="K3581" s="53">
        <v>3901004</v>
      </c>
    </row>
    <row r="3582" spans="2:11" x14ac:dyDescent="0.3">
      <c r="B3582" s="44">
        <v>46074</v>
      </c>
      <c r="C3582" s="3" t="s">
        <v>416</v>
      </c>
      <c r="D3582" s="4" t="s">
        <v>614</v>
      </c>
      <c r="E3582" s="42"/>
      <c r="F3582" s="3" t="s">
        <v>713</v>
      </c>
      <c r="G3582" s="3" t="s">
        <v>623</v>
      </c>
      <c r="H3582" s="4">
        <v>3819305</v>
      </c>
      <c r="I3582" s="4" t="s">
        <v>673</v>
      </c>
      <c r="J3582" s="4" t="s">
        <v>455</v>
      </c>
      <c r="K3582" s="4">
        <v>3961604</v>
      </c>
    </row>
    <row r="3583" spans="2:11" x14ac:dyDescent="0.3">
      <c r="B3583" s="44">
        <v>46074</v>
      </c>
      <c r="C3583" s="3" t="s">
        <v>416</v>
      </c>
      <c r="D3583" s="3" t="s">
        <v>62</v>
      </c>
      <c r="E3583" s="42"/>
      <c r="F3583" s="4" t="s">
        <v>663</v>
      </c>
      <c r="G3583" s="4" t="s">
        <v>280</v>
      </c>
      <c r="H3583" s="4">
        <v>3198103</v>
      </c>
      <c r="I3583" s="3" t="s">
        <v>476</v>
      </c>
      <c r="J3583" s="3" t="s">
        <v>323</v>
      </c>
      <c r="K3583" s="4">
        <v>3206506</v>
      </c>
    </row>
    <row r="3584" spans="2:11" x14ac:dyDescent="0.3">
      <c r="B3584" s="44">
        <v>46074</v>
      </c>
      <c r="C3584" s="3" t="s">
        <v>416</v>
      </c>
      <c r="D3584" s="3" t="s">
        <v>493</v>
      </c>
      <c r="E3584" s="42"/>
      <c r="F3584" s="3" t="s">
        <v>663</v>
      </c>
      <c r="G3584" s="3" t="s">
        <v>173</v>
      </c>
      <c r="H3584" s="4">
        <v>3349308</v>
      </c>
      <c r="I3584" s="4" t="s">
        <v>479</v>
      </c>
      <c r="J3584" s="4" t="s">
        <v>211</v>
      </c>
      <c r="K3584" s="4">
        <v>3361204</v>
      </c>
    </row>
    <row r="3585" spans="2:11" x14ac:dyDescent="0.3">
      <c r="B3585" s="44">
        <v>46074</v>
      </c>
      <c r="C3585" s="3" t="s">
        <v>416</v>
      </c>
      <c r="D3585" s="3" t="s">
        <v>65</v>
      </c>
      <c r="E3585" s="42"/>
      <c r="F3585" s="3" t="s">
        <v>663</v>
      </c>
      <c r="G3585" s="3" t="s">
        <v>290</v>
      </c>
      <c r="H3585" s="4">
        <v>3197500</v>
      </c>
      <c r="I3585" s="4" t="s">
        <v>476</v>
      </c>
      <c r="J3585" s="4" t="s">
        <v>358</v>
      </c>
      <c r="K3585" s="4">
        <v>3206402</v>
      </c>
    </row>
    <row r="3586" spans="2:11" x14ac:dyDescent="0.3">
      <c r="B3586" s="44">
        <v>46074</v>
      </c>
      <c r="C3586" s="3" t="s">
        <v>416</v>
      </c>
      <c r="D3586" s="3" t="s">
        <v>56</v>
      </c>
      <c r="E3586" s="42"/>
      <c r="F3586" s="4" t="s">
        <v>471</v>
      </c>
      <c r="G3586" s="4" t="s">
        <v>441</v>
      </c>
      <c r="H3586" s="4">
        <v>3023409</v>
      </c>
      <c r="I3586" s="3" t="s">
        <v>475</v>
      </c>
      <c r="J3586" s="3" t="s">
        <v>256</v>
      </c>
      <c r="K3586" s="4">
        <v>3068700</v>
      </c>
    </row>
    <row r="3587" spans="2:11" x14ac:dyDescent="0.3">
      <c r="B3587" s="44">
        <v>46074</v>
      </c>
      <c r="C3587" s="3" t="s">
        <v>416</v>
      </c>
      <c r="D3587" s="3" t="s">
        <v>504</v>
      </c>
      <c r="E3587" s="42"/>
      <c r="F3587" s="3" t="s">
        <v>471</v>
      </c>
      <c r="G3587" s="3" t="s">
        <v>14</v>
      </c>
      <c r="H3587" s="4">
        <v>3348601</v>
      </c>
      <c r="I3587" s="3" t="s">
        <v>645</v>
      </c>
      <c r="J3587" s="3" t="s">
        <v>37</v>
      </c>
      <c r="K3587" s="4">
        <v>3029903</v>
      </c>
    </row>
    <row r="3588" spans="2:11" x14ac:dyDescent="0.3">
      <c r="B3588" s="44">
        <v>46074</v>
      </c>
      <c r="C3588" s="3" t="s">
        <v>416</v>
      </c>
      <c r="D3588" s="3" t="s">
        <v>56</v>
      </c>
      <c r="E3588" s="42"/>
      <c r="F3588" s="3" t="s">
        <v>471</v>
      </c>
      <c r="G3588" s="3" t="s">
        <v>254</v>
      </c>
      <c r="H3588" s="4">
        <v>3068908</v>
      </c>
      <c r="I3588" s="4" t="s">
        <v>472</v>
      </c>
      <c r="J3588" s="4" t="s">
        <v>248</v>
      </c>
      <c r="K3588" s="4">
        <v>3207609</v>
      </c>
    </row>
    <row r="3589" spans="2:11" x14ac:dyDescent="0.3">
      <c r="B3589" s="44">
        <v>46074</v>
      </c>
      <c r="C3589" s="3" t="s">
        <v>416</v>
      </c>
      <c r="D3589" s="3" t="s">
        <v>487</v>
      </c>
      <c r="E3589" s="4"/>
      <c r="F3589" s="4" t="s">
        <v>471</v>
      </c>
      <c r="G3589" s="4" t="s">
        <v>133</v>
      </c>
      <c r="H3589" s="4">
        <v>3348705</v>
      </c>
      <c r="I3589" s="3" t="s">
        <v>475</v>
      </c>
      <c r="J3589" s="3" t="s">
        <v>96</v>
      </c>
      <c r="K3589" s="4">
        <v>3067107</v>
      </c>
    </row>
    <row r="3590" spans="2:11" x14ac:dyDescent="0.3">
      <c r="B3590" s="44">
        <v>46074</v>
      </c>
      <c r="C3590" s="3" t="s">
        <v>416</v>
      </c>
      <c r="D3590" s="3" t="s">
        <v>62</v>
      </c>
      <c r="E3590" s="42"/>
      <c r="F3590" s="4" t="s">
        <v>471</v>
      </c>
      <c r="G3590" s="4" t="s">
        <v>328</v>
      </c>
      <c r="H3590" s="4">
        <v>3196803</v>
      </c>
      <c r="I3590" s="4" t="s">
        <v>676</v>
      </c>
      <c r="J3590" s="4" t="s">
        <v>286</v>
      </c>
      <c r="K3590" s="4">
        <v>3019605</v>
      </c>
    </row>
    <row r="3591" spans="2:11" x14ac:dyDescent="0.3">
      <c r="B3591" s="44">
        <v>46074</v>
      </c>
      <c r="C3591" s="3" t="s">
        <v>416</v>
      </c>
      <c r="D3591" s="3" t="s">
        <v>493</v>
      </c>
      <c r="E3591" s="42"/>
      <c r="F3591" s="3" t="s">
        <v>471</v>
      </c>
      <c r="G3591" s="3" t="s">
        <v>190</v>
      </c>
      <c r="H3591" s="4">
        <v>3348205</v>
      </c>
      <c r="I3591" s="4" t="s">
        <v>471</v>
      </c>
      <c r="J3591" s="4" t="s">
        <v>174</v>
      </c>
      <c r="K3591" s="4">
        <v>3348101</v>
      </c>
    </row>
    <row r="3592" spans="2:11" x14ac:dyDescent="0.3">
      <c r="B3592" s="44">
        <v>46074</v>
      </c>
      <c r="C3592" s="3" t="s">
        <v>416</v>
      </c>
      <c r="D3592" s="3" t="s">
        <v>497</v>
      </c>
      <c r="E3592" s="42"/>
      <c r="F3592" s="15" t="s">
        <v>471</v>
      </c>
      <c r="G3592" s="15" t="s">
        <v>240</v>
      </c>
      <c r="H3592" s="74">
        <v>3348403</v>
      </c>
      <c r="I3592" s="3" t="s">
        <v>654</v>
      </c>
      <c r="J3592" s="3" t="s">
        <v>438</v>
      </c>
      <c r="K3592" s="74">
        <v>3906207</v>
      </c>
    </row>
    <row r="3593" spans="2:11" x14ac:dyDescent="0.3">
      <c r="B3593" s="44">
        <v>46074</v>
      </c>
      <c r="C3593" s="3" t="s">
        <v>416</v>
      </c>
      <c r="D3593" s="3" t="s">
        <v>487</v>
      </c>
      <c r="E3593" s="4"/>
      <c r="F3593" s="4" t="s">
        <v>692</v>
      </c>
      <c r="G3593" s="4" t="s">
        <v>115</v>
      </c>
      <c r="H3593" s="4">
        <v>3068106</v>
      </c>
      <c r="I3593" s="4" t="s">
        <v>645</v>
      </c>
      <c r="J3593" s="4" t="s">
        <v>114</v>
      </c>
      <c r="K3593" s="4">
        <v>3351000</v>
      </c>
    </row>
    <row r="3594" spans="2:11" x14ac:dyDescent="0.3">
      <c r="B3594" s="44">
        <v>46074</v>
      </c>
      <c r="C3594" s="3" t="s">
        <v>416</v>
      </c>
      <c r="D3594" s="3" t="s">
        <v>494</v>
      </c>
      <c r="E3594" s="42"/>
      <c r="F3594" s="3" t="s">
        <v>692</v>
      </c>
      <c r="G3594" s="3" t="s">
        <v>144</v>
      </c>
      <c r="H3594" s="4">
        <v>3347904</v>
      </c>
      <c r="I3594" s="3" t="s">
        <v>708</v>
      </c>
      <c r="J3594" s="3" t="s">
        <v>220</v>
      </c>
      <c r="K3594" s="4">
        <v>3354809</v>
      </c>
    </row>
    <row r="3595" spans="2:11" x14ac:dyDescent="0.3">
      <c r="B3595" s="44">
        <v>46074</v>
      </c>
      <c r="C3595" s="3" t="s">
        <v>416</v>
      </c>
      <c r="D3595" s="3" t="s">
        <v>488</v>
      </c>
      <c r="E3595" s="42"/>
      <c r="F3595" s="4" t="s">
        <v>698</v>
      </c>
      <c r="G3595" s="4" t="s">
        <v>561</v>
      </c>
      <c r="H3595" s="4" t="s">
        <v>563</v>
      </c>
      <c r="I3595" s="3" t="s">
        <v>680</v>
      </c>
      <c r="J3595" s="3" t="s">
        <v>117</v>
      </c>
      <c r="K3595" s="4">
        <v>3359002</v>
      </c>
    </row>
    <row r="3596" spans="2:11" x14ac:dyDescent="0.3">
      <c r="B3596" s="44">
        <v>46074</v>
      </c>
      <c r="C3596" s="3" t="s">
        <v>416</v>
      </c>
      <c r="D3596" s="3" t="s">
        <v>58</v>
      </c>
      <c r="E3596" s="42"/>
      <c r="F3596" s="3" t="s">
        <v>698</v>
      </c>
      <c r="G3596" s="3" t="s">
        <v>587</v>
      </c>
      <c r="H3596" s="4" t="s">
        <v>563</v>
      </c>
      <c r="I3596" s="3" t="s">
        <v>703</v>
      </c>
      <c r="J3596" s="3" t="s">
        <v>586</v>
      </c>
      <c r="K3596" s="32" t="s">
        <v>588</v>
      </c>
    </row>
    <row r="3597" spans="2:11" x14ac:dyDescent="0.3">
      <c r="B3597" s="44">
        <v>46074</v>
      </c>
      <c r="C3597" s="3" t="s">
        <v>416</v>
      </c>
      <c r="D3597" s="3" t="s">
        <v>59</v>
      </c>
      <c r="E3597" s="42"/>
      <c r="F3597" s="4" t="s">
        <v>681</v>
      </c>
      <c r="G3597" s="4" t="s">
        <v>281</v>
      </c>
      <c r="H3597" s="4">
        <v>3195700</v>
      </c>
      <c r="I3597" s="3" t="s">
        <v>646</v>
      </c>
      <c r="J3597" s="3" t="s">
        <v>275</v>
      </c>
      <c r="K3597" s="4">
        <v>3202406</v>
      </c>
    </row>
    <row r="3598" spans="2:11" x14ac:dyDescent="0.3">
      <c r="B3598" s="44">
        <v>46074</v>
      </c>
      <c r="C3598" s="3" t="s">
        <v>416</v>
      </c>
      <c r="D3598" s="3" t="s">
        <v>492</v>
      </c>
      <c r="E3598" s="42"/>
      <c r="F3598" s="4" t="s">
        <v>670</v>
      </c>
      <c r="G3598" s="4" t="s">
        <v>145</v>
      </c>
      <c r="H3598" s="4">
        <v>3347404</v>
      </c>
      <c r="I3598" s="4" t="s">
        <v>652</v>
      </c>
      <c r="J3598" s="4" t="s">
        <v>157</v>
      </c>
      <c r="K3598" s="4">
        <v>3358503</v>
      </c>
    </row>
    <row r="3599" spans="2:11" x14ac:dyDescent="0.3">
      <c r="B3599" s="44">
        <v>46074</v>
      </c>
      <c r="C3599" s="3" t="s">
        <v>416</v>
      </c>
      <c r="D3599" s="3" t="s">
        <v>486</v>
      </c>
      <c r="E3599" s="42"/>
      <c r="F3599" s="3" t="s">
        <v>673</v>
      </c>
      <c r="G3599" s="3" t="s">
        <v>106</v>
      </c>
      <c r="H3599" s="4">
        <v>3067607</v>
      </c>
      <c r="I3599" s="3" t="s">
        <v>474</v>
      </c>
      <c r="J3599" s="3" t="s">
        <v>103</v>
      </c>
      <c r="K3599" s="4">
        <v>3353206</v>
      </c>
    </row>
    <row r="3600" spans="2:11" x14ac:dyDescent="0.3">
      <c r="B3600" s="44">
        <v>46074</v>
      </c>
      <c r="C3600" s="3" t="s">
        <v>416</v>
      </c>
      <c r="D3600" s="3" t="s">
        <v>492</v>
      </c>
      <c r="E3600" s="42"/>
      <c r="F3600" s="4" t="s">
        <v>673</v>
      </c>
      <c r="G3600" s="4" t="s">
        <v>134</v>
      </c>
      <c r="H3600" s="4">
        <v>3347102</v>
      </c>
      <c r="I3600" s="3" t="s">
        <v>666</v>
      </c>
      <c r="J3600" s="3" t="s">
        <v>158</v>
      </c>
      <c r="K3600" s="4">
        <v>3356901</v>
      </c>
    </row>
    <row r="3601" spans="2:11" x14ac:dyDescent="0.3">
      <c r="B3601" s="44">
        <v>46074</v>
      </c>
      <c r="C3601" s="3" t="s">
        <v>416</v>
      </c>
      <c r="D3601" s="3" t="s">
        <v>490</v>
      </c>
      <c r="E3601" s="4"/>
      <c r="F3601" s="3" t="s">
        <v>717</v>
      </c>
      <c r="G3601" s="3" t="s">
        <v>425</v>
      </c>
      <c r="H3601" s="4">
        <v>3347206</v>
      </c>
      <c r="I3601" s="4" t="s">
        <v>653</v>
      </c>
      <c r="J3601" s="4" t="s">
        <v>126</v>
      </c>
      <c r="K3601" s="4">
        <v>3361402</v>
      </c>
    </row>
    <row r="3602" spans="2:11" x14ac:dyDescent="0.3">
      <c r="B3602" s="44">
        <v>46074</v>
      </c>
      <c r="C3602" s="3" t="s">
        <v>416</v>
      </c>
      <c r="D3602" s="3" t="s">
        <v>64</v>
      </c>
      <c r="E3602" s="42">
        <v>4370907</v>
      </c>
      <c r="F3602" s="3" t="s">
        <v>717</v>
      </c>
      <c r="G3602" s="3" t="s">
        <v>432</v>
      </c>
      <c r="H3602" s="4">
        <v>3195106</v>
      </c>
      <c r="I3602" s="4" t="s">
        <v>671</v>
      </c>
      <c r="J3602" s="4" t="s">
        <v>312</v>
      </c>
      <c r="K3602" s="4">
        <v>3209107</v>
      </c>
    </row>
    <row r="3603" spans="2:11" x14ac:dyDescent="0.3">
      <c r="B3603" s="44">
        <v>46074</v>
      </c>
      <c r="C3603" s="3" t="s">
        <v>416</v>
      </c>
      <c r="D3603" s="3" t="s">
        <v>489</v>
      </c>
      <c r="E3603" s="4"/>
      <c r="F3603" s="4" t="s">
        <v>679</v>
      </c>
      <c r="G3603" s="4" t="s">
        <v>135</v>
      </c>
      <c r="H3603" s="4">
        <v>3346603</v>
      </c>
      <c r="I3603" s="4" t="s">
        <v>712</v>
      </c>
      <c r="J3603" s="4" t="s">
        <v>132</v>
      </c>
      <c r="K3603" s="4">
        <v>3068304</v>
      </c>
    </row>
    <row r="3604" spans="2:11" x14ac:dyDescent="0.3">
      <c r="B3604" s="44">
        <v>46074</v>
      </c>
      <c r="C3604" s="3" t="s">
        <v>416</v>
      </c>
      <c r="D3604" s="3" t="s">
        <v>62</v>
      </c>
      <c r="E3604" s="42"/>
      <c r="F3604" s="4" t="s">
        <v>679</v>
      </c>
      <c r="G3604" s="4" t="s">
        <v>292</v>
      </c>
      <c r="H3604" s="4">
        <v>3195304</v>
      </c>
      <c r="I3604" s="3" t="s">
        <v>476</v>
      </c>
      <c r="J3604" s="3" t="s">
        <v>287</v>
      </c>
      <c r="K3604" s="4">
        <v>3206600</v>
      </c>
    </row>
    <row r="3605" spans="2:11" x14ac:dyDescent="0.3">
      <c r="B3605" s="44">
        <v>46074</v>
      </c>
      <c r="C3605" s="3" t="s">
        <v>416</v>
      </c>
      <c r="D3605" s="3" t="s">
        <v>500</v>
      </c>
      <c r="E3605" s="42"/>
      <c r="F3605" s="3" t="s">
        <v>679</v>
      </c>
      <c r="G3605" s="3" t="s">
        <v>466</v>
      </c>
      <c r="H3605" s="4">
        <v>3346707</v>
      </c>
      <c r="I3605" s="4" t="s">
        <v>479</v>
      </c>
      <c r="J3605" s="4" t="s">
        <v>465</v>
      </c>
      <c r="K3605" s="4">
        <v>3962207</v>
      </c>
    </row>
    <row r="3606" spans="2:11" x14ac:dyDescent="0.3">
      <c r="B3606" s="44">
        <v>46074</v>
      </c>
      <c r="C3606" s="3" t="s">
        <v>416</v>
      </c>
      <c r="D3606" s="3" t="s">
        <v>593</v>
      </c>
      <c r="E3606" s="42"/>
      <c r="F3606" s="3" t="s">
        <v>679</v>
      </c>
      <c r="G3606" s="3" t="s">
        <v>633</v>
      </c>
      <c r="H3606" s="4">
        <v>3194607</v>
      </c>
      <c r="I3606" s="4" t="s">
        <v>681</v>
      </c>
      <c r="J3606" s="4" t="s">
        <v>397</v>
      </c>
      <c r="K3606" s="4">
        <v>3195908</v>
      </c>
    </row>
    <row r="3607" spans="2:11" x14ac:dyDescent="0.3">
      <c r="B3607" s="44">
        <v>46074</v>
      </c>
      <c r="C3607" s="3" t="s">
        <v>416</v>
      </c>
      <c r="D3607" s="3" t="s">
        <v>487</v>
      </c>
      <c r="E3607" s="4"/>
      <c r="F3607" s="4" t="s">
        <v>721</v>
      </c>
      <c r="G3607" s="4" t="s">
        <v>124</v>
      </c>
      <c r="H3607" s="4">
        <v>3267501</v>
      </c>
      <c r="I3607" s="4" t="s">
        <v>657</v>
      </c>
      <c r="J3607" s="4" t="s">
        <v>107</v>
      </c>
      <c r="K3607" s="4">
        <v>3068408</v>
      </c>
    </row>
    <row r="3608" spans="2:11" x14ac:dyDescent="0.3">
      <c r="B3608" s="44">
        <v>46074</v>
      </c>
      <c r="C3608" s="3" t="s">
        <v>416</v>
      </c>
      <c r="D3608" s="3" t="s">
        <v>489</v>
      </c>
      <c r="E3608" s="4"/>
      <c r="F3608" s="3" t="s">
        <v>688</v>
      </c>
      <c r="G3608" s="3" t="s">
        <v>10</v>
      </c>
      <c r="H3608" s="4">
        <v>3036204</v>
      </c>
      <c r="I3608" s="3" t="s">
        <v>662</v>
      </c>
      <c r="J3608" s="3" t="s">
        <v>139</v>
      </c>
      <c r="K3608" s="4">
        <v>3358305</v>
      </c>
    </row>
    <row r="3609" spans="2:11" x14ac:dyDescent="0.3">
      <c r="B3609" s="44">
        <v>46074</v>
      </c>
      <c r="C3609" s="3" t="s">
        <v>416</v>
      </c>
      <c r="D3609" s="3" t="s">
        <v>64</v>
      </c>
      <c r="E3609" s="42">
        <v>4370907</v>
      </c>
      <c r="F3609" s="3" t="s">
        <v>688</v>
      </c>
      <c r="G3609" s="3" t="s">
        <v>318</v>
      </c>
      <c r="H3609" s="4">
        <v>3037401</v>
      </c>
      <c r="I3609" s="4" t="s">
        <v>672</v>
      </c>
      <c r="J3609" s="4" t="s">
        <v>316</v>
      </c>
      <c r="K3609" s="4">
        <v>3069105</v>
      </c>
    </row>
    <row r="3610" spans="2:11" x14ac:dyDescent="0.3">
      <c r="B3610" s="44">
        <v>46074</v>
      </c>
      <c r="C3610" s="3" t="s">
        <v>416</v>
      </c>
      <c r="D3610" s="3" t="s">
        <v>504</v>
      </c>
      <c r="E3610" s="42"/>
      <c r="F3610" s="4" t="s">
        <v>720</v>
      </c>
      <c r="G3610" s="4" t="s">
        <v>13</v>
      </c>
      <c r="H3610" s="4">
        <v>3125906</v>
      </c>
      <c r="I3610" s="3" t="s">
        <v>475</v>
      </c>
      <c r="J3610" s="3" t="s">
        <v>15</v>
      </c>
      <c r="K3610" s="4">
        <v>3029601</v>
      </c>
    </row>
    <row r="3611" spans="2:11" x14ac:dyDescent="0.3">
      <c r="B3611" s="44">
        <v>46074</v>
      </c>
      <c r="C3611" s="3" t="s">
        <v>416</v>
      </c>
      <c r="D3611" s="3" t="s">
        <v>61</v>
      </c>
      <c r="E3611" s="42"/>
      <c r="F3611" s="4" t="s">
        <v>720</v>
      </c>
      <c r="G3611" s="4" t="s">
        <v>335</v>
      </c>
      <c r="H3611" s="4">
        <v>3194201</v>
      </c>
      <c r="I3611" s="3" t="s">
        <v>645</v>
      </c>
      <c r="J3611" s="3" t="s">
        <v>309</v>
      </c>
      <c r="K3611" s="4">
        <v>3082104</v>
      </c>
    </row>
    <row r="3612" spans="2:11" x14ac:dyDescent="0.3">
      <c r="B3612" s="44">
        <v>46074</v>
      </c>
      <c r="C3612" s="3" t="s">
        <v>416</v>
      </c>
      <c r="D3612" s="3" t="s">
        <v>488</v>
      </c>
      <c r="E3612" s="42"/>
      <c r="F3612" s="3" t="s">
        <v>720</v>
      </c>
      <c r="G3612" s="3" t="s">
        <v>153</v>
      </c>
      <c r="H3612" s="4">
        <v>3033405</v>
      </c>
      <c r="I3612" s="4" t="s">
        <v>697</v>
      </c>
      <c r="J3612" s="4" t="s">
        <v>122</v>
      </c>
      <c r="K3612" s="4">
        <v>3353800</v>
      </c>
    </row>
    <row r="3613" spans="2:11" x14ac:dyDescent="0.3">
      <c r="B3613" s="44">
        <v>46074</v>
      </c>
      <c r="C3613" s="3" t="s">
        <v>416</v>
      </c>
      <c r="D3613" s="3" t="s">
        <v>57</v>
      </c>
      <c r="E3613" s="42"/>
      <c r="F3613" s="4" t="s">
        <v>647</v>
      </c>
      <c r="G3613" s="4" t="s">
        <v>282</v>
      </c>
      <c r="H3613" s="4">
        <v>3193900</v>
      </c>
      <c r="I3613" s="32" t="s">
        <v>709</v>
      </c>
      <c r="J3613" s="32" t="s">
        <v>268</v>
      </c>
      <c r="K3613" s="15">
        <v>3203103</v>
      </c>
    </row>
    <row r="3614" spans="2:11" x14ac:dyDescent="0.3">
      <c r="B3614" s="44">
        <v>46074</v>
      </c>
      <c r="C3614" s="3" t="s">
        <v>416</v>
      </c>
      <c r="D3614" s="3" t="s">
        <v>494</v>
      </c>
      <c r="E3614" s="42"/>
      <c r="F3614" s="4" t="s">
        <v>647</v>
      </c>
      <c r="G3614" s="4" t="s">
        <v>191</v>
      </c>
      <c r="H3614" s="4">
        <v>3345708</v>
      </c>
      <c r="I3614" s="3" t="s">
        <v>694</v>
      </c>
      <c r="J3614" s="3" t="s">
        <v>221</v>
      </c>
      <c r="K3614" s="4">
        <v>3353404</v>
      </c>
    </row>
    <row r="3615" spans="2:11" x14ac:dyDescent="0.3">
      <c r="B3615" s="44">
        <v>46074</v>
      </c>
      <c r="C3615" s="3" t="s">
        <v>416</v>
      </c>
      <c r="D3615" s="3" t="s">
        <v>496</v>
      </c>
      <c r="E3615" s="42"/>
      <c r="F3615" s="4" t="s">
        <v>687</v>
      </c>
      <c r="G3615" s="4" t="s">
        <v>207</v>
      </c>
      <c r="H3615" s="4">
        <v>3346801</v>
      </c>
      <c r="I3615" s="3" t="s">
        <v>716</v>
      </c>
      <c r="J3615" s="3" t="s">
        <v>427</v>
      </c>
      <c r="K3615" s="4">
        <v>3351500</v>
      </c>
    </row>
    <row r="3616" spans="2:11" x14ac:dyDescent="0.3">
      <c r="B3616" s="44">
        <v>46074</v>
      </c>
      <c r="C3616" s="3" t="s">
        <v>416</v>
      </c>
      <c r="D3616" s="3" t="s">
        <v>59</v>
      </c>
      <c r="E3616" s="42"/>
      <c r="F3616" s="4" t="s">
        <v>687</v>
      </c>
      <c r="G3616" s="4" t="s">
        <v>283</v>
      </c>
      <c r="H3616" s="4">
        <v>3194107</v>
      </c>
      <c r="I3616" s="3" t="s">
        <v>661</v>
      </c>
      <c r="J3616" s="3" t="s">
        <v>641</v>
      </c>
      <c r="K3616" s="4">
        <v>3055707</v>
      </c>
    </row>
    <row r="3617" spans="1:43" x14ac:dyDescent="0.3">
      <c r="B3617" s="44">
        <v>46074</v>
      </c>
      <c r="C3617" s="3" t="s">
        <v>416</v>
      </c>
      <c r="D3617" s="3" t="s">
        <v>68</v>
      </c>
      <c r="E3617" s="42"/>
      <c r="F3617" s="3" t="s">
        <v>687</v>
      </c>
      <c r="G3617" s="3" t="s">
        <v>391</v>
      </c>
      <c r="H3617" s="4">
        <v>3193806</v>
      </c>
      <c r="I3617" s="4" t="s">
        <v>474</v>
      </c>
      <c r="J3617" s="4" t="s">
        <v>383</v>
      </c>
      <c r="K3617" s="4">
        <v>3200502</v>
      </c>
    </row>
    <row r="3618" spans="1:43" x14ac:dyDescent="0.3">
      <c r="A3618" s="4"/>
      <c r="B3618" s="100">
        <v>46075</v>
      </c>
      <c r="C3618" s="98" t="s">
        <v>553</v>
      </c>
      <c r="D3618" s="4" t="s">
        <v>516</v>
      </c>
      <c r="E3618" s="4"/>
      <c r="F3618" s="73" t="s">
        <v>476</v>
      </c>
      <c r="G3618" s="73" t="s">
        <v>476</v>
      </c>
      <c r="H3618" s="73"/>
      <c r="I3618" s="73" t="s">
        <v>540</v>
      </c>
      <c r="J3618" s="73" t="s">
        <v>540</v>
      </c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</row>
    <row r="3619" spans="1:43" x14ac:dyDescent="0.3">
      <c r="A3619" s="4"/>
      <c r="B3619" s="100">
        <v>46075</v>
      </c>
      <c r="C3619" s="98" t="s">
        <v>553</v>
      </c>
      <c r="D3619" s="4" t="s">
        <v>521</v>
      </c>
      <c r="E3619" s="4"/>
      <c r="F3619" s="73" t="s">
        <v>535</v>
      </c>
      <c r="G3619" s="73" t="s">
        <v>535</v>
      </c>
      <c r="H3619" s="73"/>
      <c r="I3619" s="73" t="s">
        <v>472</v>
      </c>
      <c r="J3619" s="73" t="s">
        <v>472</v>
      </c>
      <c r="K3619" s="4" t="s">
        <v>418</v>
      </c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</row>
    <row r="3620" spans="1:43" x14ac:dyDescent="0.3">
      <c r="A3620" s="4"/>
      <c r="B3620" s="100">
        <v>46075</v>
      </c>
      <c r="C3620" s="98" t="s">
        <v>553</v>
      </c>
      <c r="D3620" s="4" t="s">
        <v>516</v>
      </c>
      <c r="E3620" s="4"/>
      <c r="F3620" s="73" t="s">
        <v>534</v>
      </c>
      <c r="G3620" s="73" t="s">
        <v>524</v>
      </c>
      <c r="H3620" s="73"/>
      <c r="I3620" s="73" t="s">
        <v>474</v>
      </c>
      <c r="J3620" s="73" t="s">
        <v>474</v>
      </c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</row>
    <row r="3621" spans="1:43" x14ac:dyDescent="0.3">
      <c r="A3621" s="4"/>
      <c r="B3621" s="100">
        <v>46075</v>
      </c>
      <c r="C3621" s="98" t="s">
        <v>553</v>
      </c>
      <c r="D3621" s="4" t="s">
        <v>521</v>
      </c>
      <c r="E3621" s="4"/>
      <c r="F3621" s="73" t="s">
        <v>536</v>
      </c>
      <c r="G3621" s="73" t="s">
        <v>536</v>
      </c>
      <c r="H3621" s="73"/>
      <c r="I3621" s="73" t="s">
        <v>479</v>
      </c>
      <c r="J3621" s="73" t="s">
        <v>479</v>
      </c>
      <c r="K3621" s="15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</row>
    <row r="3622" spans="1:43" x14ac:dyDescent="0.3">
      <c r="A3622" s="4"/>
      <c r="B3622" s="100">
        <v>46075</v>
      </c>
      <c r="C3622" s="98" t="s">
        <v>553</v>
      </c>
      <c r="D3622" s="4" t="s">
        <v>521</v>
      </c>
      <c r="E3622" s="4"/>
      <c r="F3622" s="73" t="s">
        <v>541</v>
      </c>
      <c r="G3622" s="73" t="s">
        <v>541</v>
      </c>
      <c r="H3622" s="73"/>
      <c r="I3622" s="73" t="s">
        <v>471</v>
      </c>
      <c r="J3622" s="73" t="s">
        <v>471</v>
      </c>
      <c r="K3622" s="7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</row>
    <row r="3623" spans="1:43" x14ac:dyDescent="0.3">
      <c r="A3623" s="4"/>
      <c r="B3623" s="100">
        <v>46075</v>
      </c>
      <c r="C3623" s="98" t="s">
        <v>553</v>
      </c>
      <c r="D3623" s="4" t="s">
        <v>516</v>
      </c>
      <c r="E3623" s="4"/>
      <c r="F3623" s="73" t="s">
        <v>518</v>
      </c>
      <c r="G3623" s="73" t="s">
        <v>518</v>
      </c>
      <c r="H3623" s="73"/>
      <c r="I3623" s="73" t="s">
        <v>517</v>
      </c>
      <c r="J3623" s="73" t="s">
        <v>517</v>
      </c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</row>
    <row r="3624" spans="1:43" x14ac:dyDescent="0.3">
      <c r="A3624" s="4"/>
      <c r="B3624" s="100">
        <v>46081</v>
      </c>
      <c r="C3624" s="98" t="s">
        <v>553</v>
      </c>
      <c r="D3624" s="4" t="s">
        <v>508</v>
      </c>
      <c r="E3624" s="4"/>
      <c r="F3624" s="73" t="s">
        <v>475</v>
      </c>
      <c r="G3624" s="73" t="s">
        <v>475</v>
      </c>
      <c r="H3624" s="73"/>
      <c r="I3624" s="73" t="s">
        <v>509</v>
      </c>
      <c r="J3624" s="73" t="s">
        <v>509</v>
      </c>
      <c r="K3624" s="15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</row>
    <row r="3625" spans="1:43" x14ac:dyDescent="0.3">
      <c r="B3625" s="44">
        <v>46081</v>
      </c>
      <c r="C3625" s="3" t="s">
        <v>416</v>
      </c>
      <c r="D3625" s="3" t="s">
        <v>504</v>
      </c>
      <c r="E3625" s="42"/>
      <c r="F3625" s="3" t="s">
        <v>475</v>
      </c>
      <c r="G3625" s="3" t="s">
        <v>15</v>
      </c>
      <c r="H3625" s="4">
        <v>3029601</v>
      </c>
      <c r="I3625" s="3" t="s">
        <v>662</v>
      </c>
      <c r="J3625" s="3" t="s">
        <v>99</v>
      </c>
      <c r="K3625" s="4">
        <v>3125604</v>
      </c>
    </row>
    <row r="3626" spans="1:43" x14ac:dyDescent="0.3">
      <c r="B3626" s="44">
        <v>46081</v>
      </c>
      <c r="C3626" s="3" t="s">
        <v>416</v>
      </c>
      <c r="D3626" s="3" t="s">
        <v>487</v>
      </c>
      <c r="E3626" s="4"/>
      <c r="F3626" s="3" t="s">
        <v>475</v>
      </c>
      <c r="G3626" s="3" t="s">
        <v>96</v>
      </c>
      <c r="H3626" s="4">
        <v>3067107</v>
      </c>
      <c r="I3626" s="4" t="s">
        <v>692</v>
      </c>
      <c r="J3626" s="4" t="s">
        <v>115</v>
      </c>
      <c r="K3626" s="4">
        <v>3068106</v>
      </c>
    </row>
    <row r="3627" spans="1:43" x14ac:dyDescent="0.3">
      <c r="B3627" s="44">
        <v>46081</v>
      </c>
      <c r="C3627" s="3" t="s">
        <v>416</v>
      </c>
      <c r="D3627" s="3" t="s">
        <v>56</v>
      </c>
      <c r="E3627" s="42"/>
      <c r="F3627" s="3" t="s">
        <v>475</v>
      </c>
      <c r="G3627" s="3" t="s">
        <v>256</v>
      </c>
      <c r="H3627" s="4">
        <v>3068700</v>
      </c>
      <c r="I3627" s="3" t="s">
        <v>646</v>
      </c>
      <c r="J3627" s="3" t="s">
        <v>251</v>
      </c>
      <c r="K3627" s="4">
        <v>3036704</v>
      </c>
    </row>
    <row r="3628" spans="1:43" x14ac:dyDescent="0.3">
      <c r="B3628" s="44">
        <v>46081</v>
      </c>
      <c r="C3628" s="3" t="s">
        <v>416</v>
      </c>
      <c r="D3628" s="3" t="s">
        <v>67</v>
      </c>
      <c r="E3628" s="42"/>
      <c r="F3628" s="4" t="s">
        <v>475</v>
      </c>
      <c r="G3628" s="4" t="s">
        <v>336</v>
      </c>
      <c r="H3628" s="4">
        <v>3211809</v>
      </c>
      <c r="I3628" s="4" t="s">
        <v>708</v>
      </c>
      <c r="J3628" s="4" t="s">
        <v>339</v>
      </c>
      <c r="K3628" s="4">
        <v>3204300</v>
      </c>
    </row>
    <row r="3629" spans="1:43" x14ac:dyDescent="0.3">
      <c r="B3629" s="44">
        <v>46081</v>
      </c>
      <c r="C3629" s="3" t="s">
        <v>416</v>
      </c>
      <c r="D3629" s="3" t="s">
        <v>498</v>
      </c>
      <c r="E3629" s="42"/>
      <c r="F3629" s="3" t="s">
        <v>475</v>
      </c>
      <c r="G3629" s="3" t="s">
        <v>184</v>
      </c>
      <c r="H3629" s="53">
        <v>3363004</v>
      </c>
      <c r="I3629" s="3" t="s">
        <v>689</v>
      </c>
      <c r="J3629" s="3" t="s">
        <v>468</v>
      </c>
      <c r="K3629" s="4">
        <v>3349902</v>
      </c>
    </row>
    <row r="3630" spans="1:43" x14ac:dyDescent="0.3">
      <c r="B3630" s="44">
        <v>46081</v>
      </c>
      <c r="C3630" s="3" t="s">
        <v>416</v>
      </c>
      <c r="D3630" s="3" t="s">
        <v>70</v>
      </c>
      <c r="E3630" s="42"/>
      <c r="F3630" s="3" t="s">
        <v>475</v>
      </c>
      <c r="G3630" s="3" t="s">
        <v>371</v>
      </c>
      <c r="H3630" s="53">
        <v>3212006</v>
      </c>
      <c r="I3630" s="3" t="s">
        <v>688</v>
      </c>
      <c r="J3630" s="3" t="s">
        <v>460</v>
      </c>
      <c r="K3630" s="4">
        <v>3194503</v>
      </c>
    </row>
    <row r="3631" spans="1:43" x14ac:dyDescent="0.3">
      <c r="B3631" s="44">
        <v>46081</v>
      </c>
      <c r="C3631" s="3" t="s">
        <v>416</v>
      </c>
      <c r="D3631" s="3" t="s">
        <v>492</v>
      </c>
      <c r="E3631" s="42"/>
      <c r="F3631" s="4" t="s">
        <v>648</v>
      </c>
      <c r="G3631" s="4" t="s">
        <v>201</v>
      </c>
      <c r="H3631" s="4">
        <v>3362203</v>
      </c>
      <c r="I3631" s="4" t="s">
        <v>670</v>
      </c>
      <c r="J3631" s="4" t="s">
        <v>145</v>
      </c>
      <c r="K3631" s="4">
        <v>3347404</v>
      </c>
    </row>
    <row r="3632" spans="1:43" x14ac:dyDescent="0.3">
      <c r="B3632" s="44">
        <v>46081</v>
      </c>
      <c r="C3632" s="3" t="s">
        <v>416</v>
      </c>
      <c r="D3632" s="3" t="s">
        <v>492</v>
      </c>
      <c r="E3632" s="42"/>
      <c r="F3632" s="3" t="s">
        <v>649</v>
      </c>
      <c r="G3632" s="3" t="s">
        <v>154</v>
      </c>
      <c r="H3632" s="4">
        <v>3362109</v>
      </c>
      <c r="I3632" s="3" t="s">
        <v>719</v>
      </c>
      <c r="J3632" s="3" t="s">
        <v>155</v>
      </c>
      <c r="K3632" s="4">
        <v>3361600</v>
      </c>
    </row>
    <row r="3633" spans="1:43" x14ac:dyDescent="0.3">
      <c r="B3633" s="44">
        <v>46081</v>
      </c>
      <c r="C3633" s="3" t="s">
        <v>416</v>
      </c>
      <c r="D3633" s="3" t="s">
        <v>496</v>
      </c>
      <c r="E3633" s="42"/>
      <c r="F3633" s="3" t="s">
        <v>651</v>
      </c>
      <c r="G3633" s="3" t="s">
        <v>202</v>
      </c>
      <c r="H3633" s="74">
        <v>3361808</v>
      </c>
      <c r="I3633" s="3" t="s">
        <v>675</v>
      </c>
      <c r="J3633" s="3" t="s">
        <v>198</v>
      </c>
      <c r="K3633" s="4">
        <v>3350803</v>
      </c>
    </row>
    <row r="3634" spans="1:43" x14ac:dyDescent="0.3">
      <c r="B3634" s="44">
        <v>46081</v>
      </c>
      <c r="C3634" s="3" t="s">
        <v>416</v>
      </c>
      <c r="D3634" s="3" t="s">
        <v>499</v>
      </c>
      <c r="E3634" s="42"/>
      <c r="F3634" s="3" t="s">
        <v>651</v>
      </c>
      <c r="G3634" s="3" t="s">
        <v>226</v>
      </c>
      <c r="H3634" s="4">
        <v>3361902</v>
      </c>
      <c r="I3634" s="3" t="s">
        <v>710</v>
      </c>
      <c r="J3634" s="3" t="s">
        <v>230</v>
      </c>
      <c r="K3634" s="4">
        <v>3900609</v>
      </c>
      <c r="M3634" s="51"/>
    </row>
    <row r="3635" spans="1:43" x14ac:dyDescent="0.3">
      <c r="A3635" s="4"/>
      <c r="B3635" s="100">
        <v>46081</v>
      </c>
      <c r="C3635" s="98" t="s">
        <v>553</v>
      </c>
      <c r="D3635" s="4" t="s">
        <v>512</v>
      </c>
      <c r="E3635" s="4"/>
      <c r="F3635" s="73" t="s">
        <v>543</v>
      </c>
      <c r="G3635" s="73" t="s">
        <v>543</v>
      </c>
      <c r="H3635" s="73"/>
      <c r="I3635" s="73" t="s">
        <v>477</v>
      </c>
      <c r="J3635" s="73" t="s">
        <v>477</v>
      </c>
      <c r="K3635" s="7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</row>
    <row r="3636" spans="1:43" x14ac:dyDescent="0.3">
      <c r="B3636" s="44">
        <v>46081</v>
      </c>
      <c r="C3636" s="3" t="s">
        <v>416</v>
      </c>
      <c r="D3636" s="3" t="s">
        <v>490</v>
      </c>
      <c r="E3636" s="4"/>
      <c r="F3636" s="3" t="s">
        <v>653</v>
      </c>
      <c r="G3636" s="3" t="s">
        <v>126</v>
      </c>
      <c r="H3636" s="4">
        <v>3361402</v>
      </c>
      <c r="I3636" s="4" t="s">
        <v>476</v>
      </c>
      <c r="J3636" s="4" t="s">
        <v>168</v>
      </c>
      <c r="K3636" s="4">
        <v>3356505</v>
      </c>
    </row>
    <row r="3637" spans="1:43" x14ac:dyDescent="0.3">
      <c r="B3637" s="44">
        <v>46081</v>
      </c>
      <c r="C3637" s="3" t="s">
        <v>416</v>
      </c>
      <c r="D3637" s="3" t="s">
        <v>65</v>
      </c>
      <c r="E3637" s="42"/>
      <c r="F3637" s="3" t="s">
        <v>653</v>
      </c>
      <c r="G3637" s="3" t="s">
        <v>451</v>
      </c>
      <c r="H3637" s="4">
        <v>3211309</v>
      </c>
      <c r="I3637" s="4" t="s">
        <v>676</v>
      </c>
      <c r="J3637" s="4" t="s">
        <v>356</v>
      </c>
      <c r="K3637" s="4">
        <v>3208608</v>
      </c>
    </row>
    <row r="3638" spans="1:43" x14ac:dyDescent="0.3">
      <c r="B3638" s="44">
        <v>46081</v>
      </c>
      <c r="C3638" s="3" t="s">
        <v>416</v>
      </c>
      <c r="D3638" s="3" t="s">
        <v>59</v>
      </c>
      <c r="E3638" s="42"/>
      <c r="F3638" s="4" t="s">
        <v>479</v>
      </c>
      <c r="G3638" s="4" t="s">
        <v>273</v>
      </c>
      <c r="H3638" s="4">
        <v>3211007</v>
      </c>
      <c r="I3638" s="4" t="s">
        <v>656</v>
      </c>
      <c r="J3638" s="4" t="s">
        <v>278</v>
      </c>
      <c r="K3638" s="4">
        <v>3199800</v>
      </c>
    </row>
    <row r="3639" spans="1:43" x14ac:dyDescent="0.3">
      <c r="B3639" s="44">
        <v>46081</v>
      </c>
      <c r="C3639" s="3" t="s">
        <v>416</v>
      </c>
      <c r="D3639" s="3" t="s">
        <v>493</v>
      </c>
      <c r="E3639" s="42"/>
      <c r="F3639" s="3" t="s">
        <v>479</v>
      </c>
      <c r="G3639" s="3" t="s">
        <v>211</v>
      </c>
      <c r="H3639" s="4">
        <v>3361204</v>
      </c>
      <c r="I3639" s="4" t="s">
        <v>471</v>
      </c>
      <c r="J3639" s="4" t="s">
        <v>190</v>
      </c>
      <c r="K3639" s="4">
        <v>3348205</v>
      </c>
    </row>
    <row r="3640" spans="1:43" x14ac:dyDescent="0.3">
      <c r="B3640" s="44">
        <v>46081</v>
      </c>
      <c r="C3640" s="3" t="s">
        <v>416</v>
      </c>
      <c r="D3640" s="3" t="s">
        <v>69</v>
      </c>
      <c r="E3640" s="42"/>
      <c r="F3640" s="3" t="s">
        <v>479</v>
      </c>
      <c r="G3640" s="3" t="s">
        <v>392</v>
      </c>
      <c r="H3640" s="53">
        <v>3210706</v>
      </c>
      <c r="I3640" s="3" t="s">
        <v>657</v>
      </c>
      <c r="J3640" s="3" t="s">
        <v>393</v>
      </c>
      <c r="K3640" s="4">
        <v>3209701</v>
      </c>
    </row>
    <row r="3641" spans="1:43" x14ac:dyDescent="0.3">
      <c r="B3641" s="44">
        <v>46081</v>
      </c>
      <c r="C3641" s="3" t="s">
        <v>416</v>
      </c>
      <c r="D3641" s="3" t="s">
        <v>500</v>
      </c>
      <c r="E3641" s="42"/>
      <c r="F3641" s="3" t="s">
        <v>479</v>
      </c>
      <c r="G3641" s="3" t="s">
        <v>232</v>
      </c>
      <c r="H3641" s="4">
        <v>3360507</v>
      </c>
      <c r="I3641" s="4" t="s">
        <v>672</v>
      </c>
      <c r="J3641" s="4" t="s">
        <v>187</v>
      </c>
      <c r="K3641" s="4">
        <v>3354101</v>
      </c>
    </row>
    <row r="3642" spans="1:43" x14ac:dyDescent="0.3">
      <c r="B3642" s="44">
        <v>46081</v>
      </c>
      <c r="C3642" s="3" t="s">
        <v>416</v>
      </c>
      <c r="D3642" s="3" t="s">
        <v>500</v>
      </c>
      <c r="E3642" s="42"/>
      <c r="F3642" s="3" t="s">
        <v>479</v>
      </c>
      <c r="G3642" s="3" t="s">
        <v>465</v>
      </c>
      <c r="H3642" s="4">
        <v>3962207</v>
      </c>
      <c r="I3642" s="4" t="s">
        <v>701</v>
      </c>
      <c r="J3642" s="4" t="s">
        <v>236</v>
      </c>
      <c r="K3642" s="4">
        <v>3355704</v>
      </c>
    </row>
    <row r="3643" spans="1:43" x14ac:dyDescent="0.3">
      <c r="B3643" s="44">
        <v>46081</v>
      </c>
      <c r="C3643" s="3" t="s">
        <v>416</v>
      </c>
      <c r="D3643" s="3" t="s">
        <v>593</v>
      </c>
      <c r="E3643" s="42"/>
      <c r="F3643" s="3" t="s">
        <v>479</v>
      </c>
      <c r="G3643" s="3" t="s">
        <v>628</v>
      </c>
      <c r="H3643" s="4" t="s">
        <v>642</v>
      </c>
      <c r="I3643" s="4" t="s">
        <v>694</v>
      </c>
      <c r="J3643" s="4" t="s">
        <v>632</v>
      </c>
      <c r="K3643" s="4">
        <v>4023303</v>
      </c>
    </row>
    <row r="3644" spans="1:43" x14ac:dyDescent="0.3">
      <c r="B3644" s="44">
        <v>46081</v>
      </c>
      <c r="C3644" s="3" t="s">
        <v>416</v>
      </c>
      <c r="D3644" s="3" t="s">
        <v>61</v>
      </c>
      <c r="E3644" s="42"/>
      <c r="F3644" s="4" t="s">
        <v>658</v>
      </c>
      <c r="G3644" s="4" t="s">
        <v>301</v>
      </c>
      <c r="H3644" s="4">
        <v>3210300</v>
      </c>
      <c r="I3644" s="4" t="s">
        <v>720</v>
      </c>
      <c r="J3644" s="4" t="s">
        <v>335</v>
      </c>
      <c r="K3644" s="4">
        <v>3194201</v>
      </c>
    </row>
    <row r="3645" spans="1:43" x14ac:dyDescent="0.3">
      <c r="B3645" s="44">
        <v>46081</v>
      </c>
      <c r="C3645" s="3" t="s">
        <v>416</v>
      </c>
      <c r="D3645" s="3" t="s">
        <v>63</v>
      </c>
      <c r="E3645" s="42"/>
      <c r="F3645" s="3" t="s">
        <v>658</v>
      </c>
      <c r="G3645" s="3" t="s">
        <v>366</v>
      </c>
      <c r="H3645" s="74">
        <v>3210404</v>
      </c>
      <c r="I3645" s="104" t="s">
        <v>712</v>
      </c>
      <c r="J3645" s="104" t="s">
        <v>334</v>
      </c>
      <c r="K3645" s="74">
        <v>3198009</v>
      </c>
    </row>
    <row r="3646" spans="1:43" x14ac:dyDescent="0.3">
      <c r="B3646" s="44">
        <v>46081</v>
      </c>
      <c r="C3646" s="3" t="s">
        <v>416</v>
      </c>
      <c r="D3646" s="3" t="s">
        <v>504</v>
      </c>
      <c r="E3646" s="42"/>
      <c r="F3646" s="4" t="s">
        <v>480</v>
      </c>
      <c r="G3646" s="4" t="s">
        <v>505</v>
      </c>
      <c r="H3646" s="4">
        <v>3033207</v>
      </c>
      <c r="I3646" s="4" t="s">
        <v>694</v>
      </c>
      <c r="J3646" s="4" t="s">
        <v>112</v>
      </c>
      <c r="K3646" s="4">
        <v>3353602</v>
      </c>
    </row>
    <row r="3647" spans="1:43" x14ac:dyDescent="0.3">
      <c r="B3647" s="44">
        <v>46081</v>
      </c>
      <c r="C3647" s="3" t="s">
        <v>416</v>
      </c>
      <c r="D3647" s="3" t="s">
        <v>490</v>
      </c>
      <c r="E3647" s="4"/>
      <c r="F3647" s="3" t="s">
        <v>480</v>
      </c>
      <c r="G3647" s="3" t="s">
        <v>420</v>
      </c>
      <c r="H3647" s="4">
        <v>3360101</v>
      </c>
      <c r="I3647" s="4" t="s">
        <v>479</v>
      </c>
      <c r="J3647" s="4" t="s">
        <v>136</v>
      </c>
      <c r="K3647" s="4">
        <v>3360903</v>
      </c>
    </row>
    <row r="3648" spans="1:43" x14ac:dyDescent="0.3">
      <c r="B3648" s="44">
        <v>46081</v>
      </c>
      <c r="C3648" s="3" t="s">
        <v>416</v>
      </c>
      <c r="D3648" s="3" t="s">
        <v>59</v>
      </c>
      <c r="E3648" s="42"/>
      <c r="F3648" s="3" t="s">
        <v>661</v>
      </c>
      <c r="G3648" s="3" t="s">
        <v>641</v>
      </c>
      <c r="H3648" s="4">
        <v>3055707</v>
      </c>
      <c r="I3648" s="3" t="s">
        <v>653</v>
      </c>
      <c r="J3648" s="3" t="s">
        <v>272</v>
      </c>
      <c r="K3648" s="4">
        <v>3211205</v>
      </c>
    </row>
    <row r="3649" spans="2:11" x14ac:dyDescent="0.3">
      <c r="B3649" s="44">
        <v>46081</v>
      </c>
      <c r="C3649" s="3" t="s">
        <v>416</v>
      </c>
      <c r="D3649" s="3" t="s">
        <v>593</v>
      </c>
      <c r="E3649" s="42"/>
      <c r="F3649" s="3" t="s">
        <v>661</v>
      </c>
      <c r="G3649" s="3" t="s">
        <v>640</v>
      </c>
      <c r="H3649" s="4">
        <v>3210102</v>
      </c>
      <c r="I3649" s="4" t="s">
        <v>693</v>
      </c>
      <c r="J3649" s="4" t="s">
        <v>629</v>
      </c>
      <c r="K3649" s="4">
        <v>3961708</v>
      </c>
    </row>
    <row r="3650" spans="2:11" x14ac:dyDescent="0.3">
      <c r="B3650" s="44">
        <v>46081</v>
      </c>
      <c r="C3650" s="3" t="s">
        <v>416</v>
      </c>
      <c r="D3650" s="3" t="s">
        <v>68</v>
      </c>
      <c r="E3650" s="42"/>
      <c r="F3650" s="15" t="s">
        <v>664</v>
      </c>
      <c r="G3650" s="15" t="s">
        <v>388</v>
      </c>
      <c r="H3650" s="74">
        <v>3165306</v>
      </c>
      <c r="I3650" s="4" t="s">
        <v>649</v>
      </c>
      <c r="J3650" s="4" t="s">
        <v>456</v>
      </c>
      <c r="K3650" s="4">
        <v>3545602</v>
      </c>
    </row>
    <row r="3651" spans="2:11" x14ac:dyDescent="0.3">
      <c r="B3651" s="44">
        <v>46081</v>
      </c>
      <c r="C3651" s="3" t="s">
        <v>416</v>
      </c>
      <c r="D3651" s="3" t="s">
        <v>490</v>
      </c>
      <c r="E3651" s="4"/>
      <c r="F3651" s="3" t="s">
        <v>660</v>
      </c>
      <c r="G3651" s="3" t="s">
        <v>137</v>
      </c>
      <c r="H3651" s="4">
        <v>3359908</v>
      </c>
      <c r="I3651" s="4" t="s">
        <v>717</v>
      </c>
      <c r="J3651" s="4" t="s">
        <v>425</v>
      </c>
      <c r="K3651" s="4">
        <v>3347206</v>
      </c>
    </row>
    <row r="3652" spans="2:11" x14ac:dyDescent="0.3">
      <c r="B3652" s="44">
        <v>46081</v>
      </c>
      <c r="C3652" s="3" t="s">
        <v>416</v>
      </c>
      <c r="D3652" s="3" t="s">
        <v>62</v>
      </c>
      <c r="E3652" s="42"/>
      <c r="F3652" s="3" t="s">
        <v>660</v>
      </c>
      <c r="G3652" s="3" t="s">
        <v>443</v>
      </c>
      <c r="H3652" s="4">
        <v>3210008</v>
      </c>
      <c r="I3652" s="3" t="s">
        <v>479</v>
      </c>
      <c r="J3652" s="3" t="s">
        <v>319</v>
      </c>
      <c r="K3652" s="4">
        <v>3210508</v>
      </c>
    </row>
    <row r="3653" spans="2:11" x14ac:dyDescent="0.3">
      <c r="B3653" s="44">
        <v>46081</v>
      </c>
      <c r="C3653" s="3" t="s">
        <v>416</v>
      </c>
      <c r="D3653" s="3" t="s">
        <v>497</v>
      </c>
      <c r="E3653" s="42"/>
      <c r="F3653" s="17" t="s">
        <v>660</v>
      </c>
      <c r="G3653" s="17" t="s">
        <v>212</v>
      </c>
      <c r="H3653" s="74">
        <v>3360007</v>
      </c>
      <c r="I3653" s="17" t="s">
        <v>480</v>
      </c>
      <c r="J3653" s="17" t="s">
        <v>428</v>
      </c>
      <c r="K3653" s="74">
        <v>3360309</v>
      </c>
    </row>
    <row r="3654" spans="2:11" x14ac:dyDescent="0.3">
      <c r="B3654" s="44">
        <v>46081</v>
      </c>
      <c r="C3654" s="3" t="s">
        <v>416</v>
      </c>
      <c r="D3654" s="3" t="s">
        <v>487</v>
      </c>
      <c r="E3654" s="4"/>
      <c r="F3654" s="4" t="s">
        <v>657</v>
      </c>
      <c r="G3654" s="4" t="s">
        <v>107</v>
      </c>
      <c r="H3654" s="4">
        <v>3068408</v>
      </c>
      <c r="I3654" s="4" t="s">
        <v>471</v>
      </c>
      <c r="J3654" s="4" t="s">
        <v>133</v>
      </c>
      <c r="K3654" s="4">
        <v>3348705</v>
      </c>
    </row>
    <row r="3655" spans="2:11" x14ac:dyDescent="0.3">
      <c r="B3655" s="44">
        <v>46081</v>
      </c>
      <c r="C3655" s="3" t="s">
        <v>416</v>
      </c>
      <c r="D3655" s="3" t="s">
        <v>493</v>
      </c>
      <c r="E3655" s="42"/>
      <c r="F3655" s="3" t="s">
        <v>657</v>
      </c>
      <c r="G3655" s="3" t="s">
        <v>167</v>
      </c>
      <c r="H3655" s="4">
        <v>3359804</v>
      </c>
      <c r="I3655" s="4" t="s">
        <v>701</v>
      </c>
      <c r="J3655" s="4" t="s">
        <v>171</v>
      </c>
      <c r="K3655" s="4">
        <v>3355600</v>
      </c>
    </row>
    <row r="3656" spans="2:11" x14ac:dyDescent="0.3">
      <c r="B3656" s="44">
        <v>46081</v>
      </c>
      <c r="C3656" s="3" t="s">
        <v>416</v>
      </c>
      <c r="D3656" s="3" t="s">
        <v>500</v>
      </c>
      <c r="E3656" s="42"/>
      <c r="F3656" s="3" t="s">
        <v>657</v>
      </c>
      <c r="G3656" s="3" t="s">
        <v>574</v>
      </c>
      <c r="H3656" s="4">
        <v>3359606</v>
      </c>
      <c r="I3656" s="4" t="s">
        <v>654</v>
      </c>
      <c r="J3656" s="4" t="s">
        <v>576</v>
      </c>
      <c r="K3656" s="4">
        <v>4009003</v>
      </c>
    </row>
    <row r="3657" spans="2:11" x14ac:dyDescent="0.3">
      <c r="B3657" s="44">
        <v>46081</v>
      </c>
      <c r="C3657" s="3" t="s">
        <v>416</v>
      </c>
      <c r="D3657" s="3" t="s">
        <v>68</v>
      </c>
      <c r="E3657" s="42"/>
      <c r="F3657" s="3" t="s">
        <v>570</v>
      </c>
      <c r="G3657" s="3" t="s">
        <v>570</v>
      </c>
      <c r="H3657" s="4" t="s">
        <v>556</v>
      </c>
      <c r="I3657" s="4" t="s">
        <v>686</v>
      </c>
      <c r="J3657" s="4" t="s">
        <v>626</v>
      </c>
      <c r="K3657" s="4" t="s">
        <v>637</v>
      </c>
    </row>
    <row r="3658" spans="2:11" x14ac:dyDescent="0.3">
      <c r="B3658" s="44">
        <v>46081</v>
      </c>
      <c r="C3658" s="3" t="s">
        <v>416</v>
      </c>
      <c r="D3658" s="3" t="s">
        <v>593</v>
      </c>
      <c r="E3658" s="42"/>
      <c r="F3658" s="15" t="s">
        <v>570</v>
      </c>
      <c r="G3658" s="15" t="s">
        <v>570</v>
      </c>
      <c r="H3658" s="74" t="s">
        <v>556</v>
      </c>
      <c r="I3658" s="4" t="s">
        <v>701</v>
      </c>
      <c r="J3658" s="4" t="s">
        <v>631</v>
      </c>
      <c r="K3658" s="4">
        <v>4023209</v>
      </c>
    </row>
    <row r="3659" spans="2:11" x14ac:dyDescent="0.3">
      <c r="B3659" s="44">
        <v>46081</v>
      </c>
      <c r="C3659" s="3" t="s">
        <v>416</v>
      </c>
      <c r="D3659" s="3" t="s">
        <v>592</v>
      </c>
      <c r="E3659" s="42"/>
      <c r="F3659" s="3" t="s">
        <v>570</v>
      </c>
      <c r="G3659" s="3" t="s">
        <v>570</v>
      </c>
      <c r="H3659" s="4" t="s">
        <v>556</v>
      </c>
      <c r="I3659" s="3" t="s">
        <v>475</v>
      </c>
      <c r="J3659" s="3" t="s">
        <v>398</v>
      </c>
      <c r="K3659" s="74">
        <v>3211601</v>
      </c>
    </row>
    <row r="3660" spans="2:11" x14ac:dyDescent="0.3">
      <c r="B3660" s="44">
        <v>46081</v>
      </c>
      <c r="C3660" s="3" t="s">
        <v>416</v>
      </c>
      <c r="D3660" s="3" t="s">
        <v>57</v>
      </c>
      <c r="E3660" s="42"/>
      <c r="F3660" s="3" t="s">
        <v>667</v>
      </c>
      <c r="G3660" s="3" t="s">
        <v>257</v>
      </c>
      <c r="H3660" s="4">
        <v>3209805</v>
      </c>
      <c r="I3660" s="73" t="s">
        <v>478</v>
      </c>
      <c r="J3660" s="73" t="s">
        <v>260</v>
      </c>
      <c r="K3660" s="15">
        <v>3205705</v>
      </c>
    </row>
    <row r="3661" spans="2:11" x14ac:dyDescent="0.3">
      <c r="B3661" s="44">
        <v>46081</v>
      </c>
      <c r="C3661" s="3" t="s">
        <v>416</v>
      </c>
      <c r="D3661" s="3" t="s">
        <v>64</v>
      </c>
      <c r="E3661" s="42">
        <v>4370907</v>
      </c>
      <c r="F3661" s="3" t="s">
        <v>669</v>
      </c>
      <c r="G3661" s="3" t="s">
        <v>337</v>
      </c>
      <c r="H3661" s="4">
        <v>3209305</v>
      </c>
      <c r="I3661" s="4" t="s">
        <v>717</v>
      </c>
      <c r="J3661" s="4" t="s">
        <v>432</v>
      </c>
      <c r="K3661" s="4">
        <v>3195106</v>
      </c>
    </row>
    <row r="3662" spans="2:11" x14ac:dyDescent="0.3">
      <c r="B3662" s="44">
        <v>46081</v>
      </c>
      <c r="C3662" s="3" t="s">
        <v>416</v>
      </c>
      <c r="D3662" s="3" t="s">
        <v>504</v>
      </c>
      <c r="E3662" s="42"/>
      <c r="F3662" s="4" t="s">
        <v>671</v>
      </c>
      <c r="G3662" s="4" t="s">
        <v>8</v>
      </c>
      <c r="H3662" s="4">
        <v>3034008</v>
      </c>
      <c r="I3662" s="4" t="s">
        <v>476</v>
      </c>
      <c r="J3662" s="4" t="s">
        <v>100</v>
      </c>
      <c r="K3662" s="4">
        <v>3125302</v>
      </c>
    </row>
    <row r="3663" spans="2:11" x14ac:dyDescent="0.3">
      <c r="B3663" s="44">
        <v>46081</v>
      </c>
      <c r="C3663" s="3" t="s">
        <v>416</v>
      </c>
      <c r="D3663" s="3" t="s">
        <v>489</v>
      </c>
      <c r="E3663" s="4"/>
      <c r="F3663" s="3" t="s">
        <v>671</v>
      </c>
      <c r="G3663" s="3" t="s">
        <v>156</v>
      </c>
      <c r="H3663" s="4">
        <v>3359200</v>
      </c>
      <c r="I3663" s="4" t="s">
        <v>685</v>
      </c>
      <c r="J3663" s="4" t="s">
        <v>160</v>
      </c>
      <c r="K3663" s="4">
        <v>3353008</v>
      </c>
    </row>
    <row r="3664" spans="2:11" x14ac:dyDescent="0.3">
      <c r="B3664" s="44">
        <v>46081</v>
      </c>
      <c r="C3664" s="3" t="s">
        <v>416</v>
      </c>
      <c r="D3664" s="3" t="s">
        <v>64</v>
      </c>
      <c r="E3664" s="42">
        <v>4370907</v>
      </c>
      <c r="F3664" s="3" t="s">
        <v>671</v>
      </c>
      <c r="G3664" s="3" t="s">
        <v>312</v>
      </c>
      <c r="H3664" s="4">
        <v>3209107</v>
      </c>
      <c r="I3664" s="4" t="s">
        <v>662</v>
      </c>
      <c r="J3664" s="4" t="s">
        <v>372</v>
      </c>
      <c r="K3664" s="4">
        <v>3207703</v>
      </c>
    </row>
    <row r="3665" spans="2:13" x14ac:dyDescent="0.3">
      <c r="B3665" s="44">
        <v>46081</v>
      </c>
      <c r="C3665" s="3" t="s">
        <v>416</v>
      </c>
      <c r="D3665" s="3" t="s">
        <v>68</v>
      </c>
      <c r="E3665" s="42"/>
      <c r="F3665" s="3" t="s">
        <v>671</v>
      </c>
      <c r="G3665" s="3" t="s">
        <v>389</v>
      </c>
      <c r="H3665" s="4">
        <v>3209201</v>
      </c>
      <c r="I3665" s="4" t="s">
        <v>651</v>
      </c>
      <c r="J3665" s="4" t="s">
        <v>387</v>
      </c>
      <c r="K3665" s="4">
        <v>3211403</v>
      </c>
    </row>
    <row r="3666" spans="2:13" x14ac:dyDescent="0.3">
      <c r="B3666" s="44">
        <v>46081</v>
      </c>
      <c r="C3666" s="3" t="s">
        <v>416</v>
      </c>
      <c r="D3666" s="3" t="s">
        <v>499</v>
      </c>
      <c r="E3666" s="42"/>
      <c r="F3666" s="3" t="s">
        <v>671</v>
      </c>
      <c r="G3666" s="3" t="s">
        <v>228</v>
      </c>
      <c r="H3666" s="53">
        <v>3358607</v>
      </c>
      <c r="I3666" s="3" t="s">
        <v>687</v>
      </c>
      <c r="J3666" s="3" t="s">
        <v>231</v>
      </c>
      <c r="K3666" s="4">
        <v>3819503</v>
      </c>
      <c r="M3666" s="51"/>
    </row>
    <row r="3667" spans="2:13" x14ac:dyDescent="0.3">
      <c r="B3667" s="44">
        <v>46081</v>
      </c>
      <c r="C3667" s="3" t="s">
        <v>416</v>
      </c>
      <c r="D3667" s="3" t="s">
        <v>58</v>
      </c>
      <c r="E3667" s="42"/>
      <c r="F3667" s="3" t="s">
        <v>659</v>
      </c>
      <c r="G3667" s="3" t="s">
        <v>265</v>
      </c>
      <c r="H3667" s="4">
        <v>3208702</v>
      </c>
      <c r="I3667" s="32" t="s">
        <v>478</v>
      </c>
      <c r="J3667" s="32" t="s">
        <v>267</v>
      </c>
      <c r="K3667" s="15">
        <v>3205205</v>
      </c>
    </row>
    <row r="3668" spans="2:13" x14ac:dyDescent="0.3">
      <c r="B3668" s="44">
        <v>46081</v>
      </c>
      <c r="C3668" s="3" t="s">
        <v>416</v>
      </c>
      <c r="D3668" s="3" t="s">
        <v>61</v>
      </c>
      <c r="E3668" s="42"/>
      <c r="F3668" s="106" t="s">
        <v>659</v>
      </c>
      <c r="G3668" s="106" t="s">
        <v>367</v>
      </c>
      <c r="H3668" s="106">
        <v>3208806</v>
      </c>
      <c r="I3668" s="73" t="s">
        <v>680</v>
      </c>
      <c r="J3668" s="73" t="s">
        <v>302</v>
      </c>
      <c r="K3668" s="4">
        <v>3208400</v>
      </c>
    </row>
    <row r="3669" spans="2:13" x14ac:dyDescent="0.3">
      <c r="B3669" s="44">
        <v>46081</v>
      </c>
      <c r="C3669" s="3" t="s">
        <v>416</v>
      </c>
      <c r="D3669" s="3" t="s">
        <v>486</v>
      </c>
      <c r="E3669" s="42"/>
      <c r="F3669" s="3" t="s">
        <v>676</v>
      </c>
      <c r="G3669" s="3" t="s">
        <v>109</v>
      </c>
      <c r="H3669" s="4">
        <v>3067701</v>
      </c>
      <c r="I3669" s="3" t="s">
        <v>673</v>
      </c>
      <c r="J3669" s="3" t="s">
        <v>106</v>
      </c>
      <c r="K3669" s="4">
        <v>3067607</v>
      </c>
    </row>
    <row r="3670" spans="2:13" x14ac:dyDescent="0.3">
      <c r="B3670" s="44">
        <v>46081</v>
      </c>
      <c r="C3670" s="3" t="s">
        <v>416</v>
      </c>
      <c r="D3670" s="3" t="s">
        <v>590</v>
      </c>
      <c r="E3670" s="42"/>
      <c r="F3670" s="3" t="s">
        <v>676</v>
      </c>
      <c r="G3670" s="3" t="s">
        <v>285</v>
      </c>
      <c r="H3670" s="4">
        <v>3208504</v>
      </c>
      <c r="I3670" s="3" t="s">
        <v>479</v>
      </c>
      <c r="J3670" s="3" t="s">
        <v>284</v>
      </c>
      <c r="K3670" s="4">
        <v>3210904</v>
      </c>
    </row>
    <row r="3671" spans="2:13" x14ac:dyDescent="0.3">
      <c r="B3671" s="44">
        <v>46081</v>
      </c>
      <c r="C3671" s="3" t="s">
        <v>416</v>
      </c>
      <c r="D3671" s="3" t="s">
        <v>490</v>
      </c>
      <c r="E3671" s="4"/>
      <c r="F3671" s="3" t="s">
        <v>676</v>
      </c>
      <c r="G3671" s="3" t="s">
        <v>138</v>
      </c>
      <c r="H3671" s="4">
        <v>3067805</v>
      </c>
      <c r="I3671" s="4" t="s">
        <v>475</v>
      </c>
      <c r="J3671" s="4" t="s">
        <v>125</v>
      </c>
      <c r="K3671" s="4">
        <v>3362807</v>
      </c>
    </row>
    <row r="3672" spans="2:13" x14ac:dyDescent="0.3">
      <c r="B3672" s="44">
        <v>46081</v>
      </c>
      <c r="C3672" s="3" t="s">
        <v>416</v>
      </c>
      <c r="D3672" s="3" t="s">
        <v>62</v>
      </c>
      <c r="E3672" s="42"/>
      <c r="F3672" s="4" t="s">
        <v>676</v>
      </c>
      <c r="G3672" s="4" t="s">
        <v>286</v>
      </c>
      <c r="H3672" s="4">
        <v>3019605</v>
      </c>
      <c r="I3672" s="4" t="s">
        <v>701</v>
      </c>
      <c r="J3672" s="4" t="s">
        <v>360</v>
      </c>
      <c r="K3672" s="4">
        <v>3203801</v>
      </c>
    </row>
    <row r="3673" spans="2:13" x14ac:dyDescent="0.3">
      <c r="B3673" s="44">
        <v>46081</v>
      </c>
      <c r="C3673" s="3" t="s">
        <v>416</v>
      </c>
      <c r="D3673" s="3" t="s">
        <v>493</v>
      </c>
      <c r="E3673" s="42"/>
      <c r="F3673" s="3" t="s">
        <v>676</v>
      </c>
      <c r="G3673" s="3" t="s">
        <v>214</v>
      </c>
      <c r="H3673" s="4">
        <v>3358805</v>
      </c>
      <c r="I3673" s="4" t="s">
        <v>663</v>
      </c>
      <c r="J3673" s="4" t="s">
        <v>173</v>
      </c>
      <c r="K3673" s="4">
        <v>3349308</v>
      </c>
    </row>
    <row r="3674" spans="2:13" x14ac:dyDescent="0.3">
      <c r="B3674" s="44">
        <v>46081</v>
      </c>
      <c r="C3674" s="3" t="s">
        <v>416</v>
      </c>
      <c r="D3674" s="3" t="s">
        <v>486</v>
      </c>
      <c r="E3674" s="42"/>
      <c r="F3674" s="4" t="s">
        <v>680</v>
      </c>
      <c r="G3674" s="4" t="s">
        <v>98</v>
      </c>
      <c r="H3674" s="4">
        <v>3358909</v>
      </c>
      <c r="I3674" s="4" t="s">
        <v>645</v>
      </c>
      <c r="J3674" s="4" t="s">
        <v>104</v>
      </c>
      <c r="K3674" s="4">
        <v>3036308</v>
      </c>
    </row>
    <row r="3675" spans="2:13" x14ac:dyDescent="0.3">
      <c r="B3675" s="44">
        <v>46081</v>
      </c>
      <c r="C3675" s="3" t="s">
        <v>416</v>
      </c>
      <c r="D3675" s="3" t="s">
        <v>57</v>
      </c>
      <c r="E3675" s="42"/>
      <c r="F3675" s="4" t="s">
        <v>680</v>
      </c>
      <c r="G3675" s="4" t="s">
        <v>266</v>
      </c>
      <c r="H3675" s="4">
        <v>3208306</v>
      </c>
      <c r="I3675" s="4" t="s">
        <v>647</v>
      </c>
      <c r="J3675" s="4" t="s">
        <v>282</v>
      </c>
      <c r="K3675" s="4">
        <v>3193900</v>
      </c>
    </row>
    <row r="3676" spans="2:13" x14ac:dyDescent="0.3">
      <c r="B3676" s="44">
        <v>46081</v>
      </c>
      <c r="C3676" s="3" t="s">
        <v>416</v>
      </c>
      <c r="D3676" s="3" t="s">
        <v>488</v>
      </c>
      <c r="E3676" s="42"/>
      <c r="F3676" s="3" t="s">
        <v>680</v>
      </c>
      <c r="G3676" s="3" t="s">
        <v>117</v>
      </c>
      <c r="H3676" s="4">
        <v>3359002</v>
      </c>
      <c r="I3676" s="3" t="s">
        <v>703</v>
      </c>
      <c r="J3676" s="3" t="s">
        <v>560</v>
      </c>
      <c r="K3676" s="4" t="s">
        <v>562</v>
      </c>
    </row>
    <row r="3677" spans="2:13" x14ac:dyDescent="0.3">
      <c r="B3677" s="44">
        <v>46081</v>
      </c>
      <c r="C3677" s="3" t="s">
        <v>416</v>
      </c>
      <c r="D3677" s="3" t="s">
        <v>63</v>
      </c>
      <c r="E3677" s="42"/>
      <c r="F3677" s="3" t="s">
        <v>680</v>
      </c>
      <c r="G3677" s="3" t="s">
        <v>329</v>
      </c>
      <c r="H3677" s="74">
        <v>3208108</v>
      </c>
      <c r="I3677" s="104" t="s">
        <v>645</v>
      </c>
      <c r="J3677" s="104" t="s">
        <v>333</v>
      </c>
      <c r="K3677" s="74">
        <v>3198801</v>
      </c>
    </row>
    <row r="3678" spans="2:13" x14ac:dyDescent="0.3">
      <c r="B3678" s="44">
        <v>46081</v>
      </c>
      <c r="C3678" s="3" t="s">
        <v>416</v>
      </c>
      <c r="D3678" s="3" t="s">
        <v>492</v>
      </c>
      <c r="E3678" s="42"/>
      <c r="F3678" s="4" t="s">
        <v>652</v>
      </c>
      <c r="G3678" s="4" t="s">
        <v>157</v>
      </c>
      <c r="H3678" s="4">
        <v>3358503</v>
      </c>
      <c r="I3678" s="4" t="s">
        <v>673</v>
      </c>
      <c r="J3678" s="4" t="s">
        <v>134</v>
      </c>
      <c r="K3678" s="4">
        <v>3347102</v>
      </c>
    </row>
    <row r="3679" spans="2:13" x14ac:dyDescent="0.3">
      <c r="B3679" s="44">
        <v>46081</v>
      </c>
      <c r="C3679" s="3" t="s">
        <v>416</v>
      </c>
      <c r="D3679" s="3" t="s">
        <v>496</v>
      </c>
      <c r="E3679" s="42"/>
      <c r="F3679" s="3" t="s">
        <v>652</v>
      </c>
      <c r="G3679" s="3" t="s">
        <v>229</v>
      </c>
      <c r="H3679" s="4">
        <v>3358409</v>
      </c>
      <c r="I3679" s="3" t="s">
        <v>671</v>
      </c>
      <c r="J3679" s="3" t="s">
        <v>203</v>
      </c>
      <c r="K3679" s="4">
        <v>3359304</v>
      </c>
    </row>
    <row r="3680" spans="2:13" x14ac:dyDescent="0.3">
      <c r="B3680" s="44">
        <v>46081</v>
      </c>
      <c r="C3680" s="3" t="s">
        <v>416</v>
      </c>
      <c r="D3680" s="3" t="s">
        <v>499</v>
      </c>
      <c r="E3680" s="42"/>
      <c r="F3680" s="3" t="s">
        <v>652</v>
      </c>
      <c r="G3680" s="3" t="s">
        <v>573</v>
      </c>
      <c r="H3680" s="4">
        <v>3818400</v>
      </c>
      <c r="I3680" s="3" t="s">
        <v>665</v>
      </c>
      <c r="J3680" s="3" t="s">
        <v>461</v>
      </c>
      <c r="K3680" s="4">
        <v>3818702</v>
      </c>
    </row>
    <row r="3681" spans="2:13" x14ac:dyDescent="0.3">
      <c r="B3681" s="44">
        <v>46081</v>
      </c>
      <c r="C3681" s="3" t="s">
        <v>416</v>
      </c>
      <c r="D3681" s="3" t="s">
        <v>59</v>
      </c>
      <c r="E3681" s="42"/>
      <c r="F3681" s="3" t="s">
        <v>662</v>
      </c>
      <c r="G3681" s="3" t="s">
        <v>314</v>
      </c>
      <c r="H3681" s="4">
        <v>3208004</v>
      </c>
      <c r="I3681" s="3" t="s">
        <v>652</v>
      </c>
      <c r="J3681" s="3" t="s">
        <v>313</v>
      </c>
      <c r="K3681" s="4">
        <v>3207901</v>
      </c>
    </row>
    <row r="3682" spans="2:13" x14ac:dyDescent="0.3">
      <c r="B3682" s="44">
        <v>46081</v>
      </c>
      <c r="C3682" s="3" t="s">
        <v>416</v>
      </c>
      <c r="D3682" s="3" t="s">
        <v>489</v>
      </c>
      <c r="E3682" s="4"/>
      <c r="F3682" s="3" t="s">
        <v>662</v>
      </c>
      <c r="G3682" s="3" t="s">
        <v>139</v>
      </c>
      <c r="H3682" s="4">
        <v>3358305</v>
      </c>
      <c r="I3682" s="3" t="s">
        <v>678</v>
      </c>
      <c r="J3682" s="3" t="s">
        <v>131</v>
      </c>
      <c r="K3682" s="4">
        <v>3350605</v>
      </c>
    </row>
    <row r="3683" spans="2:13" x14ac:dyDescent="0.3">
      <c r="B3683" s="44">
        <v>46081</v>
      </c>
      <c r="C3683" s="3" t="s">
        <v>416</v>
      </c>
      <c r="D3683" s="3" t="s">
        <v>494</v>
      </c>
      <c r="E3683" s="42"/>
      <c r="F3683" s="3" t="s">
        <v>662</v>
      </c>
      <c r="G3683" s="3" t="s">
        <v>218</v>
      </c>
      <c r="H3683" s="4">
        <v>3358201</v>
      </c>
      <c r="I3683" s="3" t="s">
        <v>475</v>
      </c>
      <c r="J3683" s="3" t="s">
        <v>183</v>
      </c>
      <c r="K3683" s="4">
        <v>3362901</v>
      </c>
    </row>
    <row r="3684" spans="2:13" x14ac:dyDescent="0.3">
      <c r="B3684" s="44">
        <v>46081</v>
      </c>
      <c r="C3684" s="3" t="s">
        <v>416</v>
      </c>
      <c r="D3684" s="3" t="s">
        <v>67</v>
      </c>
      <c r="E3684" s="42"/>
      <c r="F3684" s="4" t="s">
        <v>662</v>
      </c>
      <c r="G3684" s="4" t="s">
        <v>373</v>
      </c>
      <c r="H3684" s="4">
        <v>3207807</v>
      </c>
      <c r="I3684" s="4" t="s">
        <v>472</v>
      </c>
      <c r="J3684" s="4" t="s">
        <v>374</v>
      </c>
      <c r="K3684" s="4">
        <v>3207203</v>
      </c>
    </row>
    <row r="3685" spans="2:13" x14ac:dyDescent="0.3">
      <c r="B3685" s="44">
        <v>46081</v>
      </c>
      <c r="C3685" s="3" t="s">
        <v>416</v>
      </c>
      <c r="D3685" s="3" t="s">
        <v>70</v>
      </c>
      <c r="E3685" s="42"/>
      <c r="F3685" s="3" t="s">
        <v>662</v>
      </c>
      <c r="G3685" s="3" t="s">
        <v>399</v>
      </c>
      <c r="H3685" s="4">
        <v>3207401</v>
      </c>
      <c r="I3685" s="3" t="s">
        <v>475</v>
      </c>
      <c r="J3685" s="3" t="s">
        <v>370</v>
      </c>
      <c r="K3685" s="4">
        <v>3211903</v>
      </c>
    </row>
    <row r="3686" spans="2:13" x14ac:dyDescent="0.3">
      <c r="B3686" s="44">
        <v>46081</v>
      </c>
      <c r="C3686" s="3" t="s">
        <v>416</v>
      </c>
      <c r="D3686" s="3" t="s">
        <v>501</v>
      </c>
      <c r="E3686" s="42"/>
      <c r="F3686" s="3" t="s">
        <v>662</v>
      </c>
      <c r="G3686" s="3" t="s">
        <v>243</v>
      </c>
      <c r="H3686" s="4">
        <v>3899907</v>
      </c>
      <c r="I3686" s="3" t="s">
        <v>708</v>
      </c>
      <c r="J3686" s="3" t="s">
        <v>598</v>
      </c>
      <c r="K3686" s="4">
        <v>3354903</v>
      </c>
      <c r="M3686" s="51"/>
    </row>
    <row r="3687" spans="2:13" x14ac:dyDescent="0.3">
      <c r="B3687" s="44">
        <v>46081</v>
      </c>
      <c r="C3687" s="3" t="s">
        <v>416</v>
      </c>
      <c r="D3687" s="3" t="s">
        <v>56</v>
      </c>
      <c r="E3687" s="42"/>
      <c r="F3687" s="4" t="s">
        <v>472</v>
      </c>
      <c r="G3687" s="4" t="s">
        <v>248</v>
      </c>
      <c r="H3687" s="4">
        <v>3207609</v>
      </c>
      <c r="I3687" s="4" t="s">
        <v>696</v>
      </c>
      <c r="J3687" s="4" t="s">
        <v>261</v>
      </c>
      <c r="K3687" s="4">
        <v>3202302</v>
      </c>
    </row>
    <row r="3688" spans="2:13" x14ac:dyDescent="0.3">
      <c r="B3688" s="44">
        <v>46081</v>
      </c>
      <c r="C3688" s="3" t="s">
        <v>416</v>
      </c>
      <c r="D3688" s="3" t="s">
        <v>504</v>
      </c>
      <c r="E3688" s="42"/>
      <c r="F3688" s="3" t="s">
        <v>472</v>
      </c>
      <c r="G3688" s="3" t="s">
        <v>11</v>
      </c>
      <c r="H3688" s="4">
        <v>3034800</v>
      </c>
      <c r="I3688" s="3" t="s">
        <v>471</v>
      </c>
      <c r="J3688" s="3" t="s">
        <v>14</v>
      </c>
      <c r="K3688" s="4">
        <v>3348601</v>
      </c>
    </row>
    <row r="3689" spans="2:13" x14ac:dyDescent="0.3">
      <c r="B3689" s="44">
        <v>46081</v>
      </c>
      <c r="C3689" s="3" t="s">
        <v>416</v>
      </c>
      <c r="D3689" s="3" t="s">
        <v>490</v>
      </c>
      <c r="E3689" s="4"/>
      <c r="F3689" s="3" t="s">
        <v>472</v>
      </c>
      <c r="G3689" s="3" t="s">
        <v>140</v>
      </c>
      <c r="H3689" s="4">
        <v>3357900</v>
      </c>
      <c r="I3689" s="4" t="s">
        <v>479</v>
      </c>
      <c r="J3689" s="4" t="s">
        <v>166</v>
      </c>
      <c r="K3689" s="4">
        <v>3361006</v>
      </c>
    </row>
    <row r="3690" spans="2:13" x14ac:dyDescent="0.3">
      <c r="B3690" s="44">
        <v>46081</v>
      </c>
      <c r="C3690" s="3" t="s">
        <v>416</v>
      </c>
      <c r="D3690" s="3" t="s">
        <v>494</v>
      </c>
      <c r="E3690" s="42"/>
      <c r="F3690" s="4" t="s">
        <v>472</v>
      </c>
      <c r="G3690" s="4" t="s">
        <v>186</v>
      </c>
      <c r="H3690" s="4">
        <v>3357702</v>
      </c>
      <c r="I3690" s="4" t="s">
        <v>662</v>
      </c>
      <c r="J3690" s="4" t="s">
        <v>242</v>
      </c>
      <c r="K3690" s="4">
        <v>3358107</v>
      </c>
    </row>
    <row r="3691" spans="2:13" x14ac:dyDescent="0.3">
      <c r="B3691" s="44">
        <v>46081</v>
      </c>
      <c r="C3691" s="3" t="s">
        <v>416</v>
      </c>
      <c r="D3691" s="3" t="s">
        <v>70</v>
      </c>
      <c r="E3691" s="42"/>
      <c r="F3691" s="3" t="s">
        <v>472</v>
      </c>
      <c r="G3691" s="3" t="s">
        <v>400</v>
      </c>
      <c r="H3691" s="4">
        <v>3818608</v>
      </c>
      <c r="I3691" s="3" t="s">
        <v>717</v>
      </c>
      <c r="J3691" s="3" t="s">
        <v>434</v>
      </c>
      <c r="K3691" s="4">
        <v>3195408</v>
      </c>
    </row>
    <row r="3692" spans="2:13" x14ac:dyDescent="0.3">
      <c r="B3692" s="44">
        <v>46081</v>
      </c>
      <c r="C3692" s="3" t="s">
        <v>416</v>
      </c>
      <c r="D3692" s="3" t="s">
        <v>496</v>
      </c>
      <c r="E3692" s="42"/>
      <c r="F3692" s="4" t="s">
        <v>665</v>
      </c>
      <c r="G3692" s="4" t="s">
        <v>204</v>
      </c>
      <c r="H3692" s="4">
        <v>3357400</v>
      </c>
      <c r="I3692" s="4" t="s">
        <v>687</v>
      </c>
      <c r="J3692" s="4" t="s">
        <v>207</v>
      </c>
      <c r="K3692" s="4">
        <v>3346801</v>
      </c>
    </row>
    <row r="3693" spans="2:13" x14ac:dyDescent="0.3">
      <c r="B3693" s="44">
        <v>46081</v>
      </c>
      <c r="C3693" s="3" t="s">
        <v>416</v>
      </c>
      <c r="D3693" s="3" t="s">
        <v>68</v>
      </c>
      <c r="E3693" s="42"/>
      <c r="F3693" s="3" t="s">
        <v>665</v>
      </c>
      <c r="G3693" s="3" t="s">
        <v>457</v>
      </c>
      <c r="H3693" s="4">
        <v>3818806</v>
      </c>
      <c r="I3693" s="4" t="s">
        <v>652</v>
      </c>
      <c r="J3693" s="4" t="s">
        <v>625</v>
      </c>
      <c r="K3693" s="4">
        <v>3899803</v>
      </c>
    </row>
    <row r="3694" spans="2:13" x14ac:dyDescent="0.3">
      <c r="B3694" s="44">
        <v>46081</v>
      </c>
      <c r="C3694" s="3" t="s">
        <v>416</v>
      </c>
      <c r="D3694" s="3" t="s">
        <v>68</v>
      </c>
      <c r="E3694" s="42"/>
      <c r="F3694" s="3" t="s">
        <v>665</v>
      </c>
      <c r="G3694" s="3" t="s">
        <v>627</v>
      </c>
      <c r="H3694" s="4" t="s">
        <v>638</v>
      </c>
      <c r="I3694" s="4" t="s">
        <v>687</v>
      </c>
      <c r="J3694" s="4" t="s">
        <v>391</v>
      </c>
      <c r="K3694" s="4">
        <v>3193806</v>
      </c>
    </row>
    <row r="3695" spans="2:13" x14ac:dyDescent="0.3">
      <c r="B3695" s="44">
        <v>46081</v>
      </c>
      <c r="C3695" s="3" t="s">
        <v>416</v>
      </c>
      <c r="D3695" s="3" t="s">
        <v>590</v>
      </c>
      <c r="E3695" s="42"/>
      <c r="F3695" s="4" t="s">
        <v>693</v>
      </c>
      <c r="G3695" s="4" t="s">
        <v>322</v>
      </c>
      <c r="H3695" s="4">
        <v>3207005</v>
      </c>
      <c r="I3695" s="4" t="s">
        <v>648</v>
      </c>
      <c r="J3695" s="4" t="s">
        <v>449</v>
      </c>
      <c r="K3695" s="4">
        <v>3961500</v>
      </c>
    </row>
    <row r="3696" spans="2:13" x14ac:dyDescent="0.3">
      <c r="B3696" s="44">
        <v>46081</v>
      </c>
      <c r="C3696" s="3" t="s">
        <v>416</v>
      </c>
      <c r="D3696" s="3" t="s">
        <v>65</v>
      </c>
      <c r="E3696" s="42"/>
      <c r="F3696" s="3" t="s">
        <v>693</v>
      </c>
      <c r="G3696" s="3" t="s">
        <v>357</v>
      </c>
      <c r="H3696" s="4">
        <v>3206704</v>
      </c>
      <c r="I3696" s="4" t="s">
        <v>655</v>
      </c>
      <c r="J3696" s="4" t="s">
        <v>325</v>
      </c>
      <c r="K3696" s="4">
        <v>3201501</v>
      </c>
    </row>
    <row r="3697" spans="1:43" x14ac:dyDescent="0.3">
      <c r="B3697" s="44">
        <v>46081</v>
      </c>
      <c r="C3697" s="3" t="s">
        <v>416</v>
      </c>
      <c r="D3697" s="3" t="s">
        <v>62</v>
      </c>
      <c r="E3697" s="42"/>
      <c r="F3697" s="4" t="s">
        <v>476</v>
      </c>
      <c r="G3697" s="4" t="s">
        <v>287</v>
      </c>
      <c r="H3697" s="4">
        <v>3206600</v>
      </c>
      <c r="I3697" s="4" t="s">
        <v>663</v>
      </c>
      <c r="J3697" s="4" t="s">
        <v>280</v>
      </c>
      <c r="K3697" s="4">
        <v>3198103</v>
      </c>
    </row>
    <row r="3698" spans="1:43" x14ac:dyDescent="0.3">
      <c r="B3698" s="44">
        <v>46081</v>
      </c>
      <c r="C3698" s="3" t="s">
        <v>416</v>
      </c>
      <c r="D3698" s="3" t="s">
        <v>493</v>
      </c>
      <c r="E3698" s="42"/>
      <c r="F3698" s="3" t="s">
        <v>476</v>
      </c>
      <c r="G3698" s="3" t="s">
        <v>169</v>
      </c>
      <c r="H3698" s="4">
        <v>3356609</v>
      </c>
      <c r="I3698" s="4" t="s">
        <v>476</v>
      </c>
      <c r="J3698" s="4" t="s">
        <v>170</v>
      </c>
      <c r="K3698" s="4">
        <v>3356703</v>
      </c>
    </row>
    <row r="3699" spans="1:43" x14ac:dyDescent="0.3">
      <c r="B3699" s="44">
        <v>46081</v>
      </c>
      <c r="C3699" s="3" t="s">
        <v>416</v>
      </c>
      <c r="D3699" s="3" t="s">
        <v>62</v>
      </c>
      <c r="E3699" s="42"/>
      <c r="F3699" s="3" t="s">
        <v>476</v>
      </c>
      <c r="G3699" s="3" t="s">
        <v>323</v>
      </c>
      <c r="H3699" s="4">
        <v>3206506</v>
      </c>
      <c r="I3699" s="3" t="s">
        <v>700</v>
      </c>
      <c r="J3699" s="3" t="s">
        <v>442</v>
      </c>
      <c r="K3699" s="4">
        <v>3205007</v>
      </c>
    </row>
    <row r="3700" spans="1:43" x14ac:dyDescent="0.3">
      <c r="B3700" s="44">
        <v>46081</v>
      </c>
      <c r="C3700" s="3" t="s">
        <v>416</v>
      </c>
      <c r="D3700" s="3" t="s">
        <v>65</v>
      </c>
      <c r="E3700" s="42"/>
      <c r="F3700" s="3" t="s">
        <v>476</v>
      </c>
      <c r="G3700" s="3" t="s">
        <v>358</v>
      </c>
      <c r="H3700" s="4">
        <v>3206402</v>
      </c>
      <c r="I3700" s="4" t="s">
        <v>656</v>
      </c>
      <c r="J3700" s="4" t="s">
        <v>326</v>
      </c>
      <c r="K3700" s="4">
        <v>3199904</v>
      </c>
    </row>
    <row r="3701" spans="1:43" x14ac:dyDescent="0.3">
      <c r="B3701" s="44">
        <v>46081</v>
      </c>
      <c r="C3701" s="3" t="s">
        <v>416</v>
      </c>
      <c r="D3701" s="3" t="s">
        <v>497</v>
      </c>
      <c r="E3701" s="42"/>
      <c r="F3701" s="17" t="s">
        <v>476</v>
      </c>
      <c r="G3701" s="17" t="s">
        <v>234</v>
      </c>
      <c r="H3701" s="74">
        <v>3356807</v>
      </c>
      <c r="I3701" s="17" t="s">
        <v>653</v>
      </c>
      <c r="J3701" s="17" t="s">
        <v>208</v>
      </c>
      <c r="K3701" s="74">
        <v>3361308</v>
      </c>
    </row>
    <row r="3702" spans="1:43" x14ac:dyDescent="0.3">
      <c r="B3702" s="44">
        <v>46081</v>
      </c>
      <c r="C3702" s="3" t="s">
        <v>416</v>
      </c>
      <c r="D3702" s="3" t="s">
        <v>593</v>
      </c>
      <c r="E3702" s="42"/>
      <c r="F3702" s="3" t="s">
        <v>476</v>
      </c>
      <c r="G3702" s="3" t="s">
        <v>630</v>
      </c>
      <c r="H3702" s="4">
        <v>3206308</v>
      </c>
      <c r="I3702" s="4" t="s">
        <v>676</v>
      </c>
      <c r="J3702" s="4" t="s">
        <v>639</v>
      </c>
      <c r="K3702" s="4">
        <v>3776805</v>
      </c>
    </row>
    <row r="3703" spans="1:43" x14ac:dyDescent="0.3">
      <c r="A3703" s="4"/>
      <c r="B3703" s="100">
        <v>46081</v>
      </c>
      <c r="C3703" s="98" t="s">
        <v>553</v>
      </c>
      <c r="D3703" s="4" t="s">
        <v>508</v>
      </c>
      <c r="E3703" s="4"/>
      <c r="F3703" s="73" t="s">
        <v>534</v>
      </c>
      <c r="G3703" s="73" t="s">
        <v>524</v>
      </c>
      <c r="H3703" s="73"/>
      <c r="I3703" s="73" t="s">
        <v>478</v>
      </c>
      <c r="J3703" s="73" t="s">
        <v>478</v>
      </c>
      <c r="K3703" s="15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</row>
    <row r="3704" spans="1:43" x14ac:dyDescent="0.3">
      <c r="B3704" s="44">
        <v>46081</v>
      </c>
      <c r="C3704" s="3" t="s">
        <v>416</v>
      </c>
      <c r="D3704" s="3" t="s">
        <v>504</v>
      </c>
      <c r="E3704" s="42"/>
      <c r="F3704" s="4" t="s">
        <v>666</v>
      </c>
      <c r="G3704" s="4" t="s">
        <v>12</v>
      </c>
      <c r="H3704" s="4">
        <v>3034206</v>
      </c>
      <c r="I3704" s="4" t="s">
        <v>720</v>
      </c>
      <c r="J3704" s="4" t="s">
        <v>13</v>
      </c>
      <c r="K3704" s="4">
        <v>3125906</v>
      </c>
    </row>
    <row r="3705" spans="1:43" x14ac:dyDescent="0.3">
      <c r="B3705" s="44">
        <v>46081</v>
      </c>
      <c r="C3705" s="3" t="s">
        <v>416</v>
      </c>
      <c r="D3705" s="3" t="s">
        <v>492</v>
      </c>
      <c r="E3705" s="42"/>
      <c r="F3705" s="3" t="s">
        <v>666</v>
      </c>
      <c r="G3705" s="3" t="s">
        <v>158</v>
      </c>
      <c r="H3705" s="4">
        <v>3356901</v>
      </c>
      <c r="I3705" s="3" t="s">
        <v>714</v>
      </c>
      <c r="J3705" s="3" t="s">
        <v>162</v>
      </c>
      <c r="K3705" s="4">
        <v>3348903</v>
      </c>
    </row>
    <row r="3706" spans="1:43" x14ac:dyDescent="0.3">
      <c r="B3706" s="44">
        <v>46081</v>
      </c>
      <c r="C3706" s="3" t="s">
        <v>416</v>
      </c>
      <c r="D3706" s="3" t="s">
        <v>495</v>
      </c>
      <c r="E3706" s="42"/>
      <c r="F3706" s="3" t="s">
        <v>666</v>
      </c>
      <c r="G3706" s="3" t="s">
        <v>193</v>
      </c>
      <c r="H3706" s="4">
        <v>3357108</v>
      </c>
      <c r="I3706" s="3" t="s">
        <v>646</v>
      </c>
      <c r="J3706" s="3" t="s">
        <v>195</v>
      </c>
      <c r="K3706" s="74">
        <v>3361600</v>
      </c>
    </row>
    <row r="3707" spans="1:43" x14ac:dyDescent="0.3">
      <c r="B3707" s="44">
        <v>46081</v>
      </c>
      <c r="C3707" s="3" t="s">
        <v>416</v>
      </c>
      <c r="D3707" s="4" t="s">
        <v>614</v>
      </c>
      <c r="E3707" s="42"/>
      <c r="F3707" s="3" t="s">
        <v>666</v>
      </c>
      <c r="G3707" s="3" t="s">
        <v>453</v>
      </c>
      <c r="H3707" s="4">
        <v>3206006</v>
      </c>
      <c r="I3707" s="4" t="s">
        <v>674</v>
      </c>
      <c r="J3707" s="4" t="s">
        <v>346</v>
      </c>
      <c r="K3707" s="4">
        <v>3208900</v>
      </c>
    </row>
    <row r="3708" spans="1:43" x14ac:dyDescent="0.3">
      <c r="B3708" s="44">
        <v>46081</v>
      </c>
      <c r="C3708" s="3" t="s">
        <v>416</v>
      </c>
      <c r="D3708" s="3" t="s">
        <v>491</v>
      </c>
      <c r="E3708" s="42"/>
      <c r="F3708" s="3" t="s">
        <v>478</v>
      </c>
      <c r="G3708" s="3" t="s">
        <v>463</v>
      </c>
      <c r="H3708" s="74">
        <v>3125500</v>
      </c>
      <c r="I3708" s="4" t="s">
        <v>680</v>
      </c>
      <c r="J3708" s="4" t="s">
        <v>177</v>
      </c>
      <c r="K3708" s="4">
        <v>3899709</v>
      </c>
    </row>
    <row r="3709" spans="1:43" x14ac:dyDescent="0.3">
      <c r="B3709" s="44">
        <v>46081</v>
      </c>
      <c r="C3709" s="3" t="s">
        <v>416</v>
      </c>
      <c r="D3709" s="3" t="s">
        <v>63</v>
      </c>
      <c r="E3709" s="42"/>
      <c r="F3709" s="3" t="s">
        <v>478</v>
      </c>
      <c r="G3709" s="3" t="s">
        <v>331</v>
      </c>
      <c r="H3709" s="74">
        <v>3205403</v>
      </c>
      <c r="I3709" s="3" t="s">
        <v>683</v>
      </c>
      <c r="J3709" s="3" t="s">
        <v>368</v>
      </c>
      <c r="K3709" s="74">
        <v>3203009</v>
      </c>
    </row>
    <row r="3710" spans="1:43" x14ac:dyDescent="0.3">
      <c r="B3710" s="44">
        <v>46081</v>
      </c>
      <c r="C3710" s="3" t="s">
        <v>416</v>
      </c>
      <c r="D3710" s="3" t="s">
        <v>488</v>
      </c>
      <c r="E3710" s="42"/>
      <c r="F3710" s="4" t="s">
        <v>690</v>
      </c>
      <c r="G3710" s="4" t="s">
        <v>118</v>
      </c>
      <c r="H3710" s="4">
        <v>3356005</v>
      </c>
      <c r="I3710" s="4" t="s">
        <v>698</v>
      </c>
      <c r="J3710" s="4" t="s">
        <v>561</v>
      </c>
      <c r="K3710" s="4" t="s">
        <v>563</v>
      </c>
    </row>
    <row r="3711" spans="1:43" x14ac:dyDescent="0.3">
      <c r="B3711" s="44">
        <v>46081</v>
      </c>
      <c r="C3711" s="3" t="s">
        <v>416</v>
      </c>
      <c r="D3711" s="3" t="s">
        <v>56</v>
      </c>
      <c r="E3711" s="42"/>
      <c r="F3711" s="3" t="s">
        <v>690</v>
      </c>
      <c r="G3711" s="3" t="s">
        <v>250</v>
      </c>
      <c r="H3711" s="4">
        <v>3070100</v>
      </c>
      <c r="I3711" s="3" t="s">
        <v>471</v>
      </c>
      <c r="J3711" s="3" t="s">
        <v>254</v>
      </c>
      <c r="K3711" s="4">
        <v>3068908</v>
      </c>
    </row>
    <row r="3712" spans="1:43" x14ac:dyDescent="0.3">
      <c r="B3712" s="44">
        <v>46081</v>
      </c>
      <c r="C3712" s="3" t="s">
        <v>416</v>
      </c>
      <c r="D3712" s="3" t="s">
        <v>61</v>
      </c>
      <c r="E3712" s="42"/>
      <c r="F3712" s="3" t="s">
        <v>690</v>
      </c>
      <c r="G3712" s="3" t="s">
        <v>304</v>
      </c>
      <c r="H3712" s="4">
        <v>3204404</v>
      </c>
      <c r="I3712" s="3" t="s">
        <v>696</v>
      </c>
      <c r="J3712" s="3" t="s">
        <v>307</v>
      </c>
      <c r="K3712" s="4">
        <v>3201907</v>
      </c>
    </row>
    <row r="3713" spans="1:43" x14ac:dyDescent="0.3">
      <c r="B3713" s="44">
        <v>46081</v>
      </c>
      <c r="C3713" s="3" t="s">
        <v>416</v>
      </c>
      <c r="D3713" s="3" t="s">
        <v>491</v>
      </c>
      <c r="E3713" s="42"/>
      <c r="F3713" s="4" t="s">
        <v>690</v>
      </c>
      <c r="G3713" s="4" t="s">
        <v>179</v>
      </c>
      <c r="H3713" s="4">
        <v>3818900</v>
      </c>
      <c r="I3713" s="4" t="s">
        <v>709</v>
      </c>
      <c r="J3713" s="4" t="s">
        <v>566</v>
      </c>
      <c r="K3713" s="4">
        <v>3560703</v>
      </c>
    </row>
    <row r="3714" spans="1:43" x14ac:dyDescent="0.3">
      <c r="B3714" s="44">
        <v>46081</v>
      </c>
      <c r="C3714" s="3" t="s">
        <v>416</v>
      </c>
      <c r="D3714" s="3" t="s">
        <v>66</v>
      </c>
      <c r="E3714" s="42"/>
      <c r="F3714" s="3" t="s">
        <v>690</v>
      </c>
      <c r="G3714" s="3" t="s">
        <v>605</v>
      </c>
      <c r="H3714" s="74">
        <v>3900109</v>
      </c>
      <c r="I3714" s="104" t="s">
        <v>680</v>
      </c>
      <c r="J3714" s="104" t="s">
        <v>603</v>
      </c>
      <c r="K3714" s="74">
        <v>3945400</v>
      </c>
    </row>
    <row r="3715" spans="1:43" x14ac:dyDescent="0.3">
      <c r="B3715" s="44">
        <v>46081</v>
      </c>
      <c r="C3715" s="3" t="s">
        <v>416</v>
      </c>
      <c r="D3715" s="3" t="s">
        <v>65</v>
      </c>
      <c r="E3715" s="42"/>
      <c r="F3715" s="3" t="s">
        <v>718</v>
      </c>
      <c r="G3715" s="3" t="s">
        <v>359</v>
      </c>
      <c r="H3715" s="4">
        <v>3204602</v>
      </c>
      <c r="I3715" s="4" t="s">
        <v>678</v>
      </c>
      <c r="J3715" s="4" t="s">
        <v>452</v>
      </c>
      <c r="K3715" s="4">
        <v>3198207</v>
      </c>
    </row>
    <row r="3716" spans="1:43" x14ac:dyDescent="0.3">
      <c r="B3716" s="44">
        <v>46081</v>
      </c>
      <c r="C3716" s="3" t="s">
        <v>416</v>
      </c>
      <c r="D3716" s="3" t="s">
        <v>486</v>
      </c>
      <c r="E3716" s="42"/>
      <c r="F3716" s="4" t="s">
        <v>682</v>
      </c>
      <c r="G3716" s="4" t="s">
        <v>559</v>
      </c>
      <c r="H3716" s="4">
        <v>3969200</v>
      </c>
      <c r="I3716" s="4" t="s">
        <v>651</v>
      </c>
      <c r="J3716" s="4" t="s">
        <v>97</v>
      </c>
      <c r="K3716" s="4">
        <v>3362005</v>
      </c>
    </row>
    <row r="3717" spans="1:43" x14ac:dyDescent="0.3">
      <c r="B3717" s="44">
        <v>46081</v>
      </c>
      <c r="C3717" s="3" t="s">
        <v>416</v>
      </c>
      <c r="D3717" s="3" t="s">
        <v>57</v>
      </c>
      <c r="E3717" s="42"/>
      <c r="F3717" s="3" t="s">
        <v>682</v>
      </c>
      <c r="G3717" s="3" t="s">
        <v>584</v>
      </c>
      <c r="H3717" s="4">
        <v>3069303</v>
      </c>
      <c r="I3717" s="3" t="s">
        <v>645</v>
      </c>
      <c r="J3717" s="3" t="s">
        <v>263</v>
      </c>
      <c r="K3717" s="4">
        <v>3198707</v>
      </c>
    </row>
    <row r="3718" spans="1:43" x14ac:dyDescent="0.3">
      <c r="B3718" s="44">
        <v>46081</v>
      </c>
      <c r="C3718" s="3" t="s">
        <v>416</v>
      </c>
      <c r="D3718" s="3" t="s">
        <v>610</v>
      </c>
      <c r="E3718" s="42"/>
      <c r="F3718" s="3" t="s">
        <v>682</v>
      </c>
      <c r="G3718" s="3" t="s">
        <v>611</v>
      </c>
      <c r="H3718" s="4">
        <v>3204800</v>
      </c>
      <c r="I3718" s="4" t="s">
        <v>474</v>
      </c>
      <c r="J3718" s="4" t="s">
        <v>458</v>
      </c>
      <c r="K3718" s="4">
        <v>3200304</v>
      </c>
    </row>
    <row r="3719" spans="1:43" x14ac:dyDescent="0.3">
      <c r="B3719" s="44">
        <v>46081</v>
      </c>
      <c r="C3719" s="3" t="s">
        <v>416</v>
      </c>
      <c r="D3719" s="3" t="s">
        <v>495</v>
      </c>
      <c r="E3719" s="42"/>
      <c r="F3719" s="3" t="s">
        <v>682</v>
      </c>
      <c r="G3719" s="3" t="s">
        <v>568</v>
      </c>
      <c r="H3719" s="4">
        <v>3969908</v>
      </c>
      <c r="I3719" s="3" t="s">
        <v>570</v>
      </c>
      <c r="J3719" s="3" t="s">
        <v>570</v>
      </c>
      <c r="K3719" s="4" t="s">
        <v>556</v>
      </c>
    </row>
    <row r="3720" spans="1:43" x14ac:dyDescent="0.3">
      <c r="B3720" s="44">
        <v>46081</v>
      </c>
      <c r="C3720" s="3" t="s">
        <v>416</v>
      </c>
      <c r="D3720" s="4" t="s">
        <v>614</v>
      </c>
      <c r="E3720" s="42"/>
      <c r="F3720" s="3" t="s">
        <v>682</v>
      </c>
      <c r="G3720" s="3" t="s">
        <v>622</v>
      </c>
      <c r="H3720" s="4">
        <v>3969502</v>
      </c>
      <c r="I3720" s="4" t="s">
        <v>710</v>
      </c>
      <c r="J3720" s="4" t="s">
        <v>384</v>
      </c>
      <c r="K3720" s="4">
        <v>3199508</v>
      </c>
    </row>
    <row r="3721" spans="1:43" x14ac:dyDescent="0.3">
      <c r="B3721" s="44">
        <v>46081</v>
      </c>
      <c r="C3721" s="3" t="s">
        <v>416</v>
      </c>
      <c r="D3721" s="3" t="s">
        <v>501</v>
      </c>
      <c r="E3721" s="42"/>
      <c r="F3721" s="3" t="s">
        <v>682</v>
      </c>
      <c r="G3721" s="3" t="s">
        <v>579</v>
      </c>
      <c r="H3721" s="53">
        <v>3970007</v>
      </c>
      <c r="I3721" s="3" t="s">
        <v>689</v>
      </c>
      <c r="J3721" s="3" t="s">
        <v>581</v>
      </c>
      <c r="K3721" s="4">
        <v>4022804</v>
      </c>
      <c r="M3721" s="51"/>
    </row>
    <row r="3722" spans="1:43" x14ac:dyDescent="0.3">
      <c r="B3722" s="44">
        <v>46081</v>
      </c>
      <c r="C3722" s="3" t="s">
        <v>416</v>
      </c>
      <c r="D3722" s="3" t="s">
        <v>488</v>
      </c>
      <c r="E3722" s="42"/>
      <c r="F3722" s="3" t="s">
        <v>702</v>
      </c>
      <c r="G3722" s="3" t="s">
        <v>119</v>
      </c>
      <c r="H3722" s="4">
        <v>3067909</v>
      </c>
      <c r="I3722" s="3" t="s">
        <v>704</v>
      </c>
      <c r="J3722" s="3" t="s">
        <v>120</v>
      </c>
      <c r="K3722" s="4">
        <v>3355506</v>
      </c>
    </row>
    <row r="3723" spans="1:43" x14ac:dyDescent="0.3">
      <c r="B3723" s="44">
        <v>46081</v>
      </c>
      <c r="C3723" s="3" t="s">
        <v>416</v>
      </c>
      <c r="D3723" s="3" t="s">
        <v>491</v>
      </c>
      <c r="E3723" s="42"/>
      <c r="F3723" s="4" t="s">
        <v>702</v>
      </c>
      <c r="G3723" s="4" t="s">
        <v>180</v>
      </c>
      <c r="H3723" s="4">
        <v>3355308</v>
      </c>
      <c r="I3723" s="4" t="s">
        <v>645</v>
      </c>
      <c r="J3723" s="4" t="s">
        <v>464</v>
      </c>
      <c r="K3723" s="4">
        <v>3351406</v>
      </c>
    </row>
    <row r="3724" spans="1:43" x14ac:dyDescent="0.3">
      <c r="B3724" s="44">
        <v>46081</v>
      </c>
      <c r="C3724" s="3" t="s">
        <v>416</v>
      </c>
      <c r="D3724" s="3" t="s">
        <v>487</v>
      </c>
      <c r="E3724" s="4"/>
      <c r="F3724" s="3" t="s">
        <v>695</v>
      </c>
      <c r="G3724" s="3" t="s">
        <v>101</v>
      </c>
      <c r="H3724" s="4">
        <v>3067305</v>
      </c>
      <c r="I3724" s="3" t="s">
        <v>479</v>
      </c>
      <c r="J3724" s="3" t="s">
        <v>127</v>
      </c>
      <c r="K3724" s="4">
        <v>3360809</v>
      </c>
    </row>
    <row r="3725" spans="1:43" x14ac:dyDescent="0.3">
      <c r="B3725" s="44">
        <v>46081</v>
      </c>
      <c r="C3725" s="3" t="s">
        <v>416</v>
      </c>
      <c r="D3725" s="3" t="s">
        <v>491</v>
      </c>
      <c r="E3725" s="42"/>
      <c r="F3725" s="3" t="s">
        <v>695</v>
      </c>
      <c r="G3725" s="3" t="s">
        <v>148</v>
      </c>
      <c r="H3725" s="4">
        <v>3355402</v>
      </c>
      <c r="I3725" s="3" t="s">
        <v>697</v>
      </c>
      <c r="J3725" s="3" t="s">
        <v>150</v>
      </c>
      <c r="K3725" s="4">
        <v>3353706</v>
      </c>
    </row>
    <row r="3726" spans="1:43" x14ac:dyDescent="0.3">
      <c r="B3726" s="44">
        <v>46081</v>
      </c>
      <c r="C3726" s="3" t="s">
        <v>416</v>
      </c>
      <c r="D3726" s="3" t="s">
        <v>58</v>
      </c>
      <c r="E3726" s="42"/>
      <c r="F3726" s="3" t="s">
        <v>704</v>
      </c>
      <c r="G3726" s="3" t="s">
        <v>297</v>
      </c>
      <c r="H3726" s="4">
        <v>3204008</v>
      </c>
      <c r="I3726" s="3" t="s">
        <v>698</v>
      </c>
      <c r="J3726" s="3" t="s">
        <v>587</v>
      </c>
      <c r="K3726" s="32" t="s">
        <v>563</v>
      </c>
    </row>
    <row r="3727" spans="1:43" x14ac:dyDescent="0.3">
      <c r="A3727" s="4"/>
      <c r="B3727" s="100">
        <v>46081</v>
      </c>
      <c r="C3727" s="98" t="s">
        <v>553</v>
      </c>
      <c r="D3727" s="4" t="s">
        <v>508</v>
      </c>
      <c r="E3727" s="4"/>
      <c r="F3727" s="73" t="s">
        <v>473</v>
      </c>
      <c r="G3727" s="73" t="s">
        <v>473</v>
      </c>
      <c r="H3727" s="73"/>
      <c r="I3727" s="73" t="s">
        <v>532</v>
      </c>
      <c r="J3727" s="73" t="s">
        <v>532</v>
      </c>
      <c r="K3727" s="15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</row>
    <row r="3728" spans="1:43" x14ac:dyDescent="0.3">
      <c r="B3728" s="44">
        <v>46081</v>
      </c>
      <c r="C3728" s="3" t="s">
        <v>416</v>
      </c>
      <c r="D3728" s="3" t="s">
        <v>60</v>
      </c>
      <c r="E3728" s="42"/>
      <c r="F3728" s="3" t="s">
        <v>473</v>
      </c>
      <c r="G3728" s="3" t="s">
        <v>298</v>
      </c>
      <c r="H3728" s="4">
        <v>3817807</v>
      </c>
      <c r="I3728" s="3" t="s">
        <v>667</v>
      </c>
      <c r="J3728" s="3" t="s">
        <v>444</v>
      </c>
      <c r="K3728" s="32">
        <v>3209909</v>
      </c>
    </row>
    <row r="3729" spans="2:11" x14ac:dyDescent="0.3">
      <c r="B3729" s="44">
        <v>46081</v>
      </c>
      <c r="C3729" s="3" t="s">
        <v>416</v>
      </c>
      <c r="D3729" s="3" t="s">
        <v>60</v>
      </c>
      <c r="E3729" s="42"/>
      <c r="F3729" s="3" t="s">
        <v>473</v>
      </c>
      <c r="G3729" s="3" t="s">
        <v>446</v>
      </c>
      <c r="H3729" s="4">
        <v>3204206</v>
      </c>
      <c r="I3729" s="3" t="s">
        <v>473</v>
      </c>
      <c r="J3729" s="3" t="s">
        <v>445</v>
      </c>
      <c r="K3729" s="4">
        <v>3204102</v>
      </c>
    </row>
    <row r="3730" spans="2:11" x14ac:dyDescent="0.3">
      <c r="B3730" s="44">
        <v>46081</v>
      </c>
      <c r="C3730" s="3" t="s">
        <v>416</v>
      </c>
      <c r="D3730" s="3" t="s">
        <v>494</v>
      </c>
      <c r="E3730" s="42"/>
      <c r="F3730" s="4" t="s">
        <v>708</v>
      </c>
      <c r="G3730" s="4" t="s">
        <v>141</v>
      </c>
      <c r="H3730" s="4">
        <v>3125802</v>
      </c>
      <c r="I3730" s="4" t="s">
        <v>472</v>
      </c>
      <c r="J3730" s="4" t="s">
        <v>185</v>
      </c>
      <c r="K3730" s="4">
        <v>3357806</v>
      </c>
    </row>
    <row r="3731" spans="2:11" x14ac:dyDescent="0.3">
      <c r="B3731" s="44">
        <v>46081</v>
      </c>
      <c r="C3731" s="3" t="s">
        <v>416</v>
      </c>
      <c r="D3731" s="3" t="s">
        <v>494</v>
      </c>
      <c r="E3731" s="42"/>
      <c r="F3731" s="3" t="s">
        <v>708</v>
      </c>
      <c r="G3731" s="3" t="s">
        <v>220</v>
      </c>
      <c r="H3731" s="4">
        <v>3354809</v>
      </c>
      <c r="I3731" s="3" t="s">
        <v>689</v>
      </c>
      <c r="J3731" s="3" t="s">
        <v>189</v>
      </c>
      <c r="K3731" s="4">
        <v>3350209</v>
      </c>
    </row>
    <row r="3732" spans="2:11" x14ac:dyDescent="0.3">
      <c r="B3732" s="44">
        <v>46081</v>
      </c>
      <c r="C3732" s="3" t="s">
        <v>416</v>
      </c>
      <c r="D3732" s="3" t="s">
        <v>57</v>
      </c>
      <c r="E3732" s="42"/>
      <c r="F3732" s="15" t="s">
        <v>703</v>
      </c>
      <c r="G3732" s="15" t="s">
        <v>585</v>
      </c>
      <c r="H3732" s="74" t="s">
        <v>556</v>
      </c>
      <c r="I3732" s="3" t="s">
        <v>693</v>
      </c>
      <c r="J3732" s="3" t="s">
        <v>258</v>
      </c>
      <c r="K3732" s="4">
        <v>3207109</v>
      </c>
    </row>
    <row r="3733" spans="2:11" x14ac:dyDescent="0.3">
      <c r="B3733" s="44">
        <v>46081</v>
      </c>
      <c r="C3733" s="3" t="s">
        <v>416</v>
      </c>
      <c r="D3733" s="3" t="s">
        <v>58</v>
      </c>
      <c r="E3733" s="42"/>
      <c r="F3733" s="3" t="s">
        <v>703</v>
      </c>
      <c r="G3733" s="3" t="s">
        <v>586</v>
      </c>
      <c r="H3733" s="4" t="s">
        <v>588</v>
      </c>
      <c r="I3733" s="3" t="s">
        <v>697</v>
      </c>
      <c r="J3733" s="3" t="s">
        <v>262</v>
      </c>
      <c r="K3733" s="32">
        <v>3055405</v>
      </c>
    </row>
    <row r="3734" spans="2:11" x14ac:dyDescent="0.3">
      <c r="B3734" s="44">
        <v>46081</v>
      </c>
      <c r="C3734" s="3" t="s">
        <v>416</v>
      </c>
      <c r="D3734" s="3" t="s">
        <v>61</v>
      </c>
      <c r="E3734" s="42"/>
      <c r="F3734" s="3" t="s">
        <v>703</v>
      </c>
      <c r="G3734" s="3" t="s">
        <v>596</v>
      </c>
      <c r="H3734" s="4" t="s">
        <v>556</v>
      </c>
      <c r="I3734" s="3" t="s">
        <v>684</v>
      </c>
      <c r="J3734" s="3" t="s">
        <v>306</v>
      </c>
      <c r="K3734" s="4">
        <v>3202604</v>
      </c>
    </row>
    <row r="3735" spans="2:11" x14ac:dyDescent="0.3">
      <c r="B3735" s="44">
        <v>46081</v>
      </c>
      <c r="C3735" s="3" t="s">
        <v>416</v>
      </c>
      <c r="D3735" s="3" t="s">
        <v>66</v>
      </c>
      <c r="E3735" s="42"/>
      <c r="F3735" s="3" t="s">
        <v>703</v>
      </c>
      <c r="G3735" s="3" t="s">
        <v>606</v>
      </c>
      <c r="H3735" s="74" t="s">
        <v>588</v>
      </c>
      <c r="I3735" s="104" t="s">
        <v>659</v>
      </c>
      <c r="J3735" s="104" t="s">
        <v>602</v>
      </c>
      <c r="K3735" s="74">
        <v>4023001</v>
      </c>
    </row>
    <row r="3736" spans="2:11" x14ac:dyDescent="0.3">
      <c r="B3736" s="44">
        <v>46081</v>
      </c>
      <c r="C3736" s="3" t="s">
        <v>416</v>
      </c>
      <c r="D3736" s="3" t="s">
        <v>58</v>
      </c>
      <c r="E3736" s="42"/>
      <c r="F3736" s="3" t="s">
        <v>683</v>
      </c>
      <c r="G3736" s="3" t="s">
        <v>305</v>
      </c>
      <c r="H3736" s="4">
        <v>3202906</v>
      </c>
      <c r="I3736" s="3" t="s">
        <v>712</v>
      </c>
      <c r="J3736" s="3" t="s">
        <v>270</v>
      </c>
      <c r="K3736" s="4">
        <v>3069605</v>
      </c>
    </row>
    <row r="3737" spans="2:11" x14ac:dyDescent="0.3">
      <c r="B3737" s="44">
        <v>46081</v>
      </c>
      <c r="C3737" s="3" t="s">
        <v>416</v>
      </c>
      <c r="D3737" s="3" t="s">
        <v>487</v>
      </c>
      <c r="E3737" s="4"/>
      <c r="F3737" s="3" t="s">
        <v>709</v>
      </c>
      <c r="G3737" s="3" t="s">
        <v>111</v>
      </c>
      <c r="H3737" s="4">
        <v>3354601</v>
      </c>
      <c r="I3737" s="4" t="s">
        <v>645</v>
      </c>
      <c r="J3737" s="4" t="s">
        <v>114</v>
      </c>
      <c r="K3737" s="4">
        <v>3351000</v>
      </c>
    </row>
    <row r="3738" spans="2:11" x14ac:dyDescent="0.3">
      <c r="B3738" s="44">
        <v>46081</v>
      </c>
      <c r="C3738" s="3" t="s">
        <v>416</v>
      </c>
      <c r="D3738" s="3" t="s">
        <v>57</v>
      </c>
      <c r="E3738" s="42"/>
      <c r="F3738" s="32" t="s">
        <v>709</v>
      </c>
      <c r="G3738" s="32" t="s">
        <v>268</v>
      </c>
      <c r="H3738" s="15">
        <v>3203103</v>
      </c>
      <c r="I3738" s="32" t="s">
        <v>476</v>
      </c>
      <c r="J3738" s="32" t="s">
        <v>249</v>
      </c>
      <c r="K3738" s="15">
        <v>3038202</v>
      </c>
    </row>
    <row r="3739" spans="2:11" x14ac:dyDescent="0.3">
      <c r="B3739" s="44">
        <v>46081</v>
      </c>
      <c r="C3739" s="3" t="s">
        <v>416</v>
      </c>
      <c r="D3739" s="3" t="s">
        <v>66</v>
      </c>
      <c r="E3739" s="42"/>
      <c r="F3739" s="3" t="s">
        <v>709</v>
      </c>
      <c r="G3739" s="3" t="s">
        <v>607</v>
      </c>
      <c r="H3739" s="4">
        <v>3596309</v>
      </c>
      <c r="I3739" s="3" t="s">
        <v>696</v>
      </c>
      <c r="J3739" s="3" t="s">
        <v>609</v>
      </c>
      <c r="K3739" s="74">
        <v>3900401</v>
      </c>
    </row>
    <row r="3740" spans="2:11" x14ac:dyDescent="0.3">
      <c r="B3740" s="44">
        <v>46081</v>
      </c>
      <c r="C3740" s="3" t="s">
        <v>416</v>
      </c>
      <c r="D3740" s="3" t="s">
        <v>488</v>
      </c>
      <c r="E3740" s="42"/>
      <c r="F3740" s="4" t="s">
        <v>684</v>
      </c>
      <c r="G3740" s="4" t="s">
        <v>121</v>
      </c>
      <c r="H3740" s="4">
        <v>3354309</v>
      </c>
      <c r="I3740" s="4" t="s">
        <v>695</v>
      </c>
      <c r="J3740" s="4" t="s">
        <v>147</v>
      </c>
      <c r="K3740" s="4">
        <v>3067409</v>
      </c>
    </row>
    <row r="3741" spans="2:11" x14ac:dyDescent="0.3">
      <c r="B3741" s="44">
        <v>46081</v>
      </c>
      <c r="C3741" s="3" t="s">
        <v>416</v>
      </c>
      <c r="D3741" s="3" t="s">
        <v>66</v>
      </c>
      <c r="E3741" s="42"/>
      <c r="F3741" s="3" t="s">
        <v>684</v>
      </c>
      <c r="G3741" s="3" t="s">
        <v>608</v>
      </c>
      <c r="H3741" s="74">
        <v>3819107</v>
      </c>
      <c r="I3741" s="3" t="s">
        <v>478</v>
      </c>
      <c r="J3741" s="3" t="s">
        <v>604</v>
      </c>
      <c r="K3741" s="74">
        <v>3205507</v>
      </c>
    </row>
    <row r="3742" spans="2:11" x14ac:dyDescent="0.3">
      <c r="B3742" s="44">
        <v>46081</v>
      </c>
      <c r="C3742" s="3" t="s">
        <v>416</v>
      </c>
      <c r="D3742" s="3" t="s">
        <v>486</v>
      </c>
      <c r="E3742" s="42"/>
      <c r="F3742" s="4" t="s">
        <v>646</v>
      </c>
      <c r="G3742" s="4" t="s">
        <v>102</v>
      </c>
      <c r="H3742" s="4">
        <v>3125406</v>
      </c>
      <c r="I3742" s="4" t="s">
        <v>652</v>
      </c>
      <c r="J3742" s="4" t="s">
        <v>110</v>
      </c>
      <c r="K3742" s="4">
        <v>3359106</v>
      </c>
    </row>
    <row r="3743" spans="2:11" x14ac:dyDescent="0.3">
      <c r="B3743" s="44">
        <v>46081</v>
      </c>
      <c r="C3743" s="3" t="s">
        <v>416</v>
      </c>
      <c r="D3743" s="3" t="s">
        <v>492</v>
      </c>
      <c r="E3743" s="42"/>
      <c r="F3743" s="3" t="s">
        <v>646</v>
      </c>
      <c r="G3743" s="3" t="s">
        <v>159</v>
      </c>
      <c r="H3743" s="4">
        <v>3354403</v>
      </c>
      <c r="I3743" s="3" t="s">
        <v>474</v>
      </c>
      <c r="J3743" s="3" t="s">
        <v>161</v>
      </c>
      <c r="K3743" s="4">
        <v>3352509</v>
      </c>
    </row>
    <row r="3744" spans="2:11" x14ac:dyDescent="0.3">
      <c r="B3744" s="44">
        <v>46081</v>
      </c>
      <c r="C3744" s="3" t="s">
        <v>416</v>
      </c>
      <c r="D3744" s="3" t="s">
        <v>59</v>
      </c>
      <c r="E3744" s="42"/>
      <c r="F3744" s="4" t="s">
        <v>646</v>
      </c>
      <c r="G3744" s="4" t="s">
        <v>275</v>
      </c>
      <c r="H3744" s="4">
        <v>3202406</v>
      </c>
      <c r="I3744" s="4" t="s">
        <v>687</v>
      </c>
      <c r="J3744" s="4" t="s">
        <v>283</v>
      </c>
      <c r="K3744" s="4">
        <v>3194107</v>
      </c>
    </row>
    <row r="3745" spans="2:11" x14ac:dyDescent="0.3">
      <c r="B3745" s="44">
        <v>46081</v>
      </c>
      <c r="C3745" s="3" t="s">
        <v>416</v>
      </c>
      <c r="D3745" s="3" t="s">
        <v>492</v>
      </c>
      <c r="E3745" s="42"/>
      <c r="F3745" s="4" t="s">
        <v>646</v>
      </c>
      <c r="G3745" s="4" t="s">
        <v>194</v>
      </c>
      <c r="H3745" s="4">
        <v>3354205</v>
      </c>
      <c r="I3745" s="4" t="s">
        <v>713</v>
      </c>
      <c r="J3745" s="4" t="s">
        <v>165</v>
      </c>
      <c r="K3745" s="4">
        <v>3349006</v>
      </c>
    </row>
    <row r="3746" spans="2:11" x14ac:dyDescent="0.3">
      <c r="B3746" s="44">
        <v>46081</v>
      </c>
      <c r="C3746" s="3" t="s">
        <v>416</v>
      </c>
      <c r="D3746" s="3" t="s">
        <v>610</v>
      </c>
      <c r="E3746" s="42"/>
      <c r="F3746" s="3" t="s">
        <v>646</v>
      </c>
      <c r="G3746" s="3" t="s">
        <v>350</v>
      </c>
      <c r="H3746" s="4">
        <v>3202802</v>
      </c>
      <c r="I3746" s="4" t="s">
        <v>652</v>
      </c>
      <c r="J3746" s="4" t="s">
        <v>347</v>
      </c>
      <c r="K3746" s="4">
        <v>3818504</v>
      </c>
    </row>
    <row r="3747" spans="2:11" x14ac:dyDescent="0.3">
      <c r="B3747" s="44">
        <v>46081</v>
      </c>
      <c r="C3747" s="3" t="s">
        <v>416</v>
      </c>
      <c r="D3747" s="4" t="s">
        <v>614</v>
      </c>
      <c r="E3747" s="42"/>
      <c r="F3747" s="3" t="s">
        <v>646</v>
      </c>
      <c r="G3747" s="3" t="s">
        <v>380</v>
      </c>
      <c r="H3747" s="4">
        <v>3202208</v>
      </c>
      <c r="I3747" s="4" t="s">
        <v>713</v>
      </c>
      <c r="J3747" s="4" t="s">
        <v>623</v>
      </c>
      <c r="K3747" s="4">
        <v>3819305</v>
      </c>
    </row>
    <row r="3748" spans="2:11" x14ac:dyDescent="0.3">
      <c r="B3748" s="44">
        <v>46081</v>
      </c>
      <c r="C3748" s="3" t="s">
        <v>416</v>
      </c>
      <c r="D3748" s="3" t="s">
        <v>489</v>
      </c>
      <c r="E3748" s="4"/>
      <c r="F3748" s="3" t="s">
        <v>672</v>
      </c>
      <c r="G3748" s="3" t="s">
        <v>129</v>
      </c>
      <c r="H3748" s="4">
        <v>3067503</v>
      </c>
      <c r="I3748" s="4" t="s">
        <v>476</v>
      </c>
      <c r="J3748" s="4" t="s">
        <v>128</v>
      </c>
      <c r="K3748" s="4">
        <v>3357202</v>
      </c>
    </row>
    <row r="3749" spans="2:11" x14ac:dyDescent="0.3">
      <c r="B3749" s="44">
        <v>46081</v>
      </c>
      <c r="C3749" s="3" t="s">
        <v>416</v>
      </c>
      <c r="D3749" s="3" t="s">
        <v>56</v>
      </c>
      <c r="E3749" s="42"/>
      <c r="F3749" s="106" t="s">
        <v>672</v>
      </c>
      <c r="G3749" s="106" t="s">
        <v>252</v>
      </c>
      <c r="H3749" s="106">
        <v>3070204</v>
      </c>
      <c r="I3749" s="73" t="s">
        <v>671</v>
      </c>
      <c r="J3749" s="73" t="s">
        <v>247</v>
      </c>
      <c r="K3749" s="4">
        <v>3034102</v>
      </c>
    </row>
    <row r="3750" spans="2:11" x14ac:dyDescent="0.3">
      <c r="B3750" s="44">
        <v>46081</v>
      </c>
      <c r="C3750" s="3" t="s">
        <v>416</v>
      </c>
      <c r="D3750" s="3" t="s">
        <v>64</v>
      </c>
      <c r="E3750" s="42">
        <v>4370907</v>
      </c>
      <c r="F3750" s="3" t="s">
        <v>672</v>
      </c>
      <c r="G3750" s="3" t="s">
        <v>316</v>
      </c>
      <c r="H3750" s="4">
        <v>3069105</v>
      </c>
      <c r="I3750" s="4" t="s">
        <v>475</v>
      </c>
      <c r="J3750" s="4" t="s">
        <v>310</v>
      </c>
      <c r="K3750" s="4">
        <v>3212402</v>
      </c>
    </row>
    <row r="3751" spans="2:11" x14ac:dyDescent="0.3">
      <c r="B3751" s="44">
        <v>46081</v>
      </c>
      <c r="C3751" s="3" t="s">
        <v>416</v>
      </c>
      <c r="D3751" s="3" t="s">
        <v>488</v>
      </c>
      <c r="E3751" s="42"/>
      <c r="F3751" s="4" t="s">
        <v>697</v>
      </c>
      <c r="G3751" s="4" t="s">
        <v>122</v>
      </c>
      <c r="H3751" s="4">
        <v>3353800</v>
      </c>
      <c r="I3751" s="4" t="s">
        <v>645</v>
      </c>
      <c r="J3751" s="4" t="s">
        <v>151</v>
      </c>
      <c r="K3751" s="4">
        <v>3351208</v>
      </c>
    </row>
    <row r="3752" spans="2:11" x14ac:dyDescent="0.3">
      <c r="B3752" s="44">
        <v>46081</v>
      </c>
      <c r="C3752" s="3" t="s">
        <v>416</v>
      </c>
      <c r="D3752" s="3" t="s">
        <v>63</v>
      </c>
      <c r="E3752" s="42"/>
      <c r="F3752" s="3" t="s">
        <v>697</v>
      </c>
      <c r="G3752" s="3" t="s">
        <v>448</v>
      </c>
      <c r="H3752" s="4">
        <v>3036808</v>
      </c>
      <c r="I3752" s="3" t="s">
        <v>684</v>
      </c>
      <c r="J3752" s="3" t="s">
        <v>369</v>
      </c>
      <c r="K3752" s="74">
        <v>3202708</v>
      </c>
    </row>
    <row r="3753" spans="2:11" x14ac:dyDescent="0.3">
      <c r="B3753" s="44">
        <v>46081</v>
      </c>
      <c r="C3753" s="3" t="s">
        <v>416</v>
      </c>
      <c r="D3753" s="3" t="s">
        <v>57</v>
      </c>
      <c r="E3753" s="42"/>
      <c r="F3753" s="53" t="s">
        <v>694</v>
      </c>
      <c r="G3753" s="53" t="s">
        <v>276</v>
      </c>
      <c r="H3753" s="74">
        <v>3201709</v>
      </c>
      <c r="I3753" s="4" t="s">
        <v>666</v>
      </c>
      <c r="J3753" s="4" t="s">
        <v>259</v>
      </c>
      <c r="K3753" s="4">
        <v>3205809</v>
      </c>
    </row>
    <row r="3754" spans="2:11" x14ac:dyDescent="0.3">
      <c r="B3754" s="44">
        <v>46081</v>
      </c>
      <c r="C3754" s="3" t="s">
        <v>416</v>
      </c>
      <c r="D3754" s="3" t="s">
        <v>494</v>
      </c>
      <c r="E3754" s="42"/>
      <c r="F3754" s="4" t="s">
        <v>694</v>
      </c>
      <c r="G3754" s="4" t="s">
        <v>188</v>
      </c>
      <c r="H3754" s="4">
        <v>3353508</v>
      </c>
      <c r="I3754" s="4" t="s">
        <v>647</v>
      </c>
      <c r="J3754" s="4" t="s">
        <v>191</v>
      </c>
      <c r="K3754" s="4">
        <v>3345708</v>
      </c>
    </row>
    <row r="3755" spans="2:11" x14ac:dyDescent="0.3">
      <c r="B3755" s="44">
        <v>46081</v>
      </c>
      <c r="C3755" s="3" t="s">
        <v>416</v>
      </c>
      <c r="D3755" s="3" t="s">
        <v>62</v>
      </c>
      <c r="E3755" s="42"/>
      <c r="F3755" s="4" t="s">
        <v>694</v>
      </c>
      <c r="G3755" s="4" t="s">
        <v>340</v>
      </c>
      <c r="H3755" s="4">
        <v>3201803</v>
      </c>
      <c r="I3755" s="4" t="s">
        <v>471</v>
      </c>
      <c r="J3755" s="4" t="s">
        <v>328</v>
      </c>
      <c r="K3755" s="4">
        <v>3196803</v>
      </c>
    </row>
    <row r="3756" spans="2:11" x14ac:dyDescent="0.3">
      <c r="B3756" s="44">
        <v>46081</v>
      </c>
      <c r="C3756" s="3" t="s">
        <v>416</v>
      </c>
      <c r="D3756" s="3" t="s">
        <v>494</v>
      </c>
      <c r="E3756" s="42"/>
      <c r="F3756" s="3" t="s">
        <v>694</v>
      </c>
      <c r="G3756" s="3" t="s">
        <v>221</v>
      </c>
      <c r="H3756" s="4">
        <v>3353404</v>
      </c>
      <c r="I3756" s="3" t="s">
        <v>692</v>
      </c>
      <c r="J3756" s="3" t="s">
        <v>144</v>
      </c>
      <c r="K3756" s="4">
        <v>3347904</v>
      </c>
    </row>
    <row r="3757" spans="2:11" x14ac:dyDescent="0.3">
      <c r="B3757" s="44">
        <v>46081</v>
      </c>
      <c r="C3757" s="3" t="s">
        <v>416</v>
      </c>
      <c r="D3757" s="3" t="s">
        <v>69</v>
      </c>
      <c r="E3757" s="42"/>
      <c r="F3757" s="3" t="s">
        <v>694</v>
      </c>
      <c r="G3757" s="3" t="s">
        <v>376</v>
      </c>
      <c r="H3757" s="53">
        <v>3201303</v>
      </c>
      <c r="I3757" s="3" t="s">
        <v>656</v>
      </c>
      <c r="J3757" s="3" t="s">
        <v>361</v>
      </c>
      <c r="K3757" s="4">
        <v>3200002</v>
      </c>
    </row>
    <row r="3758" spans="2:11" x14ac:dyDescent="0.3">
      <c r="B3758" s="44">
        <v>46081</v>
      </c>
      <c r="C3758" s="3" t="s">
        <v>416</v>
      </c>
      <c r="D3758" s="3" t="s">
        <v>69</v>
      </c>
      <c r="E3758" s="42"/>
      <c r="F3758" s="3" t="s">
        <v>694</v>
      </c>
      <c r="G3758" s="3" t="s">
        <v>402</v>
      </c>
      <c r="H3758" s="4">
        <v>3201407</v>
      </c>
      <c r="I3758" s="3" t="s">
        <v>655</v>
      </c>
      <c r="J3758" s="3" t="s">
        <v>394</v>
      </c>
      <c r="K3758" s="4">
        <v>3201105</v>
      </c>
    </row>
    <row r="3759" spans="2:11" x14ac:dyDescent="0.3">
      <c r="B3759" s="44">
        <v>46081</v>
      </c>
      <c r="C3759" s="3" t="s">
        <v>416</v>
      </c>
      <c r="D3759" s="3" t="s">
        <v>62</v>
      </c>
      <c r="E3759" s="42"/>
      <c r="F3759" s="3" t="s">
        <v>677</v>
      </c>
      <c r="G3759" s="3" t="s">
        <v>324</v>
      </c>
      <c r="H3759" s="4">
        <v>3201605</v>
      </c>
      <c r="I3759" s="3" t="s">
        <v>679</v>
      </c>
      <c r="J3759" s="3" t="s">
        <v>292</v>
      </c>
      <c r="K3759" s="4">
        <v>3195304</v>
      </c>
    </row>
    <row r="3760" spans="2:11" x14ac:dyDescent="0.3">
      <c r="B3760" s="44">
        <v>46081</v>
      </c>
      <c r="C3760" s="3" t="s">
        <v>416</v>
      </c>
      <c r="D3760" s="3" t="s">
        <v>59</v>
      </c>
      <c r="E3760" s="42"/>
      <c r="F3760" s="4" t="s">
        <v>655</v>
      </c>
      <c r="G3760" s="4" t="s">
        <v>288</v>
      </c>
      <c r="H3760" s="4">
        <v>3200908</v>
      </c>
      <c r="I3760" s="4" t="s">
        <v>476</v>
      </c>
      <c r="J3760" s="4" t="s">
        <v>274</v>
      </c>
      <c r="K3760" s="4">
        <v>3206902</v>
      </c>
    </row>
    <row r="3761" spans="2:13" x14ac:dyDescent="0.3">
      <c r="B3761" s="44">
        <v>46081</v>
      </c>
      <c r="C3761" s="3" t="s">
        <v>416</v>
      </c>
      <c r="D3761" s="3" t="s">
        <v>610</v>
      </c>
      <c r="E3761" s="42"/>
      <c r="F3761" s="3" t="s">
        <v>711</v>
      </c>
      <c r="G3761" s="3" t="s">
        <v>381</v>
      </c>
      <c r="H3761" s="4">
        <v>3201209</v>
      </c>
      <c r="I3761" s="4" t="s">
        <v>666</v>
      </c>
      <c r="J3761" s="4" t="s">
        <v>348</v>
      </c>
      <c r="K3761" s="4">
        <v>3205903</v>
      </c>
    </row>
    <row r="3762" spans="2:13" x14ac:dyDescent="0.3">
      <c r="B3762" s="44">
        <v>46081</v>
      </c>
      <c r="C3762" s="3" t="s">
        <v>416</v>
      </c>
      <c r="D3762" s="3" t="s">
        <v>495</v>
      </c>
      <c r="E3762" s="42"/>
      <c r="F3762" s="3" t="s">
        <v>685</v>
      </c>
      <c r="G3762" s="3" t="s">
        <v>197</v>
      </c>
      <c r="H3762" s="4">
        <v>3353300</v>
      </c>
      <c r="I3762" s="3" t="s">
        <v>713</v>
      </c>
      <c r="J3762" s="3" t="s">
        <v>199</v>
      </c>
      <c r="K3762" s="4">
        <v>3349100</v>
      </c>
    </row>
    <row r="3763" spans="2:13" x14ac:dyDescent="0.3">
      <c r="B3763" s="44">
        <v>46081</v>
      </c>
      <c r="C3763" s="3" t="s">
        <v>416</v>
      </c>
      <c r="D3763" s="3" t="s">
        <v>56</v>
      </c>
      <c r="E3763" s="42"/>
      <c r="F3763" s="73" t="s">
        <v>474</v>
      </c>
      <c r="G3763" s="73" t="s">
        <v>253</v>
      </c>
      <c r="H3763" s="4">
        <v>3037109</v>
      </c>
      <c r="I3763" s="4" t="s">
        <v>471</v>
      </c>
      <c r="J3763" s="4" t="s">
        <v>441</v>
      </c>
      <c r="K3763" s="4">
        <v>3023409</v>
      </c>
    </row>
    <row r="3764" spans="2:13" x14ac:dyDescent="0.3">
      <c r="B3764" s="44">
        <v>46081</v>
      </c>
      <c r="C3764" s="3" t="s">
        <v>416</v>
      </c>
      <c r="D3764" s="3" t="s">
        <v>486</v>
      </c>
      <c r="E3764" s="42"/>
      <c r="F3764" s="3" t="s">
        <v>474</v>
      </c>
      <c r="G3764" s="3" t="s">
        <v>103</v>
      </c>
      <c r="H3764" s="4">
        <v>3353206</v>
      </c>
      <c r="I3764" s="3" t="s">
        <v>671</v>
      </c>
      <c r="J3764" s="3" t="s">
        <v>108</v>
      </c>
      <c r="K3764" s="4">
        <v>3359700</v>
      </c>
    </row>
    <row r="3765" spans="2:13" x14ac:dyDescent="0.3">
      <c r="B3765" s="44">
        <v>46081</v>
      </c>
      <c r="C3765" s="3" t="s">
        <v>416</v>
      </c>
      <c r="D3765" s="3" t="s">
        <v>590</v>
      </c>
      <c r="E3765" s="42"/>
      <c r="F3765" s="3" t="s">
        <v>474</v>
      </c>
      <c r="G3765" s="3" t="s">
        <v>317</v>
      </c>
      <c r="H3765" s="4">
        <v>3200700</v>
      </c>
      <c r="I3765" s="3" t="s">
        <v>657</v>
      </c>
      <c r="J3765" s="3" t="s">
        <v>321</v>
      </c>
      <c r="K3765" s="4">
        <v>3209607</v>
      </c>
    </row>
    <row r="3766" spans="2:13" x14ac:dyDescent="0.3">
      <c r="B3766" s="44">
        <v>46081</v>
      </c>
      <c r="C3766" s="3" t="s">
        <v>416</v>
      </c>
      <c r="D3766" s="3" t="s">
        <v>489</v>
      </c>
      <c r="E3766" s="4"/>
      <c r="F3766" s="4" t="s">
        <v>474</v>
      </c>
      <c r="G3766" s="4" t="s">
        <v>130</v>
      </c>
      <c r="H3766" s="4">
        <v>3352405</v>
      </c>
      <c r="I3766" s="4" t="s">
        <v>679</v>
      </c>
      <c r="J3766" s="4" t="s">
        <v>135</v>
      </c>
      <c r="K3766" s="4">
        <v>3346603</v>
      </c>
    </row>
    <row r="3767" spans="2:13" x14ac:dyDescent="0.3">
      <c r="B3767" s="44">
        <v>46081</v>
      </c>
      <c r="C3767" s="3" t="s">
        <v>416</v>
      </c>
      <c r="D3767" s="3" t="s">
        <v>499</v>
      </c>
      <c r="E3767" s="42"/>
      <c r="F3767" s="3" t="s">
        <v>474</v>
      </c>
      <c r="G3767" s="3" t="s">
        <v>597</v>
      </c>
      <c r="H3767" s="4">
        <v>3352707</v>
      </c>
      <c r="I3767" s="3" t="s">
        <v>650</v>
      </c>
      <c r="J3767" s="3" t="s">
        <v>571</v>
      </c>
      <c r="K3767" s="4">
        <v>3900505</v>
      </c>
      <c r="M3767" s="51"/>
    </row>
    <row r="3768" spans="2:13" x14ac:dyDescent="0.3">
      <c r="B3768" s="44">
        <v>46081</v>
      </c>
      <c r="C3768" s="3" t="s">
        <v>416</v>
      </c>
      <c r="D3768" s="3" t="s">
        <v>68</v>
      </c>
      <c r="E3768" s="42"/>
      <c r="F3768" s="3" t="s">
        <v>474</v>
      </c>
      <c r="G3768" s="3" t="s">
        <v>383</v>
      </c>
      <c r="H3768" s="4">
        <v>3200502</v>
      </c>
      <c r="I3768" s="4" t="s">
        <v>650</v>
      </c>
      <c r="J3768" s="4" t="s">
        <v>390</v>
      </c>
      <c r="K3768" s="4">
        <v>3544509</v>
      </c>
    </row>
    <row r="3769" spans="2:13" x14ac:dyDescent="0.3">
      <c r="B3769" s="44">
        <v>46081</v>
      </c>
      <c r="C3769" s="3" t="s">
        <v>416</v>
      </c>
      <c r="D3769" s="3" t="s">
        <v>610</v>
      </c>
      <c r="E3769" s="42"/>
      <c r="F3769" s="3" t="s">
        <v>714</v>
      </c>
      <c r="G3769" s="3" t="s">
        <v>352</v>
      </c>
      <c r="H3769" s="4">
        <v>3197208</v>
      </c>
      <c r="I3769" s="4" t="s">
        <v>675</v>
      </c>
      <c r="J3769" s="4" t="s">
        <v>450</v>
      </c>
      <c r="K3769" s="4">
        <v>3198405</v>
      </c>
    </row>
    <row r="3770" spans="2:13" x14ac:dyDescent="0.3">
      <c r="B3770" s="44">
        <v>46081</v>
      </c>
      <c r="C3770" s="3" t="s">
        <v>416</v>
      </c>
      <c r="D3770" s="3" t="s">
        <v>498</v>
      </c>
      <c r="E3770" s="42"/>
      <c r="F3770" s="3" t="s">
        <v>714</v>
      </c>
      <c r="G3770" s="3" t="s">
        <v>222</v>
      </c>
      <c r="H3770" s="4">
        <v>3348507</v>
      </c>
      <c r="I3770" s="3" t="s">
        <v>717</v>
      </c>
      <c r="J3770" s="3" t="s">
        <v>429</v>
      </c>
      <c r="K3770" s="4">
        <v>3346905</v>
      </c>
    </row>
    <row r="3771" spans="2:13" x14ac:dyDescent="0.3">
      <c r="B3771" s="44">
        <v>46081</v>
      </c>
      <c r="C3771" s="3" t="s">
        <v>416</v>
      </c>
      <c r="D3771" s="4" t="s">
        <v>614</v>
      </c>
      <c r="E3771" s="42"/>
      <c r="F3771" s="3" t="s">
        <v>714</v>
      </c>
      <c r="G3771" s="3" t="s">
        <v>454</v>
      </c>
      <c r="H3771" s="4">
        <v>3820300</v>
      </c>
      <c r="I3771" s="4" t="s">
        <v>710</v>
      </c>
      <c r="J3771" s="4" t="s">
        <v>385</v>
      </c>
      <c r="K3771" s="4">
        <v>3199602</v>
      </c>
    </row>
    <row r="3772" spans="2:13" x14ac:dyDescent="0.3">
      <c r="B3772" s="44">
        <v>46081</v>
      </c>
      <c r="C3772" s="3" t="s">
        <v>416</v>
      </c>
      <c r="D3772" s="3" t="s">
        <v>489</v>
      </c>
      <c r="E3772" s="4"/>
      <c r="F3772" s="3" t="s">
        <v>650</v>
      </c>
      <c r="G3772" s="3" t="s">
        <v>163</v>
      </c>
      <c r="H3772" s="4">
        <v>3351802</v>
      </c>
      <c r="I3772" s="3" t="s">
        <v>688</v>
      </c>
      <c r="J3772" s="3" t="s">
        <v>10</v>
      </c>
      <c r="K3772" s="4">
        <v>3036204</v>
      </c>
    </row>
    <row r="3773" spans="2:13" x14ac:dyDescent="0.3">
      <c r="B3773" s="44">
        <v>46081</v>
      </c>
      <c r="C3773" s="3" t="s">
        <v>416</v>
      </c>
      <c r="D3773" s="3" t="s">
        <v>590</v>
      </c>
      <c r="E3773" s="42"/>
      <c r="F3773" s="4" t="s">
        <v>650</v>
      </c>
      <c r="G3773" s="4" t="s">
        <v>277</v>
      </c>
      <c r="H3773" s="4">
        <v>3088400</v>
      </c>
      <c r="I3773" s="4" t="s">
        <v>671</v>
      </c>
      <c r="J3773" s="4" t="s">
        <v>311</v>
      </c>
      <c r="K3773" s="4">
        <v>3209003</v>
      </c>
    </row>
    <row r="3774" spans="2:13" x14ac:dyDescent="0.3">
      <c r="B3774" s="44">
        <v>46081</v>
      </c>
      <c r="C3774" s="3" t="s">
        <v>416</v>
      </c>
      <c r="D3774" s="3" t="s">
        <v>610</v>
      </c>
      <c r="E3774" s="42"/>
      <c r="F3774" s="3" t="s">
        <v>650</v>
      </c>
      <c r="G3774" s="3" t="s">
        <v>353</v>
      </c>
      <c r="H3774" s="4">
        <v>3200200</v>
      </c>
      <c r="I3774" s="4" t="s">
        <v>685</v>
      </c>
      <c r="J3774" s="4" t="s">
        <v>382</v>
      </c>
      <c r="K3774" s="4">
        <v>3200804</v>
      </c>
    </row>
    <row r="3775" spans="2:13" x14ac:dyDescent="0.3">
      <c r="B3775" s="44">
        <v>46081</v>
      </c>
      <c r="C3775" s="3" t="s">
        <v>416</v>
      </c>
      <c r="D3775" s="3" t="s">
        <v>67</v>
      </c>
      <c r="E3775" s="42"/>
      <c r="F3775" s="4" t="s">
        <v>715</v>
      </c>
      <c r="G3775" s="4" t="s">
        <v>377</v>
      </c>
      <c r="H3775" s="4">
        <v>3200106</v>
      </c>
      <c r="I3775" s="3" t="s">
        <v>570</v>
      </c>
      <c r="J3775" s="3" t="s">
        <v>570</v>
      </c>
      <c r="K3775" s="4" t="s">
        <v>556</v>
      </c>
    </row>
    <row r="3776" spans="2:13" x14ac:dyDescent="0.3">
      <c r="B3776" s="44">
        <v>46081</v>
      </c>
      <c r="C3776" s="3" t="s">
        <v>416</v>
      </c>
      <c r="D3776" s="3" t="s">
        <v>59</v>
      </c>
      <c r="E3776" s="42"/>
      <c r="F3776" s="3" t="s">
        <v>710</v>
      </c>
      <c r="G3776" s="3" t="s">
        <v>279</v>
      </c>
      <c r="H3776" s="4">
        <v>3199706</v>
      </c>
      <c r="I3776" s="3" t="s">
        <v>681</v>
      </c>
      <c r="J3776" s="3" t="s">
        <v>281</v>
      </c>
      <c r="K3776" s="4">
        <v>3195700</v>
      </c>
    </row>
    <row r="3777" spans="2:14" x14ac:dyDescent="0.3">
      <c r="B3777" s="44">
        <v>46081</v>
      </c>
      <c r="C3777" s="3" t="s">
        <v>416</v>
      </c>
      <c r="D3777" s="3" t="s">
        <v>487</v>
      </c>
      <c r="E3777" s="4"/>
      <c r="F3777" s="4" t="s">
        <v>710</v>
      </c>
      <c r="G3777" s="4" t="s">
        <v>113</v>
      </c>
      <c r="H3777" s="4">
        <v>3352009</v>
      </c>
      <c r="I3777" s="4" t="s">
        <v>721</v>
      </c>
      <c r="J3777" s="4" t="s">
        <v>124</v>
      </c>
      <c r="K3777" s="4">
        <v>3267501</v>
      </c>
    </row>
    <row r="3778" spans="2:14" x14ac:dyDescent="0.3">
      <c r="B3778" s="44">
        <v>46081</v>
      </c>
      <c r="C3778" s="3" t="s">
        <v>416</v>
      </c>
      <c r="D3778" s="3" t="s">
        <v>496</v>
      </c>
      <c r="E3778" s="42"/>
      <c r="F3778" s="4" t="s">
        <v>710</v>
      </c>
      <c r="G3778" s="4" t="s">
        <v>206</v>
      </c>
      <c r="H3778" s="4">
        <v>3352103</v>
      </c>
      <c r="I3778" s="4" t="s">
        <v>474</v>
      </c>
      <c r="J3778" s="4" t="s">
        <v>426</v>
      </c>
      <c r="K3778" s="4">
        <v>3352603</v>
      </c>
    </row>
    <row r="3779" spans="2:14" x14ac:dyDescent="0.3">
      <c r="B3779" s="44">
        <v>46081</v>
      </c>
      <c r="C3779" s="3" t="s">
        <v>416</v>
      </c>
      <c r="D3779" s="3" t="s">
        <v>496</v>
      </c>
      <c r="E3779" s="42"/>
      <c r="F3779" s="3" t="s">
        <v>710</v>
      </c>
      <c r="G3779" s="3" t="s">
        <v>462</v>
      </c>
      <c r="H3779" s="4">
        <v>3352207</v>
      </c>
      <c r="I3779" s="3" t="s">
        <v>671</v>
      </c>
      <c r="J3779" s="3" t="s">
        <v>227</v>
      </c>
      <c r="K3779" s="4">
        <v>3359408</v>
      </c>
    </row>
    <row r="3780" spans="2:14" x14ac:dyDescent="0.3">
      <c r="B3780" s="44">
        <v>46081</v>
      </c>
      <c r="C3780" s="3" t="s">
        <v>416</v>
      </c>
      <c r="D3780" s="3" t="s">
        <v>61</v>
      </c>
      <c r="E3780" s="42"/>
      <c r="F3780" s="4" t="s">
        <v>477</v>
      </c>
      <c r="G3780" s="4" t="s">
        <v>332</v>
      </c>
      <c r="H3780" s="4">
        <v>3199206</v>
      </c>
      <c r="I3780" s="4" t="s">
        <v>477</v>
      </c>
      <c r="J3780" s="4" t="s">
        <v>308</v>
      </c>
      <c r="K3780" s="4">
        <v>3199300</v>
      </c>
    </row>
    <row r="3781" spans="2:14" x14ac:dyDescent="0.3">
      <c r="B3781" s="44">
        <v>46081</v>
      </c>
      <c r="C3781" s="3" t="s">
        <v>416</v>
      </c>
      <c r="D3781" s="3" t="s">
        <v>58</v>
      </c>
      <c r="E3781" s="42"/>
      <c r="F3781" s="3" t="s">
        <v>706</v>
      </c>
      <c r="G3781" s="3" t="s">
        <v>269</v>
      </c>
      <c r="H3781" s="4">
        <v>3069407</v>
      </c>
      <c r="I3781" s="3" t="s">
        <v>702</v>
      </c>
      <c r="J3781" s="3" t="s">
        <v>447</v>
      </c>
      <c r="K3781" s="32">
        <v>3055207</v>
      </c>
    </row>
    <row r="3782" spans="2:14" x14ac:dyDescent="0.3">
      <c r="B3782" s="44">
        <v>46081</v>
      </c>
      <c r="C3782" s="3" t="s">
        <v>416</v>
      </c>
      <c r="D3782" s="3" t="s">
        <v>60</v>
      </c>
      <c r="E3782" s="42"/>
      <c r="F3782" s="3" t="s">
        <v>706</v>
      </c>
      <c r="G3782" s="3" t="s">
        <v>299</v>
      </c>
      <c r="H3782" s="4">
        <v>3199102</v>
      </c>
      <c r="I3782" s="3" t="s">
        <v>667</v>
      </c>
      <c r="J3782" s="3" t="s">
        <v>294</v>
      </c>
      <c r="K3782" s="32">
        <v>3209409</v>
      </c>
    </row>
    <row r="3783" spans="2:14" x14ac:dyDescent="0.3">
      <c r="B3783" s="44">
        <v>46081</v>
      </c>
      <c r="C3783" s="3" t="s">
        <v>416</v>
      </c>
      <c r="D3783" s="3" t="s">
        <v>504</v>
      </c>
      <c r="E3783" s="42"/>
      <c r="F3783" s="3" t="s">
        <v>645</v>
      </c>
      <c r="G3783" s="3" t="s">
        <v>37</v>
      </c>
      <c r="H3783" s="4">
        <v>3029903</v>
      </c>
      <c r="I3783" s="3" t="s">
        <v>479</v>
      </c>
      <c r="J3783" s="3" t="s">
        <v>9</v>
      </c>
      <c r="K3783" s="4">
        <v>3033405</v>
      </c>
    </row>
    <row r="3784" spans="2:14" x14ac:dyDescent="0.3">
      <c r="B3784" s="44">
        <v>46081</v>
      </c>
      <c r="C3784" s="3" t="s">
        <v>416</v>
      </c>
      <c r="D3784" s="3" t="s">
        <v>61</v>
      </c>
      <c r="E3784" s="42"/>
      <c r="F3784" s="4" t="s">
        <v>645</v>
      </c>
      <c r="G3784" s="4" t="s">
        <v>309</v>
      </c>
      <c r="H3784" s="4">
        <v>3082104</v>
      </c>
      <c r="I3784" s="4" t="s">
        <v>478</v>
      </c>
      <c r="J3784" s="4" t="s">
        <v>330</v>
      </c>
      <c r="K3784" s="4">
        <v>3205309</v>
      </c>
    </row>
    <row r="3785" spans="2:14" x14ac:dyDescent="0.3">
      <c r="B3785" s="44">
        <v>46081</v>
      </c>
      <c r="C3785" s="3" t="s">
        <v>416</v>
      </c>
      <c r="D3785" s="3" t="s">
        <v>488</v>
      </c>
      <c r="E3785" s="42"/>
      <c r="F3785" s="3" t="s">
        <v>645</v>
      </c>
      <c r="G3785" s="3" t="s">
        <v>123</v>
      </c>
      <c r="H3785" s="4">
        <v>3351104</v>
      </c>
      <c r="I3785" s="3" t="s">
        <v>720</v>
      </c>
      <c r="J3785" s="3" t="s">
        <v>153</v>
      </c>
      <c r="K3785" s="4">
        <v>3033405</v>
      </c>
    </row>
    <row r="3786" spans="2:14" x14ac:dyDescent="0.3">
      <c r="B3786" s="44">
        <v>46081</v>
      </c>
      <c r="C3786" s="3" t="s">
        <v>416</v>
      </c>
      <c r="D3786" s="3" t="s">
        <v>491</v>
      </c>
      <c r="E3786" s="42"/>
      <c r="F3786" s="3" t="s">
        <v>645</v>
      </c>
      <c r="G3786" s="3" t="s">
        <v>152</v>
      </c>
      <c r="H3786" s="4">
        <v>3351302</v>
      </c>
      <c r="I3786" s="3" t="s">
        <v>684</v>
      </c>
      <c r="J3786" s="3" t="s">
        <v>149</v>
      </c>
      <c r="K3786" s="4">
        <v>3354507</v>
      </c>
    </row>
    <row r="3787" spans="2:14" x14ac:dyDescent="0.3">
      <c r="B3787" s="44">
        <v>46081</v>
      </c>
      <c r="C3787" s="3" t="s">
        <v>416</v>
      </c>
      <c r="D3787" s="3" t="s">
        <v>496</v>
      </c>
      <c r="E3787" s="42"/>
      <c r="F3787" s="4" t="s">
        <v>716</v>
      </c>
      <c r="G3787" s="4" t="s">
        <v>427</v>
      </c>
      <c r="H3787" s="4">
        <v>3351500</v>
      </c>
      <c r="I3787" s="3" t="s">
        <v>650</v>
      </c>
      <c r="J3787" s="3" t="s">
        <v>205</v>
      </c>
      <c r="K3787" s="74">
        <v>3351906</v>
      </c>
    </row>
    <row r="3788" spans="2:14" x14ac:dyDescent="0.3">
      <c r="B3788" s="44">
        <v>46081</v>
      </c>
      <c r="C3788" s="3" t="s">
        <v>416</v>
      </c>
      <c r="D3788" s="3" t="s">
        <v>610</v>
      </c>
      <c r="E3788" s="42"/>
      <c r="F3788" s="3" t="s">
        <v>716</v>
      </c>
      <c r="G3788" s="3" t="s">
        <v>433</v>
      </c>
      <c r="H3788" s="4">
        <v>3198905</v>
      </c>
      <c r="I3788" s="4" t="s">
        <v>685</v>
      </c>
      <c r="J3788" s="4" t="s">
        <v>351</v>
      </c>
      <c r="K3788" s="4">
        <v>3201001</v>
      </c>
    </row>
    <row r="3789" spans="2:14" x14ac:dyDescent="0.3">
      <c r="B3789" s="44">
        <v>46081</v>
      </c>
      <c r="C3789" s="3" t="s">
        <v>416</v>
      </c>
      <c r="D3789" s="3" t="s">
        <v>497</v>
      </c>
      <c r="E3789" s="42"/>
      <c r="F3789" s="3" t="s">
        <v>678</v>
      </c>
      <c r="G3789" s="3" t="s">
        <v>172</v>
      </c>
      <c r="H3789" s="74">
        <v>3350709</v>
      </c>
      <c r="I3789" s="17" t="s">
        <v>653</v>
      </c>
      <c r="J3789" s="17" t="s">
        <v>209</v>
      </c>
      <c r="K3789" s="74">
        <v>3360705</v>
      </c>
    </row>
    <row r="3790" spans="2:14" x14ac:dyDescent="0.3">
      <c r="B3790" s="44">
        <v>46081</v>
      </c>
      <c r="C3790" s="3" t="s">
        <v>416</v>
      </c>
      <c r="D3790" s="3" t="s">
        <v>499</v>
      </c>
      <c r="E3790" s="42"/>
      <c r="F3790" s="3" t="s">
        <v>675</v>
      </c>
      <c r="G3790" s="3" t="s">
        <v>572</v>
      </c>
      <c r="H3790" s="53">
        <v>3350303</v>
      </c>
      <c r="I3790" s="3" t="s">
        <v>723</v>
      </c>
      <c r="J3790" s="3" t="s">
        <v>599</v>
      </c>
      <c r="K3790" s="4" t="s">
        <v>556</v>
      </c>
      <c r="M3790" s="3" t="s">
        <v>583</v>
      </c>
      <c r="N3790" s="3" t="s">
        <v>572</v>
      </c>
    </row>
    <row r="3791" spans="2:14" x14ac:dyDescent="0.3">
      <c r="B3791" s="44">
        <v>46081</v>
      </c>
      <c r="C3791" s="3" t="s">
        <v>416</v>
      </c>
      <c r="D3791" s="3" t="s">
        <v>497</v>
      </c>
      <c r="E3791" s="42"/>
      <c r="F3791" s="17" t="s">
        <v>691</v>
      </c>
      <c r="G3791" s="17" t="s">
        <v>215</v>
      </c>
      <c r="H3791" s="74">
        <v>3350407</v>
      </c>
      <c r="I3791" s="15" t="s">
        <v>471</v>
      </c>
      <c r="J3791" s="15" t="s">
        <v>240</v>
      </c>
      <c r="K3791" s="74">
        <v>3348403</v>
      </c>
    </row>
    <row r="3792" spans="2:14" x14ac:dyDescent="0.3">
      <c r="B3792" s="44">
        <v>46081</v>
      </c>
      <c r="C3792" s="3" t="s">
        <v>416</v>
      </c>
      <c r="D3792" s="3" t="s">
        <v>65</v>
      </c>
      <c r="E3792" s="42"/>
      <c r="F3792" s="15" t="s">
        <v>691</v>
      </c>
      <c r="G3792" s="15" t="s">
        <v>327</v>
      </c>
      <c r="H3792" s="74">
        <v>3198603</v>
      </c>
      <c r="I3792" s="4" t="s">
        <v>479</v>
      </c>
      <c r="J3792" s="4" t="s">
        <v>320</v>
      </c>
      <c r="K3792" s="4">
        <v>3210602</v>
      </c>
    </row>
    <row r="3793" spans="1:43" x14ac:dyDescent="0.3">
      <c r="B3793" s="44">
        <v>46081</v>
      </c>
      <c r="C3793" s="3" t="s">
        <v>416</v>
      </c>
      <c r="D3793" s="3" t="s">
        <v>500</v>
      </c>
      <c r="E3793" s="42"/>
      <c r="F3793" s="3" t="s">
        <v>691</v>
      </c>
      <c r="G3793" s="3" t="s">
        <v>238</v>
      </c>
      <c r="H3793" s="4">
        <v>3350105</v>
      </c>
      <c r="I3793" s="4" t="s">
        <v>676</v>
      </c>
      <c r="J3793" s="4" t="s">
        <v>577</v>
      </c>
      <c r="K3793" s="4" t="s">
        <v>556</v>
      </c>
    </row>
    <row r="3794" spans="1:43" x14ac:dyDescent="0.3">
      <c r="B3794" s="44">
        <v>46081</v>
      </c>
      <c r="C3794" s="3" t="s">
        <v>416</v>
      </c>
      <c r="D3794" s="3" t="s">
        <v>70</v>
      </c>
      <c r="E3794" s="42"/>
      <c r="F3794" s="3" t="s">
        <v>689</v>
      </c>
      <c r="G3794" s="3" t="s">
        <v>404</v>
      </c>
      <c r="H3794" s="53">
        <v>3196605</v>
      </c>
      <c r="I3794" s="3" t="s">
        <v>672</v>
      </c>
      <c r="J3794" s="3" t="s">
        <v>401</v>
      </c>
      <c r="K3794" s="4">
        <v>3202000</v>
      </c>
    </row>
    <row r="3795" spans="1:43" x14ac:dyDescent="0.3">
      <c r="B3795" s="44">
        <v>46081</v>
      </c>
      <c r="C3795" s="3" t="s">
        <v>416</v>
      </c>
      <c r="D3795" s="3" t="s">
        <v>501</v>
      </c>
      <c r="E3795" s="42"/>
      <c r="F3795" s="3" t="s">
        <v>689</v>
      </c>
      <c r="G3795" s="3" t="s">
        <v>580</v>
      </c>
      <c r="H3795" s="4">
        <v>3350001</v>
      </c>
      <c r="I3795" s="3" t="s">
        <v>475</v>
      </c>
      <c r="J3795" s="3" t="s">
        <v>241</v>
      </c>
      <c r="K3795" s="4">
        <v>3362401</v>
      </c>
      <c r="M3795" s="51"/>
    </row>
    <row r="3796" spans="1:43" x14ac:dyDescent="0.3">
      <c r="B3796" s="44">
        <v>46081</v>
      </c>
      <c r="C3796" s="3" t="s">
        <v>416</v>
      </c>
      <c r="D3796" s="3" t="s">
        <v>60</v>
      </c>
      <c r="E3796" s="42"/>
      <c r="F3796" s="3" t="s">
        <v>668</v>
      </c>
      <c r="G3796" s="3" t="s">
        <v>431</v>
      </c>
      <c r="H3796" s="4">
        <v>3900703</v>
      </c>
      <c r="I3796" s="3" t="s">
        <v>707</v>
      </c>
      <c r="J3796" s="3" t="s">
        <v>295</v>
      </c>
      <c r="K3796" s="32">
        <v>3207505</v>
      </c>
    </row>
    <row r="3797" spans="1:43" x14ac:dyDescent="0.3">
      <c r="A3797" s="4"/>
      <c r="B3797" s="100">
        <v>46081</v>
      </c>
      <c r="C3797" s="98" t="s">
        <v>553</v>
      </c>
      <c r="D3797" s="4" t="s">
        <v>508</v>
      </c>
      <c r="E3797" s="4"/>
      <c r="F3797" s="73" t="s">
        <v>510</v>
      </c>
      <c r="G3797" s="73" t="s">
        <v>510</v>
      </c>
      <c r="H3797" s="73"/>
      <c r="I3797" s="73" t="s">
        <v>554</v>
      </c>
      <c r="J3797" s="73" t="s">
        <v>9</v>
      </c>
      <c r="K3797" s="15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</row>
    <row r="3798" spans="1:43" x14ac:dyDescent="0.3">
      <c r="B3798" s="44">
        <v>46081</v>
      </c>
      <c r="C3798" s="3" t="s">
        <v>416</v>
      </c>
      <c r="D3798" s="3" t="s">
        <v>490</v>
      </c>
      <c r="E3798" s="4"/>
      <c r="F3798" s="3" t="s">
        <v>654</v>
      </c>
      <c r="G3798" s="3" t="s">
        <v>143</v>
      </c>
      <c r="H3798" s="4">
        <v>3349704</v>
      </c>
      <c r="I3798" s="4" t="s">
        <v>691</v>
      </c>
      <c r="J3798" s="4" t="s">
        <v>142</v>
      </c>
      <c r="K3798" s="4">
        <v>3350501</v>
      </c>
    </row>
    <row r="3799" spans="1:43" x14ac:dyDescent="0.3">
      <c r="B3799" s="44">
        <v>46081</v>
      </c>
      <c r="C3799" s="3" t="s">
        <v>416</v>
      </c>
      <c r="D3799" s="3" t="s">
        <v>497</v>
      </c>
      <c r="E3799" s="42"/>
      <c r="F3799" s="3" t="s">
        <v>654</v>
      </c>
      <c r="G3799" s="3" t="s">
        <v>438</v>
      </c>
      <c r="H3799" s="74">
        <v>3906207</v>
      </c>
      <c r="I3799" s="4" t="s">
        <v>654</v>
      </c>
      <c r="J3799" s="4" t="s">
        <v>216</v>
      </c>
      <c r="K3799" s="4">
        <v>3349808</v>
      </c>
    </row>
    <row r="3800" spans="1:43" x14ac:dyDescent="0.3">
      <c r="B3800" s="44">
        <v>46081</v>
      </c>
      <c r="C3800" s="3" t="s">
        <v>416</v>
      </c>
      <c r="D3800" s="3" t="s">
        <v>489</v>
      </c>
      <c r="E3800" s="4"/>
      <c r="F3800" s="4" t="s">
        <v>712</v>
      </c>
      <c r="G3800" s="4" t="s">
        <v>132</v>
      </c>
      <c r="H3800" s="4">
        <v>3068304</v>
      </c>
      <c r="I3800" s="4" t="s">
        <v>682</v>
      </c>
      <c r="J3800" s="4" t="s">
        <v>564</v>
      </c>
      <c r="K3800" s="4">
        <v>3969804</v>
      </c>
    </row>
    <row r="3801" spans="1:43" x14ac:dyDescent="0.3">
      <c r="B3801" s="44">
        <v>46081</v>
      </c>
      <c r="C3801" s="3" t="s">
        <v>416</v>
      </c>
      <c r="D3801" s="3" t="s">
        <v>500</v>
      </c>
      <c r="E3801" s="42"/>
      <c r="F3801" s="3" t="s">
        <v>663</v>
      </c>
      <c r="G3801" s="3" t="s">
        <v>239</v>
      </c>
      <c r="H3801" s="4">
        <v>3348809</v>
      </c>
      <c r="I3801" s="4" t="s">
        <v>679</v>
      </c>
      <c r="J3801" s="4" t="s">
        <v>466</v>
      </c>
      <c r="K3801" s="4">
        <v>3346707</v>
      </c>
    </row>
    <row r="3802" spans="1:43" x14ac:dyDescent="0.3">
      <c r="B3802" s="44">
        <v>46081</v>
      </c>
      <c r="C3802" s="3" t="s">
        <v>416</v>
      </c>
      <c r="D3802" s="3" t="s">
        <v>69</v>
      </c>
      <c r="E3802" s="42"/>
      <c r="F3802" s="3" t="s">
        <v>663</v>
      </c>
      <c r="G3802" s="3" t="s">
        <v>362</v>
      </c>
      <c r="H3802" s="4">
        <v>3197406</v>
      </c>
      <c r="I3802" s="3" t="s">
        <v>691</v>
      </c>
      <c r="J3802" s="3" t="s">
        <v>395</v>
      </c>
      <c r="K3802" s="4">
        <v>3197604</v>
      </c>
    </row>
    <row r="3803" spans="1:43" x14ac:dyDescent="0.3">
      <c r="B3803" s="44">
        <v>46081</v>
      </c>
      <c r="C3803" s="3" t="s">
        <v>416</v>
      </c>
      <c r="D3803" s="3" t="s">
        <v>593</v>
      </c>
      <c r="E3803" s="42"/>
      <c r="F3803" s="3" t="s">
        <v>663</v>
      </c>
      <c r="G3803" s="3" t="s">
        <v>396</v>
      </c>
      <c r="H3803" s="4">
        <v>3197104</v>
      </c>
      <c r="I3803" s="4" t="s">
        <v>679</v>
      </c>
      <c r="J3803" s="4" t="s">
        <v>633</v>
      </c>
      <c r="K3803" s="4">
        <v>3194607</v>
      </c>
    </row>
    <row r="3804" spans="1:43" x14ac:dyDescent="0.3">
      <c r="B3804" s="44">
        <v>46081</v>
      </c>
      <c r="C3804" s="3" t="s">
        <v>416</v>
      </c>
      <c r="D3804" s="3" t="s">
        <v>590</v>
      </c>
      <c r="E3804" s="42"/>
      <c r="F3804" s="4" t="s">
        <v>471</v>
      </c>
      <c r="G3804" s="4" t="s">
        <v>291</v>
      </c>
      <c r="H3804" s="4">
        <v>3196709</v>
      </c>
      <c r="I3804" s="4" t="s">
        <v>472</v>
      </c>
      <c r="J3804" s="4" t="s">
        <v>315</v>
      </c>
      <c r="K3804" s="4">
        <v>3455307</v>
      </c>
    </row>
    <row r="3805" spans="1:43" x14ac:dyDescent="0.3">
      <c r="B3805" s="44">
        <v>46081</v>
      </c>
      <c r="C3805" s="3" t="s">
        <v>416</v>
      </c>
      <c r="D3805" s="3" t="s">
        <v>493</v>
      </c>
      <c r="E3805" s="42"/>
      <c r="F3805" s="3" t="s">
        <v>471</v>
      </c>
      <c r="G3805" s="3" t="s">
        <v>174</v>
      </c>
      <c r="H3805" s="4">
        <v>3348101</v>
      </c>
      <c r="I3805" s="4" t="s">
        <v>480</v>
      </c>
      <c r="J3805" s="4" t="s">
        <v>423</v>
      </c>
      <c r="K3805" s="4">
        <v>3360403</v>
      </c>
    </row>
    <row r="3806" spans="1:43" x14ac:dyDescent="0.3">
      <c r="B3806" s="44">
        <v>46081</v>
      </c>
      <c r="C3806" s="3" t="s">
        <v>416</v>
      </c>
      <c r="D3806" s="3" t="s">
        <v>65</v>
      </c>
      <c r="E3806" s="42"/>
      <c r="F3806" s="3" t="s">
        <v>471</v>
      </c>
      <c r="G3806" s="3" t="s">
        <v>363</v>
      </c>
      <c r="H3806" s="4">
        <v>3196907</v>
      </c>
      <c r="I3806" s="4" t="s">
        <v>663</v>
      </c>
      <c r="J3806" s="4" t="s">
        <v>290</v>
      </c>
      <c r="K3806" s="4">
        <v>3197500</v>
      </c>
    </row>
    <row r="3807" spans="1:43" x14ac:dyDescent="0.3">
      <c r="B3807" s="44">
        <v>46081</v>
      </c>
      <c r="C3807" s="3" t="s">
        <v>416</v>
      </c>
      <c r="D3807" s="3" t="s">
        <v>493</v>
      </c>
      <c r="E3807" s="42"/>
      <c r="F3807" s="3" t="s">
        <v>471</v>
      </c>
      <c r="G3807" s="3" t="s">
        <v>217</v>
      </c>
      <c r="H3807" s="4">
        <v>3348309</v>
      </c>
      <c r="I3807" s="4" t="s">
        <v>479</v>
      </c>
      <c r="J3807" s="4" t="s">
        <v>210</v>
      </c>
      <c r="K3807" s="4">
        <v>3361100</v>
      </c>
    </row>
    <row r="3808" spans="1:43" x14ac:dyDescent="0.3">
      <c r="B3808" s="44">
        <v>46081</v>
      </c>
      <c r="C3808" s="3" t="s">
        <v>416</v>
      </c>
      <c r="D3808" s="3" t="s">
        <v>69</v>
      </c>
      <c r="E3808" s="42"/>
      <c r="F3808" s="3" t="s">
        <v>471</v>
      </c>
      <c r="G3808" s="3" t="s">
        <v>364</v>
      </c>
      <c r="H3808" s="4">
        <v>3197000</v>
      </c>
      <c r="I3808" s="3" t="s">
        <v>681</v>
      </c>
      <c r="J3808" s="3" t="s">
        <v>365</v>
      </c>
      <c r="K3808" s="4">
        <v>3195804</v>
      </c>
    </row>
    <row r="3809" spans="2:13" x14ac:dyDescent="0.3">
      <c r="B3809" s="44">
        <v>46081</v>
      </c>
      <c r="C3809" s="3" t="s">
        <v>416</v>
      </c>
      <c r="D3809" s="3" t="s">
        <v>500</v>
      </c>
      <c r="E3809" s="42"/>
      <c r="F3809" s="3" t="s">
        <v>471</v>
      </c>
      <c r="G3809" s="3" t="s">
        <v>467</v>
      </c>
      <c r="H3809" s="4">
        <v>3819409</v>
      </c>
      <c r="I3809" s="4" t="s">
        <v>476</v>
      </c>
      <c r="J3809" s="4" t="s">
        <v>575</v>
      </c>
      <c r="K3809" s="4">
        <v>3900005</v>
      </c>
    </row>
    <row r="3810" spans="2:13" x14ac:dyDescent="0.3">
      <c r="B3810" s="44">
        <v>46081</v>
      </c>
      <c r="C3810" s="3" t="s">
        <v>416</v>
      </c>
      <c r="D3810" s="3" t="s">
        <v>64</v>
      </c>
      <c r="E3810" s="42">
        <v>4370907</v>
      </c>
      <c r="F3810" s="3" t="s">
        <v>692</v>
      </c>
      <c r="G3810" s="3" t="s">
        <v>342</v>
      </c>
      <c r="H3810" s="4">
        <v>3196501</v>
      </c>
      <c r="I3810" s="4" t="s">
        <v>688</v>
      </c>
      <c r="J3810" s="4" t="s">
        <v>318</v>
      </c>
      <c r="K3810" s="4">
        <v>3037401</v>
      </c>
    </row>
    <row r="3811" spans="2:13" x14ac:dyDescent="0.3">
      <c r="B3811" s="44">
        <v>46081</v>
      </c>
      <c r="C3811" s="3" t="s">
        <v>416</v>
      </c>
      <c r="D3811" s="3" t="s">
        <v>70</v>
      </c>
      <c r="E3811" s="42"/>
      <c r="F3811" s="3" t="s">
        <v>692</v>
      </c>
      <c r="G3811" s="3" t="s">
        <v>378</v>
      </c>
      <c r="H3811" s="4">
        <v>3197802</v>
      </c>
      <c r="I3811" s="3" t="s">
        <v>688</v>
      </c>
      <c r="J3811" s="3" t="s">
        <v>379</v>
      </c>
      <c r="K3811" s="4">
        <v>3194409</v>
      </c>
    </row>
    <row r="3812" spans="2:13" x14ac:dyDescent="0.3">
      <c r="B3812" s="44">
        <v>46081</v>
      </c>
      <c r="C3812" s="3" t="s">
        <v>416</v>
      </c>
      <c r="D3812" s="3" t="s">
        <v>498</v>
      </c>
      <c r="E3812" s="42"/>
      <c r="F3812" s="3" t="s">
        <v>692</v>
      </c>
      <c r="G3812" s="3" t="s">
        <v>223</v>
      </c>
      <c r="H3812" s="4">
        <v>3348007</v>
      </c>
      <c r="I3812" s="3" t="s">
        <v>472</v>
      </c>
      <c r="J3812" s="3" t="s">
        <v>244</v>
      </c>
      <c r="K3812" s="4">
        <v>3357504</v>
      </c>
    </row>
    <row r="3813" spans="2:13" x14ac:dyDescent="0.3">
      <c r="B3813" s="44">
        <v>46081</v>
      </c>
      <c r="C3813" s="3" t="s">
        <v>416</v>
      </c>
      <c r="D3813" s="3" t="s">
        <v>501</v>
      </c>
      <c r="E3813" s="42"/>
      <c r="F3813" s="3" t="s">
        <v>692</v>
      </c>
      <c r="G3813" s="3" t="s">
        <v>582</v>
      </c>
      <c r="H3813" s="53">
        <v>3900901</v>
      </c>
      <c r="I3813" s="3" t="s">
        <v>472</v>
      </c>
      <c r="J3813" s="3" t="s">
        <v>578</v>
      </c>
      <c r="K3813" s="4">
        <v>4022700</v>
      </c>
      <c r="M3813" s="51"/>
    </row>
    <row r="3814" spans="2:13" x14ac:dyDescent="0.3">
      <c r="B3814" s="44">
        <v>46081</v>
      </c>
      <c r="C3814" s="3" t="s">
        <v>416</v>
      </c>
      <c r="D3814" s="3" t="s">
        <v>491</v>
      </c>
      <c r="E3814" s="42"/>
      <c r="F3814" s="3" t="s">
        <v>698</v>
      </c>
      <c r="G3814" s="3" t="s">
        <v>567</v>
      </c>
      <c r="H3814" s="4" t="s">
        <v>556</v>
      </c>
      <c r="I3814" s="104" t="s">
        <v>684</v>
      </c>
      <c r="J3814" s="104" t="s">
        <v>182</v>
      </c>
      <c r="K3814" s="53">
        <v>3900203</v>
      </c>
    </row>
    <row r="3815" spans="2:13" x14ac:dyDescent="0.3">
      <c r="B3815" s="44">
        <v>46081</v>
      </c>
      <c r="C3815" s="3" t="s">
        <v>416</v>
      </c>
      <c r="D3815" s="3" t="s">
        <v>60</v>
      </c>
      <c r="E3815" s="42"/>
      <c r="F3815" s="3" t="s">
        <v>698</v>
      </c>
      <c r="G3815" s="3" t="s">
        <v>595</v>
      </c>
      <c r="H3815" s="4" t="s">
        <v>563</v>
      </c>
      <c r="I3815" s="32" t="s">
        <v>705</v>
      </c>
      <c r="J3815" s="32" t="s">
        <v>293</v>
      </c>
      <c r="K3815" s="15">
        <v>3211705</v>
      </c>
    </row>
    <row r="3816" spans="2:13" x14ac:dyDescent="0.3">
      <c r="B3816" s="44">
        <v>46081</v>
      </c>
      <c r="C3816" s="3" t="s">
        <v>416</v>
      </c>
      <c r="D3816" s="3" t="s">
        <v>495</v>
      </c>
      <c r="E3816" s="42"/>
      <c r="F3816" s="3" t="s">
        <v>699</v>
      </c>
      <c r="G3816" s="3" t="s">
        <v>569</v>
      </c>
      <c r="H3816" s="4">
        <v>3125708</v>
      </c>
      <c r="I3816" s="3" t="s">
        <v>685</v>
      </c>
      <c r="J3816" s="3" t="s">
        <v>196</v>
      </c>
      <c r="K3816" s="4">
        <v>3353102</v>
      </c>
    </row>
    <row r="3817" spans="2:13" x14ac:dyDescent="0.3">
      <c r="B3817" s="44">
        <v>46081</v>
      </c>
      <c r="C3817" s="3" t="s">
        <v>416</v>
      </c>
      <c r="D3817" s="3" t="s">
        <v>590</v>
      </c>
      <c r="E3817" s="42"/>
      <c r="F3817" s="3" t="s">
        <v>699</v>
      </c>
      <c r="G3817" s="3" t="s">
        <v>594</v>
      </c>
      <c r="H3817" s="4">
        <v>3196407</v>
      </c>
      <c r="I3817" s="3" t="s">
        <v>691</v>
      </c>
      <c r="J3817" s="3" t="s">
        <v>289</v>
      </c>
      <c r="K3817" s="4">
        <v>3068804</v>
      </c>
    </row>
    <row r="3818" spans="2:13" x14ac:dyDescent="0.3">
      <c r="B3818" s="44">
        <v>46081</v>
      </c>
      <c r="C3818" s="3" t="s">
        <v>416</v>
      </c>
      <c r="D3818" s="4" t="s">
        <v>614</v>
      </c>
      <c r="E3818" s="42"/>
      <c r="F3818" s="3" t="s">
        <v>699</v>
      </c>
      <c r="G3818" s="3" t="s">
        <v>624</v>
      </c>
      <c r="H3818" s="4">
        <v>3196105</v>
      </c>
      <c r="I3818" s="4" t="s">
        <v>675</v>
      </c>
      <c r="J3818" s="4" t="s">
        <v>403</v>
      </c>
      <c r="K3818" s="4">
        <v>3198509</v>
      </c>
    </row>
    <row r="3819" spans="2:13" x14ac:dyDescent="0.3">
      <c r="B3819" s="44">
        <v>46081</v>
      </c>
      <c r="C3819" s="3" t="s">
        <v>416</v>
      </c>
      <c r="D3819" s="3" t="s">
        <v>486</v>
      </c>
      <c r="E3819" s="42"/>
      <c r="F3819" s="3" t="s">
        <v>681</v>
      </c>
      <c r="G3819" s="3" t="s">
        <v>105</v>
      </c>
      <c r="H3819" s="4">
        <v>3035809</v>
      </c>
      <c r="I3819" s="3" t="s">
        <v>480</v>
      </c>
      <c r="J3819" s="3" t="s">
        <v>406</v>
      </c>
      <c r="K3819" s="4">
        <v>3124501</v>
      </c>
    </row>
    <row r="3820" spans="2:13" x14ac:dyDescent="0.3">
      <c r="B3820" s="44">
        <v>46081</v>
      </c>
      <c r="C3820" s="3" t="s">
        <v>416</v>
      </c>
      <c r="D3820" s="3" t="s">
        <v>497</v>
      </c>
      <c r="E3820" s="42"/>
      <c r="F3820" s="3" t="s">
        <v>681</v>
      </c>
      <c r="G3820" s="3" t="s">
        <v>175</v>
      </c>
      <c r="H3820" s="74">
        <v>3347800</v>
      </c>
      <c r="I3820" s="17" t="s">
        <v>657</v>
      </c>
      <c r="J3820" s="17" t="s">
        <v>213</v>
      </c>
      <c r="K3820" s="74">
        <v>3359502</v>
      </c>
    </row>
    <row r="3821" spans="2:13" x14ac:dyDescent="0.3">
      <c r="B3821" s="44">
        <v>46081</v>
      </c>
      <c r="C3821" s="3" t="s">
        <v>416</v>
      </c>
      <c r="D3821" s="3" t="s">
        <v>593</v>
      </c>
      <c r="E3821" s="42"/>
      <c r="F3821" s="3" t="s">
        <v>681</v>
      </c>
      <c r="G3821" s="3" t="s">
        <v>397</v>
      </c>
      <c r="H3821" s="4">
        <v>3195908</v>
      </c>
      <c r="I3821" s="4" t="s">
        <v>653</v>
      </c>
      <c r="J3821" s="4" t="s">
        <v>459</v>
      </c>
      <c r="K3821" s="4">
        <v>3211101</v>
      </c>
    </row>
    <row r="3822" spans="2:13" x14ac:dyDescent="0.3">
      <c r="B3822" s="44">
        <v>46081</v>
      </c>
      <c r="C3822" s="3" t="s">
        <v>416</v>
      </c>
      <c r="D3822" s="3" t="s">
        <v>64</v>
      </c>
      <c r="E3822" s="42">
        <v>4370907</v>
      </c>
      <c r="F3822" s="3" t="s">
        <v>670</v>
      </c>
      <c r="G3822" s="3" t="s">
        <v>343</v>
      </c>
      <c r="H3822" s="4">
        <v>3195606</v>
      </c>
      <c r="I3822" s="4" t="s">
        <v>646</v>
      </c>
      <c r="J3822" s="4" t="s">
        <v>349</v>
      </c>
      <c r="K3822" s="4">
        <v>3202500</v>
      </c>
    </row>
    <row r="3823" spans="2:13" x14ac:dyDescent="0.3">
      <c r="B3823" s="44">
        <v>46081</v>
      </c>
      <c r="C3823" s="3" t="s">
        <v>416</v>
      </c>
      <c r="D3823" s="3" t="s">
        <v>495</v>
      </c>
      <c r="E3823" s="42"/>
      <c r="F3823" s="3" t="s">
        <v>670</v>
      </c>
      <c r="G3823" s="3" t="s">
        <v>224</v>
      </c>
      <c r="H3823" s="4">
        <v>3347008</v>
      </c>
      <c r="I3823" s="3" t="s">
        <v>666</v>
      </c>
      <c r="J3823" s="3" t="s">
        <v>192</v>
      </c>
      <c r="K3823" s="53">
        <v>3357004</v>
      </c>
    </row>
    <row r="3824" spans="2:13" x14ac:dyDescent="0.3">
      <c r="B3824" s="44">
        <v>46081</v>
      </c>
      <c r="C3824" s="3" t="s">
        <v>416</v>
      </c>
      <c r="D3824" s="3" t="s">
        <v>592</v>
      </c>
      <c r="E3824" s="42"/>
      <c r="F3824" s="3" t="s">
        <v>670</v>
      </c>
      <c r="G3824" s="3" t="s">
        <v>636</v>
      </c>
      <c r="H3824" s="74">
        <v>3195502</v>
      </c>
      <c r="I3824" s="3" t="s">
        <v>662</v>
      </c>
      <c r="J3824" s="3" t="s">
        <v>634</v>
      </c>
      <c r="K3824" s="74">
        <v>4023105</v>
      </c>
    </row>
    <row r="3825" spans="1:43" x14ac:dyDescent="0.3">
      <c r="B3825" s="44">
        <v>46081</v>
      </c>
      <c r="C3825" s="3" t="s">
        <v>416</v>
      </c>
      <c r="D3825" s="3" t="s">
        <v>64</v>
      </c>
      <c r="E3825" s="42">
        <v>4370907</v>
      </c>
      <c r="F3825" s="3" t="s">
        <v>673</v>
      </c>
      <c r="G3825" s="3" t="s">
        <v>355</v>
      </c>
      <c r="H3825" s="4">
        <v>3195002</v>
      </c>
      <c r="I3825" s="4" t="s">
        <v>710</v>
      </c>
      <c r="J3825" s="4" t="s">
        <v>354</v>
      </c>
      <c r="K3825" s="4">
        <v>3199404</v>
      </c>
    </row>
    <row r="3826" spans="1:43" x14ac:dyDescent="0.3">
      <c r="B3826" s="44">
        <v>46081</v>
      </c>
      <c r="C3826" s="3" t="s">
        <v>416</v>
      </c>
      <c r="D3826" s="4" t="s">
        <v>614</v>
      </c>
      <c r="E3826" s="42"/>
      <c r="F3826" s="3" t="s">
        <v>673</v>
      </c>
      <c r="G3826" s="3" t="s">
        <v>455</v>
      </c>
      <c r="H3826" s="4">
        <v>3961604</v>
      </c>
      <c r="I3826" s="4" t="s">
        <v>713</v>
      </c>
      <c r="J3826" s="4" t="s">
        <v>386</v>
      </c>
      <c r="K3826" s="4">
        <v>3900807</v>
      </c>
    </row>
    <row r="3827" spans="1:43" x14ac:dyDescent="0.3">
      <c r="B3827" s="44">
        <v>46081</v>
      </c>
      <c r="C3827" s="3" t="s">
        <v>416</v>
      </c>
      <c r="D3827" s="3" t="s">
        <v>495</v>
      </c>
      <c r="E3827" s="42"/>
      <c r="F3827" s="3" t="s">
        <v>673</v>
      </c>
      <c r="G3827" s="3" t="s">
        <v>200</v>
      </c>
      <c r="H3827" s="53">
        <v>3901004</v>
      </c>
      <c r="I3827" s="3" t="s">
        <v>712</v>
      </c>
      <c r="J3827" s="3" t="s">
        <v>164</v>
      </c>
      <c r="K3827" s="4">
        <v>3349402</v>
      </c>
    </row>
    <row r="3828" spans="1:43" x14ac:dyDescent="0.3">
      <c r="B3828" s="44">
        <v>46081</v>
      </c>
      <c r="C3828" s="3" t="s">
        <v>416</v>
      </c>
      <c r="D3828" s="3" t="s">
        <v>67</v>
      </c>
      <c r="E3828" s="42"/>
      <c r="F3828" s="3" t="s">
        <v>717</v>
      </c>
      <c r="G3828" s="3" t="s">
        <v>435</v>
      </c>
      <c r="H3828" s="4">
        <v>3195200</v>
      </c>
      <c r="I3828" s="3" t="s">
        <v>672</v>
      </c>
      <c r="J3828" s="3" t="s">
        <v>375</v>
      </c>
      <c r="K3828" s="4">
        <v>3069209</v>
      </c>
    </row>
    <row r="3829" spans="1:43" x14ac:dyDescent="0.3">
      <c r="B3829" s="44">
        <v>46081</v>
      </c>
      <c r="C3829" s="3" t="s">
        <v>416</v>
      </c>
      <c r="D3829" s="3" t="s">
        <v>501</v>
      </c>
      <c r="E3829" s="42"/>
      <c r="F3829" s="3" t="s">
        <v>717</v>
      </c>
      <c r="G3829" s="3" t="s">
        <v>583</v>
      </c>
      <c r="H3829" s="4">
        <v>4022908</v>
      </c>
      <c r="I3829" s="3" t="s">
        <v>722</v>
      </c>
      <c r="J3829" s="3" t="s">
        <v>600</v>
      </c>
      <c r="K3829" s="4" t="s">
        <v>556</v>
      </c>
      <c r="M3829" s="3" t="s">
        <v>583</v>
      </c>
      <c r="N3829" s="3" t="s">
        <v>572</v>
      </c>
    </row>
    <row r="3830" spans="1:43" x14ac:dyDescent="0.3">
      <c r="A3830" s="4"/>
      <c r="B3830" s="100">
        <v>46081</v>
      </c>
      <c r="C3830" s="98" t="s">
        <v>553</v>
      </c>
      <c r="D3830" s="4" t="s">
        <v>508</v>
      </c>
      <c r="E3830" s="4"/>
      <c r="F3830" s="73" t="s">
        <v>511</v>
      </c>
      <c r="G3830" s="73" t="s">
        <v>511</v>
      </c>
      <c r="H3830" s="73"/>
      <c r="I3830" s="73" t="s">
        <v>476</v>
      </c>
      <c r="J3830" s="73" t="s">
        <v>476</v>
      </c>
      <c r="K3830" s="7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</row>
    <row r="3831" spans="1:43" x14ac:dyDescent="0.3">
      <c r="B3831" s="44">
        <v>46081</v>
      </c>
      <c r="C3831" s="3" t="s">
        <v>416</v>
      </c>
      <c r="D3831" s="3" t="s">
        <v>58</v>
      </c>
      <c r="E3831" s="42"/>
      <c r="F3831" s="3" t="s">
        <v>721</v>
      </c>
      <c r="G3831" s="3" t="s">
        <v>271</v>
      </c>
      <c r="H3831" s="4">
        <v>3194701</v>
      </c>
      <c r="I3831" s="3" t="s">
        <v>690</v>
      </c>
      <c r="J3831" s="3" t="s">
        <v>303</v>
      </c>
      <c r="K3831" s="4">
        <v>3205101</v>
      </c>
    </row>
    <row r="3832" spans="1:43" x14ac:dyDescent="0.3">
      <c r="B3832" s="44">
        <v>46081</v>
      </c>
      <c r="C3832" s="3" t="s">
        <v>416</v>
      </c>
      <c r="D3832" s="3" t="s">
        <v>60</v>
      </c>
      <c r="E3832" s="42"/>
      <c r="F3832" s="3" t="s">
        <v>721</v>
      </c>
      <c r="G3832" s="3" t="s">
        <v>300</v>
      </c>
      <c r="H3832" s="4">
        <v>3194805</v>
      </c>
      <c r="I3832" s="3" t="s">
        <v>695</v>
      </c>
      <c r="J3832" s="3" t="s">
        <v>296</v>
      </c>
      <c r="K3832" s="4">
        <v>3203905</v>
      </c>
    </row>
    <row r="3833" spans="1:43" x14ac:dyDescent="0.3">
      <c r="B3833" s="44">
        <v>46081</v>
      </c>
      <c r="C3833" s="3" t="s">
        <v>416</v>
      </c>
      <c r="D3833" s="3" t="s">
        <v>56</v>
      </c>
      <c r="E3833" s="42"/>
      <c r="F3833" s="4" t="s">
        <v>688</v>
      </c>
      <c r="G3833" s="4" t="s">
        <v>264</v>
      </c>
      <c r="H3833" s="4">
        <v>3055603</v>
      </c>
      <c r="I3833" s="4" t="s">
        <v>661</v>
      </c>
      <c r="J3833" s="4" t="s">
        <v>439</v>
      </c>
      <c r="K3833" s="4">
        <v>3023701</v>
      </c>
    </row>
    <row r="3834" spans="1:43" x14ac:dyDescent="0.3">
      <c r="B3834" s="44">
        <v>46081</v>
      </c>
      <c r="C3834" s="3" t="s">
        <v>416</v>
      </c>
      <c r="D3834" s="3" t="s">
        <v>498</v>
      </c>
      <c r="E3834" s="42"/>
      <c r="F3834" s="3" t="s">
        <v>688</v>
      </c>
      <c r="G3834" s="3" t="s">
        <v>146</v>
      </c>
      <c r="H3834" s="53">
        <v>3346405</v>
      </c>
      <c r="I3834" s="3" t="s">
        <v>472</v>
      </c>
      <c r="J3834" s="3" t="s">
        <v>219</v>
      </c>
      <c r="K3834" s="4">
        <v>3357608</v>
      </c>
    </row>
    <row r="3835" spans="1:43" x14ac:dyDescent="0.3">
      <c r="B3835" s="44">
        <v>46081</v>
      </c>
      <c r="C3835" s="3" t="s">
        <v>416</v>
      </c>
      <c r="D3835" s="3" t="s">
        <v>67</v>
      </c>
      <c r="E3835" s="42"/>
      <c r="F3835" s="3" t="s">
        <v>688</v>
      </c>
      <c r="G3835" s="3" t="s">
        <v>344</v>
      </c>
      <c r="H3835" s="4">
        <v>3194909</v>
      </c>
      <c r="I3835" s="3" t="s">
        <v>689</v>
      </c>
      <c r="J3835" s="3" t="s">
        <v>341</v>
      </c>
      <c r="K3835" s="4">
        <v>3197708</v>
      </c>
    </row>
    <row r="3836" spans="1:43" x14ac:dyDescent="0.3">
      <c r="B3836" s="44">
        <v>46081</v>
      </c>
      <c r="C3836" s="3" t="s">
        <v>416</v>
      </c>
      <c r="D3836" s="3" t="s">
        <v>487</v>
      </c>
      <c r="E3836" s="4"/>
      <c r="F3836" s="3" t="s">
        <v>647</v>
      </c>
      <c r="G3836" s="3" t="s">
        <v>116</v>
      </c>
      <c r="H3836" s="4">
        <v>3346009</v>
      </c>
      <c r="I3836" s="3" t="s">
        <v>663</v>
      </c>
      <c r="J3836" s="3" t="s">
        <v>419</v>
      </c>
      <c r="K3836" s="4">
        <v>3349204</v>
      </c>
    </row>
    <row r="3837" spans="1:43" x14ac:dyDescent="0.3">
      <c r="B3837" s="44">
        <v>46081</v>
      </c>
      <c r="C3837" s="3" t="s">
        <v>416</v>
      </c>
      <c r="D3837" s="3" t="s">
        <v>67</v>
      </c>
      <c r="E3837" s="42"/>
      <c r="F3837" s="4" t="s">
        <v>647</v>
      </c>
      <c r="G3837" s="4" t="s">
        <v>345</v>
      </c>
      <c r="H3837" s="4">
        <v>3194003</v>
      </c>
      <c r="I3837" s="4" t="s">
        <v>472</v>
      </c>
      <c r="J3837" s="4" t="s">
        <v>338</v>
      </c>
      <c r="K3837" s="4">
        <v>3207307</v>
      </c>
    </row>
    <row r="3838" spans="1:43" x14ac:dyDescent="0.3">
      <c r="B3838" s="44">
        <v>46081</v>
      </c>
      <c r="C3838" s="3" t="s">
        <v>416</v>
      </c>
      <c r="D3838" s="3" t="s">
        <v>498</v>
      </c>
      <c r="E3838" s="42"/>
      <c r="F3838" s="3" t="s">
        <v>647</v>
      </c>
      <c r="G3838" s="3" t="s">
        <v>225</v>
      </c>
      <c r="H3838" s="4">
        <v>3345802</v>
      </c>
      <c r="I3838" s="3" t="s">
        <v>694</v>
      </c>
      <c r="J3838" s="3" t="s">
        <v>245</v>
      </c>
      <c r="K3838" s="4">
        <v>3352905</v>
      </c>
    </row>
    <row r="3839" spans="1:43" x14ac:dyDescent="0.3">
      <c r="B3839" s="44">
        <v>46081</v>
      </c>
      <c r="C3839" s="3" t="s">
        <v>416</v>
      </c>
      <c r="D3839" s="3" t="s">
        <v>592</v>
      </c>
      <c r="E3839" s="42"/>
      <c r="F3839" s="3" t="s">
        <v>647</v>
      </c>
      <c r="G3839" s="3" t="s">
        <v>405</v>
      </c>
      <c r="H3839" s="74">
        <v>3901108</v>
      </c>
      <c r="I3839" s="3" t="s">
        <v>682</v>
      </c>
      <c r="J3839" s="3" t="s">
        <v>635</v>
      </c>
      <c r="K3839" s="74">
        <v>3969700</v>
      </c>
    </row>
    <row r="3840" spans="1:43" x14ac:dyDescent="0.3">
      <c r="A3840" s="4"/>
      <c r="B3840" s="100">
        <v>46082</v>
      </c>
      <c r="C3840" s="98" t="s">
        <v>553</v>
      </c>
      <c r="D3840" s="4" t="s">
        <v>521</v>
      </c>
      <c r="E3840" s="4"/>
      <c r="F3840" s="73" t="s">
        <v>479</v>
      </c>
      <c r="G3840" s="73" t="s">
        <v>479</v>
      </c>
      <c r="H3840" s="73"/>
      <c r="I3840" s="73" t="s">
        <v>471</v>
      </c>
      <c r="J3840" s="73" t="s">
        <v>471</v>
      </c>
      <c r="K3840" s="7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</row>
    <row r="3841" spans="1:43" x14ac:dyDescent="0.3">
      <c r="A3841" s="4"/>
      <c r="B3841" s="100">
        <v>46082</v>
      </c>
      <c r="C3841" s="98" t="s">
        <v>553</v>
      </c>
      <c r="D3841" s="4" t="s">
        <v>521</v>
      </c>
      <c r="E3841" s="4"/>
      <c r="F3841" s="73" t="s">
        <v>472</v>
      </c>
      <c r="G3841" s="73" t="s">
        <v>472</v>
      </c>
      <c r="H3841" s="73"/>
      <c r="I3841" s="73" t="s">
        <v>529</v>
      </c>
      <c r="J3841" s="73" t="s">
        <v>529</v>
      </c>
      <c r="K3841" s="15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</row>
    <row r="3842" spans="1:43" x14ac:dyDescent="0.3">
      <c r="A3842" s="4"/>
      <c r="B3842" s="100">
        <v>46082</v>
      </c>
      <c r="C3842" s="98" t="s">
        <v>553</v>
      </c>
      <c r="D3842" s="4" t="s">
        <v>516</v>
      </c>
      <c r="E3842" s="4"/>
      <c r="F3842" s="73" t="s">
        <v>476</v>
      </c>
      <c r="G3842" s="73" t="s">
        <v>476</v>
      </c>
      <c r="H3842" s="73"/>
      <c r="I3842" s="73" t="s">
        <v>518</v>
      </c>
      <c r="J3842" s="73" t="s">
        <v>518</v>
      </c>
      <c r="K3842" s="15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</row>
    <row r="3843" spans="1:43" x14ac:dyDescent="0.3">
      <c r="A3843" s="4"/>
      <c r="B3843" s="100">
        <v>46082</v>
      </c>
      <c r="C3843" s="98" t="s">
        <v>553</v>
      </c>
      <c r="D3843" s="4" t="s">
        <v>516</v>
      </c>
      <c r="E3843" s="4"/>
      <c r="F3843" s="73" t="s">
        <v>527</v>
      </c>
      <c r="G3843" s="73" t="s">
        <v>527</v>
      </c>
      <c r="H3843" s="73"/>
      <c r="I3843" s="73" t="s">
        <v>474</v>
      </c>
      <c r="J3843" s="73" t="s">
        <v>474</v>
      </c>
      <c r="K3843" s="15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</row>
    <row r="3844" spans="1:43" x14ac:dyDescent="0.3">
      <c r="B3844" s="44">
        <v>46088</v>
      </c>
      <c r="C3844" s="3" t="s">
        <v>416</v>
      </c>
      <c r="D3844" s="3" t="s">
        <v>487</v>
      </c>
      <c r="E3844" s="4"/>
      <c r="F3844" s="3" t="s">
        <v>475</v>
      </c>
      <c r="G3844" s="3" t="s">
        <v>96</v>
      </c>
      <c r="H3844" s="4">
        <v>3067107</v>
      </c>
      <c r="I3844" s="3" t="s">
        <v>709</v>
      </c>
      <c r="J3844" s="3" t="s">
        <v>111</v>
      </c>
      <c r="K3844" s="4">
        <v>3354601</v>
      </c>
    </row>
    <row r="3845" spans="1:43" x14ac:dyDescent="0.3">
      <c r="B3845" s="44">
        <v>46088</v>
      </c>
      <c r="C3845" s="3" t="s">
        <v>416</v>
      </c>
      <c r="D3845" s="3" t="s">
        <v>494</v>
      </c>
      <c r="E3845" s="42"/>
      <c r="F3845" s="3" t="s">
        <v>475</v>
      </c>
      <c r="G3845" s="3" t="s">
        <v>183</v>
      </c>
      <c r="H3845" s="4">
        <v>3362901</v>
      </c>
      <c r="I3845" s="4" t="s">
        <v>662</v>
      </c>
      <c r="J3845" s="4" t="s">
        <v>242</v>
      </c>
      <c r="K3845" s="4">
        <v>3358107</v>
      </c>
    </row>
    <row r="3846" spans="1:43" x14ac:dyDescent="0.3">
      <c r="B3846" s="44">
        <v>46088</v>
      </c>
      <c r="C3846" s="3" t="s">
        <v>416</v>
      </c>
      <c r="D3846" s="3" t="s">
        <v>70</v>
      </c>
      <c r="E3846" s="42"/>
      <c r="F3846" s="3" t="s">
        <v>475</v>
      </c>
      <c r="G3846" s="3" t="s">
        <v>370</v>
      </c>
      <c r="H3846" s="4">
        <v>3211903</v>
      </c>
      <c r="I3846" s="3" t="s">
        <v>672</v>
      </c>
      <c r="J3846" s="3" t="s">
        <v>401</v>
      </c>
      <c r="K3846" s="4">
        <v>3202000</v>
      </c>
    </row>
    <row r="3847" spans="1:43" x14ac:dyDescent="0.3">
      <c r="B3847" s="44">
        <v>46088</v>
      </c>
      <c r="C3847" s="3" t="s">
        <v>416</v>
      </c>
      <c r="D3847" s="3" t="s">
        <v>501</v>
      </c>
      <c r="E3847" s="42"/>
      <c r="F3847" s="3" t="s">
        <v>475</v>
      </c>
      <c r="G3847" s="3" t="s">
        <v>241</v>
      </c>
      <c r="H3847" s="4">
        <v>3362401</v>
      </c>
      <c r="I3847" s="3" t="s">
        <v>717</v>
      </c>
      <c r="J3847" s="3" t="s">
        <v>583</v>
      </c>
      <c r="K3847" s="4">
        <v>4022908</v>
      </c>
      <c r="M3847" s="51"/>
    </row>
    <row r="3848" spans="1:43" x14ac:dyDescent="0.3">
      <c r="B3848" s="44">
        <v>46088</v>
      </c>
      <c r="C3848" s="3" t="s">
        <v>416</v>
      </c>
      <c r="D3848" s="3" t="s">
        <v>592</v>
      </c>
      <c r="E3848" s="42"/>
      <c r="F3848" s="3" t="s">
        <v>475</v>
      </c>
      <c r="G3848" s="3" t="s">
        <v>398</v>
      </c>
      <c r="H3848" s="74">
        <v>3211601</v>
      </c>
      <c r="I3848" s="3" t="s">
        <v>662</v>
      </c>
      <c r="J3848" s="3" t="s">
        <v>634</v>
      </c>
      <c r="K3848" s="74">
        <v>4023105</v>
      </c>
    </row>
    <row r="3849" spans="1:43" x14ac:dyDescent="0.3">
      <c r="B3849" s="44">
        <v>46088</v>
      </c>
      <c r="C3849" s="3" t="s">
        <v>416</v>
      </c>
      <c r="D3849" s="3" t="s">
        <v>60</v>
      </c>
      <c r="E3849" s="42"/>
      <c r="F3849" s="32" t="s">
        <v>705</v>
      </c>
      <c r="G3849" s="32" t="s">
        <v>293</v>
      </c>
      <c r="H3849" s="15">
        <v>3211705</v>
      </c>
      <c r="I3849" s="3" t="s">
        <v>706</v>
      </c>
      <c r="J3849" s="3" t="s">
        <v>299</v>
      </c>
      <c r="K3849" s="32">
        <v>3199102</v>
      </c>
    </row>
    <row r="3850" spans="1:43" x14ac:dyDescent="0.3">
      <c r="B3850" s="44">
        <v>46088</v>
      </c>
      <c r="C3850" s="3" t="s">
        <v>416</v>
      </c>
      <c r="D3850" s="3" t="s">
        <v>590</v>
      </c>
      <c r="E3850" s="42"/>
      <c r="F3850" s="3" t="s">
        <v>648</v>
      </c>
      <c r="G3850" s="3" t="s">
        <v>449</v>
      </c>
      <c r="H3850" s="4">
        <v>3961500</v>
      </c>
      <c r="I3850" s="3" t="s">
        <v>650</v>
      </c>
      <c r="J3850" s="3" t="s">
        <v>277</v>
      </c>
      <c r="K3850" s="4">
        <v>3088400</v>
      </c>
    </row>
    <row r="3851" spans="1:43" x14ac:dyDescent="0.3">
      <c r="B3851" s="44">
        <v>46088</v>
      </c>
      <c r="C3851" s="3" t="s">
        <v>416</v>
      </c>
      <c r="D3851" s="3" t="s">
        <v>68</v>
      </c>
      <c r="E3851" s="42"/>
      <c r="F3851" s="3" t="s">
        <v>649</v>
      </c>
      <c r="G3851" s="3" t="s">
        <v>456</v>
      </c>
      <c r="H3851" s="4">
        <v>3545602</v>
      </c>
      <c r="I3851" s="4" t="s">
        <v>671</v>
      </c>
      <c r="J3851" s="4" t="s">
        <v>389</v>
      </c>
      <c r="K3851" s="4">
        <v>3209201</v>
      </c>
    </row>
    <row r="3852" spans="1:43" x14ac:dyDescent="0.3">
      <c r="B3852" s="44">
        <v>46088</v>
      </c>
      <c r="C3852" s="3" t="s">
        <v>416</v>
      </c>
      <c r="D3852" s="3" t="s">
        <v>486</v>
      </c>
      <c r="E3852" s="42"/>
      <c r="F3852" s="4" t="s">
        <v>651</v>
      </c>
      <c r="G3852" s="4" t="s">
        <v>97</v>
      </c>
      <c r="H3852" s="4">
        <v>3362005</v>
      </c>
      <c r="I3852" s="4" t="s">
        <v>646</v>
      </c>
      <c r="J3852" s="4" t="s">
        <v>102</v>
      </c>
      <c r="K3852" s="4">
        <v>3125406</v>
      </c>
    </row>
    <row r="3853" spans="1:43" x14ac:dyDescent="0.3">
      <c r="B3853" s="44">
        <v>46088</v>
      </c>
      <c r="C3853" s="3" t="s">
        <v>416</v>
      </c>
      <c r="D3853" s="3" t="s">
        <v>68</v>
      </c>
      <c r="E3853" s="42"/>
      <c r="F3853" s="3" t="s">
        <v>651</v>
      </c>
      <c r="G3853" s="3" t="s">
        <v>387</v>
      </c>
      <c r="H3853" s="4">
        <v>3211403</v>
      </c>
      <c r="I3853" s="4" t="s">
        <v>570</v>
      </c>
      <c r="J3853" s="4" t="s">
        <v>570</v>
      </c>
      <c r="K3853" s="4" t="s">
        <v>556</v>
      </c>
    </row>
    <row r="3854" spans="1:43" x14ac:dyDescent="0.3">
      <c r="B3854" s="44">
        <v>46088</v>
      </c>
      <c r="C3854" s="3" t="s">
        <v>416</v>
      </c>
      <c r="D3854" s="3" t="s">
        <v>499</v>
      </c>
      <c r="E3854" s="42"/>
      <c r="F3854" s="3" t="s">
        <v>651</v>
      </c>
      <c r="G3854" s="3" t="s">
        <v>226</v>
      </c>
      <c r="H3854" s="4">
        <v>3361902</v>
      </c>
      <c r="I3854" s="3" t="s">
        <v>474</v>
      </c>
      <c r="J3854" s="3" t="s">
        <v>597</v>
      </c>
      <c r="K3854" s="4">
        <v>3352707</v>
      </c>
      <c r="M3854" s="51"/>
    </row>
    <row r="3855" spans="1:43" x14ac:dyDescent="0.3">
      <c r="B3855" s="44">
        <v>46088</v>
      </c>
      <c r="C3855" s="3" t="s">
        <v>416</v>
      </c>
      <c r="D3855" s="3" t="s">
        <v>492</v>
      </c>
      <c r="E3855" s="42"/>
      <c r="F3855" s="3" t="s">
        <v>719</v>
      </c>
      <c r="G3855" s="3" t="s">
        <v>155</v>
      </c>
      <c r="H3855" s="4">
        <v>3361600</v>
      </c>
      <c r="I3855" s="3" t="s">
        <v>666</v>
      </c>
      <c r="J3855" s="3" t="s">
        <v>158</v>
      </c>
      <c r="K3855" s="4">
        <v>3356901</v>
      </c>
    </row>
    <row r="3856" spans="1:43" x14ac:dyDescent="0.3">
      <c r="B3856" s="44">
        <v>46088</v>
      </c>
      <c r="C3856" s="3" t="s">
        <v>416</v>
      </c>
      <c r="D3856" s="3" t="s">
        <v>59</v>
      </c>
      <c r="E3856" s="42"/>
      <c r="F3856" s="3" t="s">
        <v>653</v>
      </c>
      <c r="G3856" s="3" t="s">
        <v>272</v>
      </c>
      <c r="H3856" s="4">
        <v>3211205</v>
      </c>
      <c r="I3856" s="3" t="s">
        <v>646</v>
      </c>
      <c r="J3856" s="3" t="s">
        <v>275</v>
      </c>
      <c r="K3856" s="4">
        <v>3202406</v>
      </c>
    </row>
    <row r="3857" spans="1:43" x14ac:dyDescent="0.3">
      <c r="B3857" s="44">
        <v>46088</v>
      </c>
      <c r="C3857" s="3" t="s">
        <v>416</v>
      </c>
      <c r="D3857" s="3" t="s">
        <v>497</v>
      </c>
      <c r="E3857" s="42"/>
      <c r="F3857" s="17" t="s">
        <v>653</v>
      </c>
      <c r="G3857" s="17" t="s">
        <v>208</v>
      </c>
      <c r="H3857" s="74">
        <v>3361308</v>
      </c>
      <c r="I3857" s="3" t="s">
        <v>654</v>
      </c>
      <c r="J3857" s="3" t="s">
        <v>438</v>
      </c>
      <c r="K3857" s="74">
        <v>3906207</v>
      </c>
    </row>
    <row r="3858" spans="1:43" x14ac:dyDescent="0.3">
      <c r="B3858" s="44">
        <v>46088</v>
      </c>
      <c r="C3858" s="3" t="s">
        <v>416</v>
      </c>
      <c r="D3858" s="3" t="s">
        <v>497</v>
      </c>
      <c r="E3858" s="42"/>
      <c r="F3858" s="17" t="s">
        <v>653</v>
      </c>
      <c r="G3858" s="17" t="s">
        <v>209</v>
      </c>
      <c r="H3858" s="74">
        <v>3360705</v>
      </c>
      <c r="I3858" s="17" t="s">
        <v>660</v>
      </c>
      <c r="J3858" s="17" t="s">
        <v>212</v>
      </c>
      <c r="K3858" s="74">
        <v>3360007</v>
      </c>
    </row>
    <row r="3859" spans="1:43" x14ac:dyDescent="0.3">
      <c r="B3859" s="44">
        <v>46088</v>
      </c>
      <c r="C3859" s="3" t="s">
        <v>416</v>
      </c>
      <c r="D3859" s="3" t="s">
        <v>593</v>
      </c>
      <c r="E3859" s="42"/>
      <c r="F3859" s="3" t="s">
        <v>653</v>
      </c>
      <c r="G3859" s="3" t="s">
        <v>459</v>
      </c>
      <c r="H3859" s="4">
        <v>3211101</v>
      </c>
      <c r="I3859" s="4" t="s">
        <v>676</v>
      </c>
      <c r="J3859" s="4" t="s">
        <v>639</v>
      </c>
      <c r="K3859" s="4">
        <v>3776805</v>
      </c>
    </row>
    <row r="3860" spans="1:43" x14ac:dyDescent="0.3">
      <c r="B3860" s="44">
        <v>46088</v>
      </c>
      <c r="C3860" s="3" t="s">
        <v>416</v>
      </c>
      <c r="D3860" s="3" t="s">
        <v>504</v>
      </c>
      <c r="E3860" s="42"/>
      <c r="F3860" s="3" t="s">
        <v>479</v>
      </c>
      <c r="G3860" s="3" t="s">
        <v>9</v>
      </c>
      <c r="H3860" s="4">
        <v>3033405</v>
      </c>
      <c r="I3860" s="4" t="s">
        <v>476</v>
      </c>
      <c r="J3860" s="4" t="s">
        <v>100</v>
      </c>
      <c r="K3860" s="4">
        <v>3125302</v>
      </c>
    </row>
    <row r="3861" spans="1:43" x14ac:dyDescent="0.3">
      <c r="B3861" s="44">
        <v>46088</v>
      </c>
      <c r="C3861" s="3" t="s">
        <v>416</v>
      </c>
      <c r="D3861" s="3" t="s">
        <v>487</v>
      </c>
      <c r="E3861" s="4"/>
      <c r="F3861" s="3" t="s">
        <v>479</v>
      </c>
      <c r="G3861" s="3" t="s">
        <v>127</v>
      </c>
      <c r="H3861" s="4">
        <v>3360809</v>
      </c>
      <c r="I3861" s="3" t="s">
        <v>647</v>
      </c>
      <c r="J3861" s="3" t="s">
        <v>116</v>
      </c>
      <c r="K3861" s="4">
        <v>3346009</v>
      </c>
    </row>
    <row r="3862" spans="1:43" x14ac:dyDescent="0.3">
      <c r="B3862" s="44">
        <v>46088</v>
      </c>
      <c r="C3862" s="3" t="s">
        <v>416</v>
      </c>
      <c r="D3862" s="3" t="s">
        <v>490</v>
      </c>
      <c r="E3862" s="4"/>
      <c r="F3862" s="3" t="s">
        <v>479</v>
      </c>
      <c r="G3862" s="3" t="s">
        <v>136</v>
      </c>
      <c r="H3862" s="4">
        <v>3360903</v>
      </c>
      <c r="I3862" s="4" t="s">
        <v>654</v>
      </c>
      <c r="J3862" s="4" t="s">
        <v>143</v>
      </c>
      <c r="K3862" s="4">
        <v>3349704</v>
      </c>
    </row>
    <row r="3863" spans="1:43" x14ac:dyDescent="0.3">
      <c r="B3863" s="44">
        <v>46088</v>
      </c>
      <c r="C3863" s="3" t="s">
        <v>416</v>
      </c>
      <c r="D3863" s="3" t="s">
        <v>590</v>
      </c>
      <c r="E3863" s="42"/>
      <c r="F3863" s="3" t="s">
        <v>479</v>
      </c>
      <c r="G3863" s="3" t="s">
        <v>284</v>
      </c>
      <c r="H3863" s="4">
        <v>3210904</v>
      </c>
      <c r="I3863" s="3" t="s">
        <v>472</v>
      </c>
      <c r="J3863" s="3" t="s">
        <v>315</v>
      </c>
      <c r="K3863" s="4">
        <v>3455307</v>
      </c>
    </row>
    <row r="3864" spans="1:43" x14ac:dyDescent="0.3">
      <c r="B3864" s="44">
        <v>46088</v>
      </c>
      <c r="C3864" s="3" t="s">
        <v>416</v>
      </c>
      <c r="D3864" s="3" t="s">
        <v>490</v>
      </c>
      <c r="E3864" s="4"/>
      <c r="F3864" s="3" t="s">
        <v>479</v>
      </c>
      <c r="G3864" s="3" t="s">
        <v>166</v>
      </c>
      <c r="H3864" s="4">
        <v>3361006</v>
      </c>
      <c r="I3864" s="4" t="s">
        <v>475</v>
      </c>
      <c r="J3864" s="4" t="s">
        <v>125</v>
      </c>
      <c r="K3864" s="4">
        <v>3362807</v>
      </c>
    </row>
    <row r="3865" spans="1:43" x14ac:dyDescent="0.3">
      <c r="B3865" s="44">
        <v>46088</v>
      </c>
      <c r="C3865" s="3" t="s">
        <v>416</v>
      </c>
      <c r="D3865" s="3" t="s">
        <v>62</v>
      </c>
      <c r="E3865" s="42"/>
      <c r="F3865" s="4" t="s">
        <v>479</v>
      </c>
      <c r="G3865" s="4" t="s">
        <v>319</v>
      </c>
      <c r="H3865" s="4">
        <v>3210508</v>
      </c>
      <c r="I3865" s="4" t="s">
        <v>476</v>
      </c>
      <c r="J3865" s="4" t="s">
        <v>323</v>
      </c>
      <c r="K3865" s="4">
        <v>3206506</v>
      </c>
    </row>
    <row r="3866" spans="1:43" x14ac:dyDescent="0.3">
      <c r="B3866" s="44">
        <v>46088</v>
      </c>
      <c r="C3866" s="3" t="s">
        <v>416</v>
      </c>
      <c r="D3866" s="3" t="s">
        <v>493</v>
      </c>
      <c r="E3866" s="42"/>
      <c r="F3866" s="3" t="s">
        <v>479</v>
      </c>
      <c r="G3866" s="3" t="s">
        <v>210</v>
      </c>
      <c r="H3866" s="4">
        <v>3361100</v>
      </c>
      <c r="I3866" s="4" t="s">
        <v>476</v>
      </c>
      <c r="J3866" s="4" t="s">
        <v>169</v>
      </c>
      <c r="K3866" s="4">
        <v>3356609</v>
      </c>
    </row>
    <row r="3867" spans="1:43" x14ac:dyDescent="0.3">
      <c r="B3867" s="44">
        <v>46088</v>
      </c>
      <c r="C3867" s="3" t="s">
        <v>416</v>
      </c>
      <c r="D3867" s="3" t="s">
        <v>65</v>
      </c>
      <c r="E3867" s="42"/>
      <c r="F3867" s="3" t="s">
        <v>479</v>
      </c>
      <c r="G3867" s="3" t="s">
        <v>320</v>
      </c>
      <c r="H3867" s="4">
        <v>3210602</v>
      </c>
      <c r="I3867" s="4" t="s">
        <v>653</v>
      </c>
      <c r="J3867" s="4" t="s">
        <v>451</v>
      </c>
      <c r="K3867" s="4">
        <v>3211309</v>
      </c>
    </row>
    <row r="3868" spans="1:43" x14ac:dyDescent="0.3">
      <c r="A3868" s="4"/>
      <c r="B3868" s="100">
        <v>46088</v>
      </c>
      <c r="C3868" s="98" t="s">
        <v>553</v>
      </c>
      <c r="D3868" s="4" t="s">
        <v>508</v>
      </c>
      <c r="E3868" s="4"/>
      <c r="F3868" s="73" t="s">
        <v>554</v>
      </c>
      <c r="G3868" s="73" t="s">
        <v>9</v>
      </c>
      <c r="H3868" s="73"/>
      <c r="I3868" s="73" t="s">
        <v>476</v>
      </c>
      <c r="J3868" s="73" t="s">
        <v>476</v>
      </c>
      <c r="K3868" s="15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</row>
    <row r="3869" spans="1:43" x14ac:dyDescent="0.3">
      <c r="B3869" s="44">
        <v>46088</v>
      </c>
      <c r="C3869" s="3" t="s">
        <v>416</v>
      </c>
      <c r="D3869" s="3" t="s">
        <v>486</v>
      </c>
      <c r="E3869" s="42"/>
      <c r="F3869" s="3" t="s">
        <v>480</v>
      </c>
      <c r="G3869" s="3" t="s">
        <v>406</v>
      </c>
      <c r="H3869" s="4">
        <v>3124501</v>
      </c>
      <c r="I3869" s="4" t="s">
        <v>645</v>
      </c>
      <c r="J3869" s="4" t="s">
        <v>104</v>
      </c>
      <c r="K3869" s="4">
        <v>3036308</v>
      </c>
    </row>
    <row r="3870" spans="1:43" x14ac:dyDescent="0.3">
      <c r="B3870" s="44">
        <v>46088</v>
      </c>
      <c r="C3870" s="3" t="s">
        <v>416</v>
      </c>
      <c r="D3870" s="3" t="s">
        <v>493</v>
      </c>
      <c r="E3870" s="42"/>
      <c r="F3870" s="3" t="s">
        <v>480</v>
      </c>
      <c r="G3870" s="3" t="s">
        <v>423</v>
      </c>
      <c r="H3870" s="4">
        <v>3360403</v>
      </c>
      <c r="I3870" s="4" t="s">
        <v>479</v>
      </c>
      <c r="J3870" s="4" t="s">
        <v>211</v>
      </c>
      <c r="K3870" s="4">
        <v>3361204</v>
      </c>
    </row>
    <row r="3871" spans="1:43" x14ac:dyDescent="0.3">
      <c r="B3871" s="44">
        <v>46088</v>
      </c>
      <c r="C3871" s="3" t="s">
        <v>416</v>
      </c>
      <c r="D3871" s="3" t="s">
        <v>497</v>
      </c>
      <c r="E3871" s="42"/>
      <c r="F3871" s="17" t="s">
        <v>480</v>
      </c>
      <c r="G3871" s="17" t="s">
        <v>428</v>
      </c>
      <c r="H3871" s="74">
        <v>3360309</v>
      </c>
      <c r="I3871" s="17" t="s">
        <v>476</v>
      </c>
      <c r="J3871" s="17" t="s">
        <v>234</v>
      </c>
      <c r="K3871" s="74">
        <v>3356807</v>
      </c>
    </row>
    <row r="3872" spans="1:43" x14ac:dyDescent="0.3">
      <c r="B3872" s="44">
        <v>46088</v>
      </c>
      <c r="C3872" s="3" t="s">
        <v>416</v>
      </c>
      <c r="D3872" s="3" t="s">
        <v>56</v>
      </c>
      <c r="E3872" s="42"/>
      <c r="F3872" s="4" t="s">
        <v>661</v>
      </c>
      <c r="G3872" s="4" t="s">
        <v>439</v>
      </c>
      <c r="H3872" s="4">
        <v>3023701</v>
      </c>
      <c r="I3872" s="4" t="s">
        <v>472</v>
      </c>
      <c r="J3872" s="4" t="s">
        <v>248</v>
      </c>
      <c r="K3872" s="4">
        <v>3207609</v>
      </c>
    </row>
    <row r="3873" spans="2:14" x14ac:dyDescent="0.3">
      <c r="B3873" s="44">
        <v>46088</v>
      </c>
      <c r="C3873" s="3" t="s">
        <v>416</v>
      </c>
      <c r="D3873" s="3" t="s">
        <v>590</v>
      </c>
      <c r="E3873" s="42"/>
      <c r="F3873" s="3" t="s">
        <v>657</v>
      </c>
      <c r="G3873" s="3" t="s">
        <v>321</v>
      </c>
      <c r="H3873" s="4">
        <v>3209607</v>
      </c>
      <c r="I3873" s="3" t="s">
        <v>471</v>
      </c>
      <c r="J3873" s="3" t="s">
        <v>291</v>
      </c>
      <c r="K3873" s="4">
        <v>3196709</v>
      </c>
    </row>
    <row r="3874" spans="2:14" x14ac:dyDescent="0.3">
      <c r="B3874" s="44">
        <v>46088</v>
      </c>
      <c r="C3874" s="3" t="s">
        <v>416</v>
      </c>
      <c r="D3874" s="3" t="s">
        <v>493</v>
      </c>
      <c r="E3874" s="42"/>
      <c r="F3874" s="3" t="s">
        <v>657</v>
      </c>
      <c r="G3874" s="3" t="s">
        <v>167</v>
      </c>
      <c r="H3874" s="4">
        <v>3359804</v>
      </c>
      <c r="I3874" s="4" t="s">
        <v>471</v>
      </c>
      <c r="J3874" s="4" t="s">
        <v>174</v>
      </c>
      <c r="K3874" s="4">
        <v>3348101</v>
      </c>
    </row>
    <row r="3875" spans="2:14" x14ac:dyDescent="0.3">
      <c r="B3875" s="44">
        <v>46088</v>
      </c>
      <c r="C3875" s="3" t="s">
        <v>416</v>
      </c>
      <c r="D3875" s="3" t="s">
        <v>497</v>
      </c>
      <c r="E3875" s="42"/>
      <c r="F3875" s="17" t="s">
        <v>657</v>
      </c>
      <c r="G3875" s="17" t="s">
        <v>213</v>
      </c>
      <c r="H3875" s="74">
        <v>3359502</v>
      </c>
      <c r="I3875" s="15" t="s">
        <v>471</v>
      </c>
      <c r="J3875" s="15" t="s">
        <v>240</v>
      </c>
      <c r="K3875" s="74">
        <v>3348403</v>
      </c>
    </row>
    <row r="3876" spans="2:14" x14ac:dyDescent="0.3">
      <c r="B3876" s="44">
        <v>46088</v>
      </c>
      <c r="C3876" s="3" t="s">
        <v>416</v>
      </c>
      <c r="D3876" s="3" t="s">
        <v>495</v>
      </c>
      <c r="E3876" s="42"/>
      <c r="F3876" s="3" t="s">
        <v>570</v>
      </c>
      <c r="G3876" s="3" t="s">
        <v>570</v>
      </c>
      <c r="H3876" s="4" t="s">
        <v>556</v>
      </c>
      <c r="I3876" s="3" t="s">
        <v>673</v>
      </c>
      <c r="J3876" s="3" t="s">
        <v>200</v>
      </c>
      <c r="K3876" s="53">
        <v>3901004</v>
      </c>
    </row>
    <row r="3877" spans="2:14" x14ac:dyDescent="0.3">
      <c r="B3877" s="44">
        <v>46088</v>
      </c>
      <c r="C3877" s="3" t="s">
        <v>416</v>
      </c>
      <c r="D3877" s="3" t="s">
        <v>592</v>
      </c>
      <c r="E3877" s="42"/>
      <c r="F3877" s="3" t="s">
        <v>570</v>
      </c>
      <c r="G3877" s="3" t="s">
        <v>570</v>
      </c>
      <c r="H3877" s="4" t="s">
        <v>556</v>
      </c>
      <c r="I3877" s="3" t="s">
        <v>647</v>
      </c>
      <c r="J3877" s="3" t="s">
        <v>405</v>
      </c>
      <c r="K3877" s="74">
        <v>3901108</v>
      </c>
    </row>
    <row r="3878" spans="2:14" x14ac:dyDescent="0.3">
      <c r="B3878" s="44">
        <v>46088</v>
      </c>
      <c r="C3878" s="3" t="s">
        <v>416</v>
      </c>
      <c r="D3878" s="3" t="s">
        <v>499</v>
      </c>
      <c r="E3878" s="42"/>
      <c r="F3878" s="3" t="s">
        <v>723</v>
      </c>
      <c r="G3878" s="3" t="s">
        <v>599</v>
      </c>
      <c r="H3878" s="4" t="s">
        <v>556</v>
      </c>
      <c r="I3878" s="3" t="s">
        <v>671</v>
      </c>
      <c r="J3878" s="3" t="s">
        <v>228</v>
      </c>
      <c r="K3878" s="53">
        <v>3358607</v>
      </c>
      <c r="M3878" s="3" t="s">
        <v>228</v>
      </c>
      <c r="N3878" s="3" t="s">
        <v>579</v>
      </c>
    </row>
    <row r="3879" spans="2:14" x14ac:dyDescent="0.3">
      <c r="B3879" s="44">
        <v>46088</v>
      </c>
      <c r="C3879" s="3" t="s">
        <v>416</v>
      </c>
      <c r="D3879" s="3" t="s">
        <v>501</v>
      </c>
      <c r="E3879" s="42"/>
      <c r="F3879" s="3" t="s">
        <v>722</v>
      </c>
      <c r="G3879" s="3" t="s">
        <v>600</v>
      </c>
      <c r="H3879" s="4" t="s">
        <v>556</v>
      </c>
      <c r="I3879" s="3" t="s">
        <v>682</v>
      </c>
      <c r="J3879" s="3" t="s">
        <v>579</v>
      </c>
      <c r="K3879" s="53">
        <v>3970007</v>
      </c>
      <c r="M3879" s="3" t="s">
        <v>228</v>
      </c>
      <c r="N3879" s="3" t="s">
        <v>579</v>
      </c>
    </row>
    <row r="3880" spans="2:14" x14ac:dyDescent="0.3">
      <c r="B3880" s="44">
        <v>46088</v>
      </c>
      <c r="C3880" s="3" t="s">
        <v>416</v>
      </c>
      <c r="D3880" s="3" t="s">
        <v>60</v>
      </c>
      <c r="E3880" s="42"/>
      <c r="F3880" s="3" t="s">
        <v>667</v>
      </c>
      <c r="G3880" s="3" t="s">
        <v>444</v>
      </c>
      <c r="H3880" s="4">
        <v>3209909</v>
      </c>
      <c r="I3880" s="3" t="s">
        <v>721</v>
      </c>
      <c r="J3880" s="3" t="s">
        <v>300</v>
      </c>
      <c r="K3880" s="32">
        <v>3194805</v>
      </c>
    </row>
    <row r="3881" spans="2:14" x14ac:dyDescent="0.3">
      <c r="B3881" s="44">
        <v>46088</v>
      </c>
      <c r="C3881" s="3" t="s">
        <v>416</v>
      </c>
      <c r="D3881" s="3" t="s">
        <v>60</v>
      </c>
      <c r="E3881" s="42"/>
      <c r="F3881" s="3" t="s">
        <v>667</v>
      </c>
      <c r="G3881" s="3" t="s">
        <v>294</v>
      </c>
      <c r="H3881" s="4">
        <v>3209409</v>
      </c>
      <c r="I3881" s="3" t="s">
        <v>473</v>
      </c>
      <c r="J3881" s="3" t="s">
        <v>298</v>
      </c>
      <c r="K3881" s="32">
        <v>3817807</v>
      </c>
    </row>
    <row r="3882" spans="2:14" x14ac:dyDescent="0.3">
      <c r="B3882" s="44">
        <v>46088</v>
      </c>
      <c r="C3882" s="3" t="s">
        <v>416</v>
      </c>
      <c r="D3882" s="3" t="s">
        <v>56</v>
      </c>
      <c r="E3882" s="42"/>
      <c r="F3882" s="73" t="s">
        <v>671</v>
      </c>
      <c r="G3882" s="73" t="s">
        <v>247</v>
      </c>
      <c r="H3882" s="4">
        <v>3034102</v>
      </c>
      <c r="I3882" s="3" t="s">
        <v>475</v>
      </c>
      <c r="J3882" s="3" t="s">
        <v>256</v>
      </c>
      <c r="K3882" s="4">
        <v>3068700</v>
      </c>
    </row>
    <row r="3883" spans="2:14" x14ac:dyDescent="0.3">
      <c r="B3883" s="44">
        <v>46088</v>
      </c>
      <c r="C3883" s="3" t="s">
        <v>416</v>
      </c>
      <c r="D3883" s="3" t="s">
        <v>486</v>
      </c>
      <c r="E3883" s="42"/>
      <c r="F3883" s="3" t="s">
        <v>671</v>
      </c>
      <c r="G3883" s="3" t="s">
        <v>108</v>
      </c>
      <c r="H3883" s="4">
        <v>3359700</v>
      </c>
      <c r="I3883" s="3" t="s">
        <v>676</v>
      </c>
      <c r="J3883" s="3" t="s">
        <v>109</v>
      </c>
      <c r="K3883" s="4">
        <v>3067701</v>
      </c>
    </row>
    <row r="3884" spans="2:14" x14ac:dyDescent="0.3">
      <c r="B3884" s="44">
        <v>46088</v>
      </c>
      <c r="C3884" s="3" t="s">
        <v>416</v>
      </c>
      <c r="D3884" s="3" t="s">
        <v>590</v>
      </c>
      <c r="E3884" s="42"/>
      <c r="F3884" s="4" t="s">
        <v>671</v>
      </c>
      <c r="G3884" s="4" t="s">
        <v>311</v>
      </c>
      <c r="H3884" s="4">
        <v>3209003</v>
      </c>
      <c r="I3884" s="4" t="s">
        <v>474</v>
      </c>
      <c r="J3884" s="4" t="s">
        <v>317</v>
      </c>
      <c r="K3884" s="4">
        <v>3200700</v>
      </c>
    </row>
    <row r="3885" spans="2:14" x14ac:dyDescent="0.3">
      <c r="B3885" s="44">
        <v>46088</v>
      </c>
      <c r="C3885" s="3" t="s">
        <v>416</v>
      </c>
      <c r="D3885" s="3" t="s">
        <v>496</v>
      </c>
      <c r="E3885" s="42"/>
      <c r="F3885" s="3" t="s">
        <v>671</v>
      </c>
      <c r="G3885" s="3" t="s">
        <v>203</v>
      </c>
      <c r="H3885" s="4">
        <v>3359304</v>
      </c>
      <c r="I3885" s="3" t="s">
        <v>716</v>
      </c>
      <c r="J3885" s="3" t="s">
        <v>427</v>
      </c>
      <c r="K3885" s="4">
        <v>3351500</v>
      </c>
    </row>
    <row r="3886" spans="2:14" x14ac:dyDescent="0.3">
      <c r="B3886" s="44">
        <v>46088</v>
      </c>
      <c r="C3886" s="3" t="s">
        <v>416</v>
      </c>
      <c r="D3886" s="3" t="s">
        <v>496</v>
      </c>
      <c r="E3886" s="42"/>
      <c r="F3886" s="3" t="s">
        <v>671</v>
      </c>
      <c r="G3886" s="3" t="s">
        <v>227</v>
      </c>
      <c r="H3886" s="4">
        <v>3359408</v>
      </c>
      <c r="I3886" s="4" t="s">
        <v>474</v>
      </c>
      <c r="J3886" s="4" t="s">
        <v>426</v>
      </c>
      <c r="K3886" s="4">
        <v>3352603</v>
      </c>
    </row>
    <row r="3887" spans="2:14" x14ac:dyDescent="0.3">
      <c r="B3887" s="44">
        <v>46088</v>
      </c>
      <c r="C3887" s="3" t="s">
        <v>416</v>
      </c>
      <c r="D3887" s="3" t="s">
        <v>66</v>
      </c>
      <c r="E3887" s="42"/>
      <c r="F3887" s="104" t="s">
        <v>659</v>
      </c>
      <c r="G3887" s="104" t="s">
        <v>602</v>
      </c>
      <c r="H3887" s="74">
        <v>4023001</v>
      </c>
      <c r="I3887" s="3" t="s">
        <v>478</v>
      </c>
      <c r="J3887" s="3" t="s">
        <v>604</v>
      </c>
      <c r="K3887" s="74">
        <v>3205507</v>
      </c>
    </row>
    <row r="3888" spans="2:14" x14ac:dyDescent="0.3">
      <c r="B3888" s="44">
        <v>46088</v>
      </c>
      <c r="C3888" s="3" t="s">
        <v>416</v>
      </c>
      <c r="D3888" s="4" t="s">
        <v>614</v>
      </c>
      <c r="E3888" s="42"/>
      <c r="F3888" s="3" t="s">
        <v>674</v>
      </c>
      <c r="G3888" s="3" t="s">
        <v>346</v>
      </c>
      <c r="H3888" s="4">
        <v>3208900</v>
      </c>
      <c r="I3888" s="4" t="s">
        <v>714</v>
      </c>
      <c r="J3888" s="4" t="s">
        <v>454</v>
      </c>
      <c r="K3888" s="4">
        <v>3820300</v>
      </c>
    </row>
    <row r="3889" spans="2:13" x14ac:dyDescent="0.3">
      <c r="B3889" s="44">
        <v>46088</v>
      </c>
      <c r="C3889" s="3" t="s">
        <v>416</v>
      </c>
      <c r="D3889" s="3" t="s">
        <v>590</v>
      </c>
      <c r="E3889" s="42"/>
      <c r="F3889" s="4" t="s">
        <v>676</v>
      </c>
      <c r="G3889" s="4" t="s">
        <v>285</v>
      </c>
      <c r="H3889" s="4">
        <v>3208504</v>
      </c>
      <c r="I3889" s="4" t="s">
        <v>699</v>
      </c>
      <c r="J3889" s="4" t="s">
        <v>594</v>
      </c>
      <c r="K3889" s="4">
        <v>3196407</v>
      </c>
    </row>
    <row r="3890" spans="2:13" x14ac:dyDescent="0.3">
      <c r="B3890" s="44">
        <v>46088</v>
      </c>
      <c r="C3890" s="3" t="s">
        <v>416</v>
      </c>
      <c r="D3890" s="3" t="s">
        <v>62</v>
      </c>
      <c r="E3890" s="42"/>
      <c r="F3890" s="3" t="s">
        <v>676</v>
      </c>
      <c r="G3890" s="3" t="s">
        <v>286</v>
      </c>
      <c r="H3890" s="4">
        <v>3019605</v>
      </c>
      <c r="I3890" s="3" t="s">
        <v>694</v>
      </c>
      <c r="J3890" s="3" t="s">
        <v>340</v>
      </c>
      <c r="K3890" s="4">
        <v>3201803</v>
      </c>
    </row>
    <row r="3891" spans="2:13" x14ac:dyDescent="0.3">
      <c r="B3891" s="44">
        <v>46088</v>
      </c>
      <c r="C3891" s="3" t="s">
        <v>416</v>
      </c>
      <c r="D3891" s="3" t="s">
        <v>65</v>
      </c>
      <c r="E3891" s="42"/>
      <c r="F3891" s="3" t="s">
        <v>676</v>
      </c>
      <c r="G3891" s="3" t="s">
        <v>356</v>
      </c>
      <c r="H3891" s="4">
        <v>3208608</v>
      </c>
      <c r="I3891" s="4" t="s">
        <v>693</v>
      </c>
      <c r="J3891" s="4" t="s">
        <v>357</v>
      </c>
      <c r="K3891" s="4">
        <v>3206704</v>
      </c>
    </row>
    <row r="3892" spans="2:13" x14ac:dyDescent="0.3">
      <c r="B3892" s="44">
        <v>46088</v>
      </c>
      <c r="C3892" s="3" t="s">
        <v>416</v>
      </c>
      <c r="D3892" s="3" t="s">
        <v>500</v>
      </c>
      <c r="E3892" s="42"/>
      <c r="F3892" s="3" t="s">
        <v>676</v>
      </c>
      <c r="G3892" s="3" t="s">
        <v>577</v>
      </c>
      <c r="H3892" s="4" t="s">
        <v>556</v>
      </c>
      <c r="I3892" s="4" t="s">
        <v>679</v>
      </c>
      <c r="J3892" s="4" t="s">
        <v>466</v>
      </c>
      <c r="K3892" s="4">
        <v>3346707</v>
      </c>
    </row>
    <row r="3893" spans="2:13" x14ac:dyDescent="0.3">
      <c r="B3893" s="44">
        <v>46088</v>
      </c>
      <c r="C3893" s="3" t="s">
        <v>416</v>
      </c>
      <c r="D3893" s="3" t="s">
        <v>61</v>
      </c>
      <c r="E3893" s="42"/>
      <c r="F3893" s="73" t="s">
        <v>680</v>
      </c>
      <c r="G3893" s="73" t="s">
        <v>302</v>
      </c>
      <c r="H3893" s="4">
        <v>3208400</v>
      </c>
      <c r="I3893" s="3" t="s">
        <v>703</v>
      </c>
      <c r="J3893" s="3" t="s">
        <v>596</v>
      </c>
      <c r="K3893" s="4" t="s">
        <v>556</v>
      </c>
    </row>
    <row r="3894" spans="2:13" x14ac:dyDescent="0.3">
      <c r="B3894" s="44">
        <v>46088</v>
      </c>
      <c r="C3894" s="3" t="s">
        <v>416</v>
      </c>
      <c r="D3894" s="3" t="s">
        <v>491</v>
      </c>
      <c r="E3894" s="42"/>
      <c r="F3894" s="4" t="s">
        <v>680</v>
      </c>
      <c r="G3894" s="4" t="s">
        <v>177</v>
      </c>
      <c r="H3894" s="4">
        <v>3899709</v>
      </c>
      <c r="I3894" s="4" t="s">
        <v>702</v>
      </c>
      <c r="J3894" s="4" t="s">
        <v>180</v>
      </c>
      <c r="K3894" s="4">
        <v>3355308</v>
      </c>
    </row>
    <row r="3895" spans="2:13" x14ac:dyDescent="0.3">
      <c r="B3895" s="44">
        <v>46088</v>
      </c>
      <c r="C3895" s="3" t="s">
        <v>416</v>
      </c>
      <c r="D3895" s="3" t="s">
        <v>66</v>
      </c>
      <c r="E3895" s="42"/>
      <c r="F3895" s="104" t="s">
        <v>680</v>
      </c>
      <c r="G3895" s="104" t="s">
        <v>603</v>
      </c>
      <c r="H3895" s="74">
        <v>3945400</v>
      </c>
      <c r="I3895" s="3" t="s">
        <v>703</v>
      </c>
      <c r="J3895" s="3" t="s">
        <v>606</v>
      </c>
      <c r="K3895" s="74" t="s">
        <v>588</v>
      </c>
    </row>
    <row r="3896" spans="2:13" x14ac:dyDescent="0.3">
      <c r="B3896" s="44">
        <v>46088</v>
      </c>
      <c r="C3896" s="3" t="s">
        <v>416</v>
      </c>
      <c r="D3896" s="3" t="s">
        <v>486</v>
      </c>
      <c r="E3896" s="42"/>
      <c r="F3896" s="4" t="s">
        <v>652</v>
      </c>
      <c r="G3896" s="4" t="s">
        <v>110</v>
      </c>
      <c r="H3896" s="4">
        <v>3359106</v>
      </c>
      <c r="I3896" s="4" t="s">
        <v>680</v>
      </c>
      <c r="J3896" s="4" t="s">
        <v>98</v>
      </c>
      <c r="K3896" s="4">
        <v>3358909</v>
      </c>
    </row>
    <row r="3897" spans="2:13" x14ac:dyDescent="0.3">
      <c r="B3897" s="44">
        <v>46088</v>
      </c>
      <c r="C3897" s="3" t="s">
        <v>416</v>
      </c>
      <c r="D3897" s="3" t="s">
        <v>59</v>
      </c>
      <c r="E3897" s="42"/>
      <c r="F3897" s="3" t="s">
        <v>652</v>
      </c>
      <c r="G3897" s="3" t="s">
        <v>313</v>
      </c>
      <c r="H3897" s="4">
        <v>3207901</v>
      </c>
      <c r="I3897" s="4" t="s">
        <v>655</v>
      </c>
      <c r="J3897" s="4" t="s">
        <v>288</v>
      </c>
      <c r="K3897" s="4">
        <v>3200908</v>
      </c>
    </row>
    <row r="3898" spans="2:13" x14ac:dyDescent="0.3">
      <c r="B3898" s="44">
        <v>46088</v>
      </c>
      <c r="C3898" s="3" t="s">
        <v>416</v>
      </c>
      <c r="D3898" s="3" t="s">
        <v>68</v>
      </c>
      <c r="E3898" s="42"/>
      <c r="F3898" s="3" t="s">
        <v>652</v>
      </c>
      <c r="G3898" s="3" t="s">
        <v>625</v>
      </c>
      <c r="H3898" s="4">
        <v>3899803</v>
      </c>
      <c r="I3898" s="15" t="s">
        <v>664</v>
      </c>
      <c r="J3898" s="15" t="s">
        <v>388</v>
      </c>
      <c r="K3898" s="74">
        <v>3165306</v>
      </c>
    </row>
    <row r="3899" spans="2:13" x14ac:dyDescent="0.3">
      <c r="B3899" s="44">
        <v>46088</v>
      </c>
      <c r="C3899" s="3" t="s">
        <v>416</v>
      </c>
      <c r="D3899" s="3" t="s">
        <v>504</v>
      </c>
      <c r="E3899" s="42"/>
      <c r="F3899" s="3" t="s">
        <v>662</v>
      </c>
      <c r="G3899" s="3" t="s">
        <v>99</v>
      </c>
      <c r="H3899" s="4">
        <v>3125604</v>
      </c>
      <c r="I3899" s="3" t="s">
        <v>666</v>
      </c>
      <c r="J3899" s="3" t="s">
        <v>12</v>
      </c>
      <c r="K3899" s="4">
        <v>3034206</v>
      </c>
    </row>
    <row r="3900" spans="2:13" x14ac:dyDescent="0.3">
      <c r="B3900" s="44">
        <v>46088</v>
      </c>
      <c r="C3900" s="3" t="s">
        <v>416</v>
      </c>
      <c r="D3900" s="3" t="s">
        <v>64</v>
      </c>
      <c r="E3900" s="42">
        <v>4370907</v>
      </c>
      <c r="F3900" s="3" t="s">
        <v>662</v>
      </c>
      <c r="G3900" s="3" t="s">
        <v>372</v>
      </c>
      <c r="H3900" s="4">
        <v>3207703</v>
      </c>
      <c r="I3900" s="4" t="s">
        <v>669</v>
      </c>
      <c r="J3900" s="4" t="s">
        <v>337</v>
      </c>
      <c r="K3900" s="4">
        <v>3209305</v>
      </c>
    </row>
    <row r="3901" spans="2:13" x14ac:dyDescent="0.3">
      <c r="B3901" s="44">
        <v>46088</v>
      </c>
      <c r="C3901" s="3" t="s">
        <v>416</v>
      </c>
      <c r="D3901" s="3" t="s">
        <v>494</v>
      </c>
      <c r="E3901" s="42"/>
      <c r="F3901" s="3" t="s">
        <v>662</v>
      </c>
      <c r="G3901" s="3" t="s">
        <v>218</v>
      </c>
      <c r="H3901" s="4">
        <v>3358201</v>
      </c>
      <c r="I3901" s="3" t="s">
        <v>708</v>
      </c>
      <c r="J3901" s="3" t="s">
        <v>220</v>
      </c>
      <c r="K3901" s="4">
        <v>3354809</v>
      </c>
    </row>
    <row r="3902" spans="2:13" x14ac:dyDescent="0.3">
      <c r="B3902" s="44">
        <v>46088</v>
      </c>
      <c r="C3902" s="3" t="s">
        <v>416</v>
      </c>
      <c r="D3902" s="3" t="s">
        <v>70</v>
      </c>
      <c r="E3902" s="42"/>
      <c r="F3902" s="3" t="s">
        <v>662</v>
      </c>
      <c r="G3902" s="3" t="s">
        <v>399</v>
      </c>
      <c r="H3902" s="4">
        <v>3207401</v>
      </c>
      <c r="I3902" s="3" t="s">
        <v>692</v>
      </c>
      <c r="J3902" s="3" t="s">
        <v>378</v>
      </c>
      <c r="K3902" s="4">
        <v>3197802</v>
      </c>
    </row>
    <row r="3903" spans="2:13" x14ac:dyDescent="0.3">
      <c r="B3903" s="44">
        <v>46088</v>
      </c>
      <c r="C3903" s="3" t="s">
        <v>416</v>
      </c>
      <c r="D3903" s="3" t="s">
        <v>501</v>
      </c>
      <c r="E3903" s="42"/>
      <c r="F3903" s="3" t="s">
        <v>662</v>
      </c>
      <c r="G3903" s="3" t="s">
        <v>243</v>
      </c>
      <c r="H3903" s="4">
        <v>3899907</v>
      </c>
      <c r="I3903" s="3" t="s">
        <v>689</v>
      </c>
      <c r="J3903" s="3" t="s">
        <v>580</v>
      </c>
      <c r="K3903" s="4">
        <v>3350001</v>
      </c>
      <c r="M3903" s="51"/>
    </row>
    <row r="3904" spans="2:13" x14ac:dyDescent="0.3">
      <c r="B3904" s="44">
        <v>46088</v>
      </c>
      <c r="C3904" s="3" t="s">
        <v>416</v>
      </c>
      <c r="D3904" s="3" t="s">
        <v>60</v>
      </c>
      <c r="E3904" s="42"/>
      <c r="F3904" s="3" t="s">
        <v>707</v>
      </c>
      <c r="G3904" s="3" t="s">
        <v>295</v>
      </c>
      <c r="H3904" s="4">
        <v>3207505</v>
      </c>
      <c r="I3904" s="3" t="s">
        <v>698</v>
      </c>
      <c r="J3904" s="3" t="s">
        <v>595</v>
      </c>
      <c r="K3904" s="32" t="s">
        <v>563</v>
      </c>
    </row>
    <row r="3905" spans="1:43" x14ac:dyDescent="0.3">
      <c r="B3905" s="44">
        <v>46088</v>
      </c>
      <c r="C3905" s="3" t="s">
        <v>416</v>
      </c>
      <c r="D3905" s="3" t="s">
        <v>490</v>
      </c>
      <c r="E3905" s="4"/>
      <c r="F3905" s="3" t="s">
        <v>472</v>
      </c>
      <c r="G3905" s="3" t="s">
        <v>140</v>
      </c>
      <c r="H3905" s="4">
        <v>3357900</v>
      </c>
      <c r="I3905" s="4" t="s">
        <v>653</v>
      </c>
      <c r="J3905" s="4" t="s">
        <v>126</v>
      </c>
      <c r="K3905" s="4">
        <v>3361402</v>
      </c>
    </row>
    <row r="3906" spans="1:43" x14ac:dyDescent="0.3">
      <c r="B3906" s="44">
        <v>46088</v>
      </c>
      <c r="C3906" s="3" t="s">
        <v>416</v>
      </c>
      <c r="D3906" s="3" t="s">
        <v>67</v>
      </c>
      <c r="E3906" s="42"/>
      <c r="F3906" s="4" t="s">
        <v>472</v>
      </c>
      <c r="G3906" s="4" t="s">
        <v>338</v>
      </c>
      <c r="H3906" s="4">
        <v>3207307</v>
      </c>
      <c r="I3906" s="4" t="s">
        <v>475</v>
      </c>
      <c r="J3906" s="4" t="s">
        <v>336</v>
      </c>
      <c r="K3906" s="4">
        <v>3211809</v>
      </c>
    </row>
    <row r="3907" spans="1:43" x14ac:dyDescent="0.3">
      <c r="B3907" s="44">
        <v>46088</v>
      </c>
      <c r="C3907" s="3" t="s">
        <v>416</v>
      </c>
      <c r="D3907" s="3" t="s">
        <v>494</v>
      </c>
      <c r="E3907" s="42"/>
      <c r="F3907" s="4" t="s">
        <v>472</v>
      </c>
      <c r="G3907" s="4" t="s">
        <v>185</v>
      </c>
      <c r="H3907" s="4">
        <v>3357806</v>
      </c>
      <c r="I3907" s="4" t="s">
        <v>472</v>
      </c>
      <c r="J3907" s="4" t="s">
        <v>186</v>
      </c>
      <c r="K3907" s="4">
        <v>3357702</v>
      </c>
    </row>
    <row r="3908" spans="1:43" x14ac:dyDescent="0.3">
      <c r="B3908" s="44">
        <v>46088</v>
      </c>
      <c r="C3908" s="3" t="s">
        <v>416</v>
      </c>
      <c r="D3908" s="3" t="s">
        <v>67</v>
      </c>
      <c r="E3908" s="42"/>
      <c r="F3908" s="3" t="s">
        <v>472</v>
      </c>
      <c r="G3908" s="3" t="s">
        <v>374</v>
      </c>
      <c r="H3908" s="4">
        <v>3207203</v>
      </c>
      <c r="I3908" s="3" t="s">
        <v>647</v>
      </c>
      <c r="J3908" s="3" t="s">
        <v>345</v>
      </c>
      <c r="K3908" s="4">
        <v>3194003</v>
      </c>
    </row>
    <row r="3909" spans="1:43" x14ac:dyDescent="0.3">
      <c r="B3909" s="44">
        <v>46088</v>
      </c>
      <c r="C3909" s="3" t="s">
        <v>416</v>
      </c>
      <c r="D3909" s="3" t="s">
        <v>498</v>
      </c>
      <c r="E3909" s="42"/>
      <c r="F3909" s="3" t="s">
        <v>472</v>
      </c>
      <c r="G3909" s="3" t="s">
        <v>244</v>
      </c>
      <c r="H3909" s="4">
        <v>3357504</v>
      </c>
      <c r="I3909" s="3" t="s">
        <v>472</v>
      </c>
      <c r="J3909" s="3" t="s">
        <v>219</v>
      </c>
      <c r="K3909" s="4">
        <v>3357608</v>
      </c>
    </row>
    <row r="3910" spans="1:43" x14ac:dyDescent="0.3">
      <c r="B3910" s="44">
        <v>46088</v>
      </c>
      <c r="C3910" s="3" t="s">
        <v>416</v>
      </c>
      <c r="D3910" s="3" t="s">
        <v>499</v>
      </c>
      <c r="E3910" s="42"/>
      <c r="F3910" s="3" t="s">
        <v>665</v>
      </c>
      <c r="G3910" s="3" t="s">
        <v>461</v>
      </c>
      <c r="H3910" s="4">
        <v>3818702</v>
      </c>
      <c r="I3910" s="3" t="s">
        <v>675</v>
      </c>
      <c r="J3910" s="3" t="s">
        <v>572</v>
      </c>
      <c r="K3910" s="53">
        <v>3350303</v>
      </c>
    </row>
    <row r="3911" spans="1:43" x14ac:dyDescent="0.3">
      <c r="B3911" s="44">
        <v>46088</v>
      </c>
      <c r="C3911" s="3" t="s">
        <v>416</v>
      </c>
      <c r="D3911" s="3" t="s">
        <v>57</v>
      </c>
      <c r="E3911" s="42"/>
      <c r="F3911" s="3" t="s">
        <v>693</v>
      </c>
      <c r="G3911" s="3" t="s">
        <v>258</v>
      </c>
      <c r="H3911" s="4">
        <v>3207109</v>
      </c>
      <c r="I3911" s="3" t="s">
        <v>667</v>
      </c>
      <c r="J3911" s="3" t="s">
        <v>257</v>
      </c>
      <c r="K3911" s="4">
        <v>3209805</v>
      </c>
    </row>
    <row r="3912" spans="1:43" x14ac:dyDescent="0.3">
      <c r="B3912" s="44">
        <v>46088</v>
      </c>
      <c r="C3912" s="3" t="s">
        <v>416</v>
      </c>
      <c r="D3912" s="3" t="s">
        <v>593</v>
      </c>
      <c r="E3912" s="42"/>
      <c r="F3912" s="3" t="s">
        <v>693</v>
      </c>
      <c r="G3912" s="3" t="s">
        <v>629</v>
      </c>
      <c r="H3912" s="4">
        <v>3961708</v>
      </c>
      <c r="I3912" s="4" t="s">
        <v>476</v>
      </c>
      <c r="J3912" s="4" t="s">
        <v>630</v>
      </c>
      <c r="K3912" s="4">
        <v>3206308</v>
      </c>
    </row>
    <row r="3913" spans="1:43" x14ac:dyDescent="0.3">
      <c r="B3913" s="44">
        <v>46088</v>
      </c>
      <c r="C3913" s="3" t="s">
        <v>416</v>
      </c>
      <c r="D3913" s="3" t="s">
        <v>57</v>
      </c>
      <c r="E3913" s="42"/>
      <c r="F3913" s="32" t="s">
        <v>476</v>
      </c>
      <c r="G3913" s="32" t="s">
        <v>249</v>
      </c>
      <c r="H3913" s="15">
        <v>3038202</v>
      </c>
      <c r="I3913" s="4" t="s">
        <v>680</v>
      </c>
      <c r="J3913" s="4" t="s">
        <v>266</v>
      </c>
      <c r="K3913" s="4">
        <v>3208306</v>
      </c>
    </row>
    <row r="3914" spans="1:43" x14ac:dyDescent="0.3">
      <c r="B3914" s="44">
        <v>46088</v>
      </c>
      <c r="C3914" s="3" t="s">
        <v>416</v>
      </c>
      <c r="D3914" s="3" t="s">
        <v>489</v>
      </c>
      <c r="E3914" s="4"/>
      <c r="F3914" s="4" t="s">
        <v>476</v>
      </c>
      <c r="G3914" s="4" t="s">
        <v>128</v>
      </c>
      <c r="H3914" s="4">
        <v>3357202</v>
      </c>
      <c r="I3914" s="3" t="s">
        <v>671</v>
      </c>
      <c r="J3914" s="3" t="s">
        <v>156</v>
      </c>
      <c r="K3914" s="4">
        <v>3359200</v>
      </c>
    </row>
    <row r="3915" spans="1:43" x14ac:dyDescent="0.3">
      <c r="B3915" s="44">
        <v>46088</v>
      </c>
      <c r="C3915" s="3" t="s">
        <v>416</v>
      </c>
      <c r="D3915" s="3" t="s">
        <v>59</v>
      </c>
      <c r="E3915" s="42"/>
      <c r="F3915" s="3" t="s">
        <v>476</v>
      </c>
      <c r="G3915" s="3" t="s">
        <v>274</v>
      </c>
      <c r="H3915" s="4">
        <v>3206902</v>
      </c>
      <c r="I3915" s="3" t="s">
        <v>479</v>
      </c>
      <c r="J3915" s="3" t="s">
        <v>273</v>
      </c>
      <c r="K3915" s="4">
        <v>3211007</v>
      </c>
    </row>
    <row r="3916" spans="1:43" x14ac:dyDescent="0.3">
      <c r="B3916" s="44">
        <v>46088</v>
      </c>
      <c r="C3916" s="3" t="s">
        <v>416</v>
      </c>
      <c r="D3916" s="3" t="s">
        <v>490</v>
      </c>
      <c r="E3916" s="4"/>
      <c r="F3916" s="3" t="s">
        <v>476</v>
      </c>
      <c r="G3916" s="3" t="s">
        <v>168</v>
      </c>
      <c r="H3916" s="4">
        <v>3356505</v>
      </c>
      <c r="I3916" s="4" t="s">
        <v>660</v>
      </c>
      <c r="J3916" s="4" t="s">
        <v>137</v>
      </c>
      <c r="K3916" s="4">
        <v>3359908</v>
      </c>
    </row>
    <row r="3917" spans="1:43" x14ac:dyDescent="0.3">
      <c r="B3917" s="44">
        <v>46088</v>
      </c>
      <c r="C3917" s="3" t="s">
        <v>416</v>
      </c>
      <c r="D3917" s="3" t="s">
        <v>65</v>
      </c>
      <c r="E3917" s="42"/>
      <c r="F3917" s="3" t="s">
        <v>476</v>
      </c>
      <c r="G3917" s="3" t="s">
        <v>358</v>
      </c>
      <c r="H3917" s="4">
        <v>3206402</v>
      </c>
      <c r="I3917" s="4" t="s">
        <v>471</v>
      </c>
      <c r="J3917" s="4" t="s">
        <v>363</v>
      </c>
      <c r="K3917" s="4">
        <v>3196907</v>
      </c>
    </row>
    <row r="3918" spans="1:43" x14ac:dyDescent="0.3">
      <c r="B3918" s="44">
        <v>46088</v>
      </c>
      <c r="C3918" s="3" t="s">
        <v>416</v>
      </c>
      <c r="D3918" s="3" t="s">
        <v>500</v>
      </c>
      <c r="E3918" s="42"/>
      <c r="F3918" s="3" t="s">
        <v>476</v>
      </c>
      <c r="G3918" s="3" t="s">
        <v>575</v>
      </c>
      <c r="H3918" s="4">
        <v>3900005</v>
      </c>
      <c r="I3918" s="4" t="s">
        <v>657</v>
      </c>
      <c r="J3918" s="4" t="s">
        <v>574</v>
      </c>
      <c r="K3918" s="4">
        <v>3359606</v>
      </c>
    </row>
    <row r="3919" spans="1:43" x14ac:dyDescent="0.3">
      <c r="A3919" s="4"/>
      <c r="B3919" s="100">
        <v>46088</v>
      </c>
      <c r="C3919" s="98" t="s">
        <v>553</v>
      </c>
      <c r="D3919" s="4" t="s">
        <v>508</v>
      </c>
      <c r="E3919" s="4"/>
      <c r="F3919" s="73" t="s">
        <v>534</v>
      </c>
      <c r="G3919" s="73" t="s">
        <v>524</v>
      </c>
      <c r="H3919" s="73"/>
      <c r="I3919" s="73" t="s">
        <v>473</v>
      </c>
      <c r="J3919" s="73" t="s">
        <v>473</v>
      </c>
      <c r="K3919" s="15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</row>
    <row r="3920" spans="1:43" x14ac:dyDescent="0.3">
      <c r="B3920" s="44">
        <v>46088</v>
      </c>
      <c r="C3920" s="3" t="s">
        <v>416</v>
      </c>
      <c r="D3920" s="3" t="s">
        <v>57</v>
      </c>
      <c r="E3920" s="42"/>
      <c r="F3920" s="4" t="s">
        <v>666</v>
      </c>
      <c r="G3920" s="4" t="s">
        <v>259</v>
      </c>
      <c r="H3920" s="4">
        <v>3205809</v>
      </c>
      <c r="I3920" s="32" t="s">
        <v>709</v>
      </c>
      <c r="J3920" s="32" t="s">
        <v>268</v>
      </c>
      <c r="K3920" s="15">
        <v>3203103</v>
      </c>
    </row>
    <row r="3921" spans="1:43" x14ac:dyDescent="0.3">
      <c r="B3921" s="44">
        <v>46088</v>
      </c>
      <c r="C3921" s="3" t="s">
        <v>416</v>
      </c>
      <c r="D3921" s="3" t="s">
        <v>610</v>
      </c>
      <c r="E3921" s="42"/>
      <c r="F3921" s="3" t="s">
        <v>666</v>
      </c>
      <c r="G3921" s="3" t="s">
        <v>348</v>
      </c>
      <c r="H3921" s="4">
        <v>3205903</v>
      </c>
      <c r="I3921" s="4" t="s">
        <v>652</v>
      </c>
      <c r="J3921" s="4" t="s">
        <v>347</v>
      </c>
      <c r="K3921" s="4">
        <v>3818504</v>
      </c>
    </row>
    <row r="3922" spans="1:43" x14ac:dyDescent="0.3">
      <c r="B3922" s="44">
        <v>46088</v>
      </c>
      <c r="C3922" s="3" t="s">
        <v>416</v>
      </c>
      <c r="D3922" s="3" t="s">
        <v>495</v>
      </c>
      <c r="E3922" s="42"/>
      <c r="F3922" s="3" t="s">
        <v>666</v>
      </c>
      <c r="G3922" s="3" t="s">
        <v>192</v>
      </c>
      <c r="H3922" s="53">
        <v>3357004</v>
      </c>
      <c r="I3922" s="3" t="s">
        <v>699</v>
      </c>
      <c r="J3922" s="3" t="s">
        <v>569</v>
      </c>
      <c r="K3922" s="4">
        <v>3125708</v>
      </c>
    </row>
    <row r="3923" spans="1:43" x14ac:dyDescent="0.3">
      <c r="A3923" s="4"/>
      <c r="B3923" s="100">
        <v>46088</v>
      </c>
      <c r="C3923" s="98" t="s">
        <v>553</v>
      </c>
      <c r="D3923" s="4" t="s">
        <v>508</v>
      </c>
      <c r="E3923" s="4"/>
      <c r="F3923" s="73" t="s">
        <v>478</v>
      </c>
      <c r="G3923" s="73" t="s">
        <v>478</v>
      </c>
      <c r="H3923" s="73"/>
      <c r="I3923" s="73" t="s">
        <v>511</v>
      </c>
      <c r="J3923" s="73" t="s">
        <v>511</v>
      </c>
      <c r="K3923" s="15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</row>
    <row r="3924" spans="1:43" x14ac:dyDescent="0.3">
      <c r="B3924" s="44">
        <v>46088</v>
      </c>
      <c r="C3924" s="3" t="s">
        <v>416</v>
      </c>
      <c r="D3924" s="3" t="s">
        <v>57</v>
      </c>
      <c r="E3924" s="42"/>
      <c r="F3924" s="73" t="s">
        <v>478</v>
      </c>
      <c r="G3924" s="73" t="s">
        <v>260</v>
      </c>
      <c r="H3924" s="15">
        <v>3205705</v>
      </c>
      <c r="I3924" s="74" t="s">
        <v>694</v>
      </c>
      <c r="J3924" s="74" t="s">
        <v>276</v>
      </c>
      <c r="K3924" s="74">
        <v>3201709</v>
      </c>
    </row>
    <row r="3925" spans="1:43" x14ac:dyDescent="0.3">
      <c r="B3925" s="44">
        <v>46088</v>
      </c>
      <c r="C3925" s="3" t="s">
        <v>416</v>
      </c>
      <c r="D3925" s="3" t="s">
        <v>58</v>
      </c>
      <c r="E3925" s="42"/>
      <c r="F3925" s="32" t="s">
        <v>478</v>
      </c>
      <c r="G3925" s="32" t="s">
        <v>267</v>
      </c>
      <c r="H3925" s="15">
        <v>3205205</v>
      </c>
      <c r="I3925" s="3" t="s">
        <v>703</v>
      </c>
      <c r="J3925" s="3" t="s">
        <v>586</v>
      </c>
      <c r="K3925" s="32" t="s">
        <v>588</v>
      </c>
    </row>
    <row r="3926" spans="1:43" x14ac:dyDescent="0.3">
      <c r="B3926" s="44">
        <v>46088</v>
      </c>
      <c r="C3926" s="3" t="s">
        <v>416</v>
      </c>
      <c r="D3926" s="3" t="s">
        <v>61</v>
      </c>
      <c r="E3926" s="42"/>
      <c r="F3926" s="4" t="s">
        <v>478</v>
      </c>
      <c r="G3926" s="4" t="s">
        <v>330</v>
      </c>
      <c r="H3926" s="4">
        <v>3205309</v>
      </c>
      <c r="I3926" s="4" t="s">
        <v>658</v>
      </c>
      <c r="J3926" s="4" t="s">
        <v>301</v>
      </c>
      <c r="K3926" s="4">
        <v>3210300</v>
      </c>
    </row>
    <row r="3927" spans="1:43" x14ac:dyDescent="0.3">
      <c r="B3927" s="44">
        <v>46088</v>
      </c>
      <c r="C3927" s="3" t="s">
        <v>416</v>
      </c>
      <c r="D3927" s="3" t="s">
        <v>56</v>
      </c>
      <c r="E3927" s="42"/>
      <c r="F3927" s="3" t="s">
        <v>690</v>
      </c>
      <c r="G3927" s="3" t="s">
        <v>250</v>
      </c>
      <c r="H3927" s="4">
        <v>3070100</v>
      </c>
      <c r="I3927" s="106" t="s">
        <v>672</v>
      </c>
      <c r="J3927" s="106" t="s">
        <v>252</v>
      </c>
      <c r="K3927" s="106">
        <v>3070204</v>
      </c>
    </row>
    <row r="3928" spans="1:43" x14ac:dyDescent="0.3">
      <c r="B3928" s="44">
        <v>46088</v>
      </c>
      <c r="C3928" s="3" t="s">
        <v>416</v>
      </c>
      <c r="D3928" s="3" t="s">
        <v>58</v>
      </c>
      <c r="E3928" s="42"/>
      <c r="F3928" s="3" t="s">
        <v>690</v>
      </c>
      <c r="G3928" s="3" t="s">
        <v>303</v>
      </c>
      <c r="H3928" s="4">
        <v>3205101</v>
      </c>
      <c r="I3928" s="3" t="s">
        <v>683</v>
      </c>
      <c r="J3928" s="3" t="s">
        <v>305</v>
      </c>
      <c r="K3928" s="32">
        <v>3202906</v>
      </c>
    </row>
    <row r="3929" spans="1:43" x14ac:dyDescent="0.3">
      <c r="B3929" s="44">
        <v>46088</v>
      </c>
      <c r="C3929" s="3" t="s">
        <v>416</v>
      </c>
      <c r="D3929" s="3" t="s">
        <v>61</v>
      </c>
      <c r="E3929" s="42"/>
      <c r="F3929" s="3" t="s">
        <v>690</v>
      </c>
      <c r="G3929" s="3" t="s">
        <v>304</v>
      </c>
      <c r="H3929" s="4">
        <v>3204404</v>
      </c>
      <c r="I3929" s="106" t="s">
        <v>659</v>
      </c>
      <c r="J3929" s="106" t="s">
        <v>367</v>
      </c>
      <c r="K3929" s="106">
        <v>3208806</v>
      </c>
    </row>
    <row r="3930" spans="1:43" x14ac:dyDescent="0.3">
      <c r="B3930" s="44">
        <v>46088</v>
      </c>
      <c r="C3930" s="3" t="s">
        <v>416</v>
      </c>
      <c r="D3930" s="3" t="s">
        <v>57</v>
      </c>
      <c r="E3930" s="42"/>
      <c r="F3930" s="3" t="s">
        <v>682</v>
      </c>
      <c r="G3930" s="3" t="s">
        <v>584</v>
      </c>
      <c r="H3930" s="4">
        <v>3069303</v>
      </c>
      <c r="I3930" s="15" t="s">
        <v>703</v>
      </c>
      <c r="J3930" s="15" t="s">
        <v>585</v>
      </c>
      <c r="K3930" s="74" t="s">
        <v>556</v>
      </c>
    </row>
    <row r="3931" spans="1:43" x14ac:dyDescent="0.3">
      <c r="B3931" s="44">
        <v>46088</v>
      </c>
      <c r="C3931" s="3" t="s">
        <v>416</v>
      </c>
      <c r="D3931" s="3" t="s">
        <v>489</v>
      </c>
      <c r="E3931" s="4"/>
      <c r="F3931" s="4" t="s">
        <v>682</v>
      </c>
      <c r="G3931" s="4" t="s">
        <v>564</v>
      </c>
      <c r="H3931" s="4">
        <v>3969804</v>
      </c>
      <c r="I3931" s="3" t="s">
        <v>688</v>
      </c>
      <c r="J3931" s="3" t="s">
        <v>10</v>
      </c>
      <c r="K3931" s="4">
        <v>3036204</v>
      </c>
    </row>
    <row r="3932" spans="1:43" x14ac:dyDescent="0.3">
      <c r="B3932" s="44">
        <v>46088</v>
      </c>
      <c r="C3932" s="3" t="s">
        <v>416</v>
      </c>
      <c r="D3932" s="3" t="s">
        <v>592</v>
      </c>
      <c r="E3932" s="42"/>
      <c r="F3932" s="3" t="s">
        <v>682</v>
      </c>
      <c r="G3932" s="3" t="s">
        <v>635</v>
      </c>
      <c r="H3932" s="74">
        <v>3969700</v>
      </c>
      <c r="I3932" s="3" t="s">
        <v>670</v>
      </c>
      <c r="J3932" s="3" t="s">
        <v>636</v>
      </c>
      <c r="K3932" s="74">
        <v>3195502</v>
      </c>
    </row>
    <row r="3933" spans="1:43" x14ac:dyDescent="0.3">
      <c r="B3933" s="44">
        <v>46088</v>
      </c>
      <c r="C3933" s="3" t="s">
        <v>416</v>
      </c>
      <c r="D3933" s="3" t="s">
        <v>62</v>
      </c>
      <c r="E3933" s="42"/>
      <c r="F3933" s="3" t="s">
        <v>700</v>
      </c>
      <c r="G3933" s="3" t="s">
        <v>442</v>
      </c>
      <c r="H3933" s="4">
        <v>3205007</v>
      </c>
      <c r="I3933" s="4" t="s">
        <v>476</v>
      </c>
      <c r="J3933" s="4" t="s">
        <v>287</v>
      </c>
      <c r="K3933" s="4">
        <v>3206600</v>
      </c>
    </row>
    <row r="3934" spans="1:43" x14ac:dyDescent="0.3">
      <c r="B3934" s="44">
        <v>46088</v>
      </c>
      <c r="C3934" s="3" t="s">
        <v>416</v>
      </c>
      <c r="D3934" s="3" t="s">
        <v>493</v>
      </c>
      <c r="E3934" s="42"/>
      <c r="F3934" s="3" t="s">
        <v>701</v>
      </c>
      <c r="G3934" s="3" t="s">
        <v>171</v>
      </c>
      <c r="H3934" s="4">
        <v>3355600</v>
      </c>
      <c r="I3934" s="4" t="s">
        <v>476</v>
      </c>
      <c r="J3934" s="4" t="s">
        <v>170</v>
      </c>
      <c r="K3934" s="4">
        <v>3356703</v>
      </c>
    </row>
    <row r="3935" spans="1:43" x14ac:dyDescent="0.3">
      <c r="B3935" s="44">
        <v>46088</v>
      </c>
      <c r="C3935" s="3" t="s">
        <v>416</v>
      </c>
      <c r="D3935" s="3" t="s">
        <v>62</v>
      </c>
      <c r="E3935" s="42"/>
      <c r="F3935" s="3" t="s">
        <v>701</v>
      </c>
      <c r="G3935" s="3" t="s">
        <v>360</v>
      </c>
      <c r="H3935" s="4">
        <v>3203801</v>
      </c>
      <c r="I3935" s="3" t="s">
        <v>679</v>
      </c>
      <c r="J3935" s="3" t="s">
        <v>292</v>
      </c>
      <c r="K3935" s="4">
        <v>3195304</v>
      </c>
    </row>
    <row r="3936" spans="1:43" x14ac:dyDescent="0.3">
      <c r="B3936" s="44">
        <v>46088</v>
      </c>
      <c r="C3936" s="3" t="s">
        <v>416</v>
      </c>
      <c r="D3936" s="3" t="s">
        <v>500</v>
      </c>
      <c r="E3936" s="42"/>
      <c r="F3936" s="3" t="s">
        <v>701</v>
      </c>
      <c r="G3936" s="3" t="s">
        <v>236</v>
      </c>
      <c r="H3936" s="4">
        <v>3355704</v>
      </c>
      <c r="I3936" s="4" t="s">
        <v>663</v>
      </c>
      <c r="J3936" s="4" t="s">
        <v>239</v>
      </c>
      <c r="K3936" s="4">
        <v>3348809</v>
      </c>
    </row>
    <row r="3937" spans="2:13" x14ac:dyDescent="0.3">
      <c r="B3937" s="44">
        <v>46088</v>
      </c>
      <c r="C3937" s="3" t="s">
        <v>416</v>
      </c>
      <c r="D3937" s="3" t="s">
        <v>593</v>
      </c>
      <c r="E3937" s="42"/>
      <c r="F3937" s="3" t="s">
        <v>701</v>
      </c>
      <c r="G3937" s="3" t="s">
        <v>631</v>
      </c>
      <c r="H3937" s="4">
        <v>4023209</v>
      </c>
      <c r="I3937" s="4" t="s">
        <v>661</v>
      </c>
      <c r="J3937" s="4" t="s">
        <v>640</v>
      </c>
      <c r="K3937" s="4">
        <v>3210102</v>
      </c>
    </row>
    <row r="3938" spans="2:13" x14ac:dyDescent="0.3">
      <c r="B3938" s="44">
        <v>46088</v>
      </c>
      <c r="C3938" s="3" t="s">
        <v>416</v>
      </c>
      <c r="D3938" s="3" t="s">
        <v>58</v>
      </c>
      <c r="E3938" s="42"/>
      <c r="F3938" s="3" t="s">
        <v>702</v>
      </c>
      <c r="G3938" s="3" t="s">
        <v>447</v>
      </c>
      <c r="H3938" s="4">
        <v>3055207</v>
      </c>
      <c r="I3938" s="3" t="s">
        <v>659</v>
      </c>
      <c r="J3938" s="3" t="s">
        <v>265</v>
      </c>
      <c r="K3938" s="32">
        <v>3208702</v>
      </c>
    </row>
    <row r="3939" spans="2:13" x14ac:dyDescent="0.3">
      <c r="B3939" s="44">
        <v>46088</v>
      </c>
      <c r="C3939" s="3" t="s">
        <v>416</v>
      </c>
      <c r="D3939" s="3" t="s">
        <v>60</v>
      </c>
      <c r="E3939" s="42"/>
      <c r="F3939" s="3" t="s">
        <v>695</v>
      </c>
      <c r="G3939" s="3" t="s">
        <v>296</v>
      </c>
      <c r="H3939" s="4">
        <v>3203905</v>
      </c>
      <c r="I3939" s="3" t="s">
        <v>473</v>
      </c>
      <c r="J3939" s="3" t="s">
        <v>446</v>
      </c>
      <c r="K3939" s="32">
        <v>3204206</v>
      </c>
    </row>
    <row r="3940" spans="2:13" x14ac:dyDescent="0.3">
      <c r="B3940" s="44">
        <v>46088</v>
      </c>
      <c r="C3940" s="3" t="s">
        <v>416</v>
      </c>
      <c r="D3940" s="3" t="s">
        <v>488</v>
      </c>
      <c r="E3940" s="42"/>
      <c r="F3940" s="4" t="s">
        <v>695</v>
      </c>
      <c r="G3940" s="4" t="s">
        <v>147</v>
      </c>
      <c r="H3940" s="4">
        <v>3067409</v>
      </c>
      <c r="I3940" s="4" t="s">
        <v>697</v>
      </c>
      <c r="J3940" s="4" t="s">
        <v>122</v>
      </c>
      <c r="K3940" s="4">
        <v>3353800</v>
      </c>
    </row>
    <row r="3941" spans="2:13" x14ac:dyDescent="0.3">
      <c r="B3941" s="44">
        <v>46088</v>
      </c>
      <c r="C3941" s="3" t="s">
        <v>416</v>
      </c>
      <c r="D3941" s="3" t="s">
        <v>488</v>
      </c>
      <c r="E3941" s="42"/>
      <c r="F3941" s="3" t="s">
        <v>704</v>
      </c>
      <c r="G3941" s="3" t="s">
        <v>120</v>
      </c>
      <c r="H3941" s="4">
        <v>3355506</v>
      </c>
      <c r="I3941" s="3" t="s">
        <v>680</v>
      </c>
      <c r="J3941" s="3" t="s">
        <v>117</v>
      </c>
      <c r="K3941" s="4">
        <v>3359002</v>
      </c>
    </row>
    <row r="3942" spans="2:13" x14ac:dyDescent="0.3">
      <c r="B3942" s="44">
        <v>46088</v>
      </c>
      <c r="C3942" s="3" t="s">
        <v>416</v>
      </c>
      <c r="D3942" s="3" t="s">
        <v>67</v>
      </c>
      <c r="E3942" s="42"/>
      <c r="F3942" s="4" t="s">
        <v>708</v>
      </c>
      <c r="G3942" s="4" t="s">
        <v>339</v>
      </c>
      <c r="H3942" s="4">
        <v>3204300</v>
      </c>
      <c r="I3942" s="4" t="s">
        <v>717</v>
      </c>
      <c r="J3942" s="4" t="s">
        <v>435</v>
      </c>
      <c r="K3942" s="4">
        <v>3195200</v>
      </c>
    </row>
    <row r="3943" spans="2:13" x14ac:dyDescent="0.3">
      <c r="B3943" s="44">
        <v>46088</v>
      </c>
      <c r="C3943" s="3" t="s">
        <v>416</v>
      </c>
      <c r="D3943" s="3" t="s">
        <v>501</v>
      </c>
      <c r="E3943" s="42"/>
      <c r="F3943" s="3" t="s">
        <v>708</v>
      </c>
      <c r="G3943" s="3" t="s">
        <v>598</v>
      </c>
      <c r="H3943" s="4">
        <v>3354903</v>
      </c>
      <c r="I3943" s="3" t="s">
        <v>472</v>
      </c>
      <c r="J3943" s="3" t="s">
        <v>578</v>
      </c>
      <c r="K3943" s="4">
        <v>4022700</v>
      </c>
      <c r="M3943" s="51"/>
    </row>
    <row r="3944" spans="2:13" x14ac:dyDescent="0.3">
      <c r="B3944" s="44">
        <v>46088</v>
      </c>
      <c r="C3944" s="3" t="s">
        <v>416</v>
      </c>
      <c r="D3944" s="3" t="s">
        <v>488</v>
      </c>
      <c r="E3944" s="42"/>
      <c r="F3944" s="3" t="s">
        <v>703</v>
      </c>
      <c r="G3944" s="3" t="s">
        <v>560</v>
      </c>
      <c r="H3944" s="4" t="s">
        <v>562</v>
      </c>
      <c r="I3944" s="3" t="s">
        <v>690</v>
      </c>
      <c r="J3944" s="3" t="s">
        <v>118</v>
      </c>
      <c r="K3944" s="4">
        <v>3356005</v>
      </c>
    </row>
    <row r="3945" spans="2:13" x14ac:dyDescent="0.3">
      <c r="B3945" s="44">
        <v>46088</v>
      </c>
      <c r="C3945" s="3" t="s">
        <v>416</v>
      </c>
      <c r="D3945" s="3" t="s">
        <v>491</v>
      </c>
      <c r="E3945" s="42"/>
      <c r="F3945" s="4" t="s">
        <v>709</v>
      </c>
      <c r="G3945" s="4" t="s">
        <v>566</v>
      </c>
      <c r="H3945" s="4">
        <v>3560703</v>
      </c>
      <c r="I3945" s="3" t="s">
        <v>478</v>
      </c>
      <c r="J3945" s="3" t="s">
        <v>463</v>
      </c>
      <c r="K3945" s="74">
        <v>3125500</v>
      </c>
    </row>
    <row r="3946" spans="2:13" x14ac:dyDescent="0.3">
      <c r="B3946" s="44">
        <v>46088</v>
      </c>
      <c r="C3946" s="3" t="s">
        <v>416</v>
      </c>
      <c r="D3946" s="3" t="s">
        <v>66</v>
      </c>
      <c r="E3946" s="42"/>
      <c r="F3946" s="3" t="s">
        <v>709</v>
      </c>
      <c r="G3946" s="3" t="s">
        <v>607</v>
      </c>
      <c r="H3946" s="4">
        <v>3596309</v>
      </c>
      <c r="I3946" s="3" t="s">
        <v>684</v>
      </c>
      <c r="J3946" s="3" t="s">
        <v>608</v>
      </c>
      <c r="K3946" s="74">
        <v>3819107</v>
      </c>
    </row>
    <row r="3947" spans="2:13" x14ac:dyDescent="0.3">
      <c r="B3947" s="44">
        <v>46088</v>
      </c>
      <c r="C3947" s="3" t="s">
        <v>416</v>
      </c>
      <c r="D3947" s="3" t="s">
        <v>61</v>
      </c>
      <c r="E3947" s="42"/>
      <c r="F3947" s="3" t="s">
        <v>684</v>
      </c>
      <c r="G3947" s="3" t="s">
        <v>306</v>
      </c>
      <c r="H3947" s="4">
        <v>3202604</v>
      </c>
      <c r="I3947" s="3" t="s">
        <v>645</v>
      </c>
      <c r="J3947" s="3" t="s">
        <v>309</v>
      </c>
      <c r="K3947" s="4">
        <v>3082104</v>
      </c>
    </row>
    <row r="3948" spans="2:13" x14ac:dyDescent="0.3">
      <c r="B3948" s="44">
        <v>46088</v>
      </c>
      <c r="C3948" s="3" t="s">
        <v>416</v>
      </c>
      <c r="D3948" s="3" t="s">
        <v>491</v>
      </c>
      <c r="E3948" s="42"/>
      <c r="F3948" s="3" t="s">
        <v>684</v>
      </c>
      <c r="G3948" s="3" t="s">
        <v>149</v>
      </c>
      <c r="H3948" s="4">
        <v>3354507</v>
      </c>
      <c r="I3948" s="4" t="s">
        <v>645</v>
      </c>
      <c r="J3948" s="4" t="s">
        <v>464</v>
      </c>
      <c r="K3948" s="4">
        <v>3351406</v>
      </c>
    </row>
    <row r="3949" spans="2:13" x14ac:dyDescent="0.3">
      <c r="B3949" s="44">
        <v>46088</v>
      </c>
      <c r="C3949" s="3" t="s">
        <v>416</v>
      </c>
      <c r="D3949" s="3" t="s">
        <v>63</v>
      </c>
      <c r="E3949" s="42"/>
      <c r="F3949" s="3" t="s">
        <v>684</v>
      </c>
      <c r="G3949" s="3" t="s">
        <v>369</v>
      </c>
      <c r="H3949" s="74">
        <v>3202708</v>
      </c>
      <c r="I3949" s="3" t="s">
        <v>658</v>
      </c>
      <c r="J3949" s="3" t="s">
        <v>366</v>
      </c>
      <c r="K3949" s="74">
        <v>3210404</v>
      </c>
    </row>
    <row r="3950" spans="2:13" x14ac:dyDescent="0.3">
      <c r="B3950" s="44">
        <v>46088</v>
      </c>
      <c r="C3950" s="3" t="s">
        <v>416</v>
      </c>
      <c r="D3950" s="3" t="s">
        <v>491</v>
      </c>
      <c r="E3950" s="42"/>
      <c r="F3950" s="104" t="s">
        <v>684</v>
      </c>
      <c r="G3950" s="104" t="s">
        <v>182</v>
      </c>
      <c r="H3950" s="53">
        <v>3900203</v>
      </c>
      <c r="I3950" s="3" t="s">
        <v>690</v>
      </c>
      <c r="J3950" s="3" t="s">
        <v>179</v>
      </c>
      <c r="K3950" s="4">
        <v>3818900</v>
      </c>
    </row>
    <row r="3951" spans="2:13" x14ac:dyDescent="0.3">
      <c r="B3951" s="44">
        <v>46088</v>
      </c>
      <c r="C3951" s="3" t="s">
        <v>416</v>
      </c>
      <c r="D3951" s="3" t="s">
        <v>56</v>
      </c>
      <c r="E3951" s="42"/>
      <c r="F3951" s="3" t="s">
        <v>646</v>
      </c>
      <c r="G3951" s="3" t="s">
        <v>251</v>
      </c>
      <c r="H3951" s="4">
        <v>3036704</v>
      </c>
      <c r="I3951" s="73" t="s">
        <v>474</v>
      </c>
      <c r="J3951" s="73" t="s">
        <v>253</v>
      </c>
      <c r="K3951" s="4">
        <v>3037109</v>
      </c>
    </row>
    <row r="3952" spans="2:13" x14ac:dyDescent="0.3">
      <c r="B3952" s="44">
        <v>46088</v>
      </c>
      <c r="C3952" s="3" t="s">
        <v>416</v>
      </c>
      <c r="D3952" s="3" t="s">
        <v>492</v>
      </c>
      <c r="E3952" s="42"/>
      <c r="F3952" s="3" t="s">
        <v>646</v>
      </c>
      <c r="G3952" s="3" t="s">
        <v>159</v>
      </c>
      <c r="H3952" s="4">
        <v>3354403</v>
      </c>
      <c r="I3952" s="3" t="s">
        <v>649</v>
      </c>
      <c r="J3952" s="3" t="s">
        <v>154</v>
      </c>
      <c r="K3952" s="4">
        <v>3362109</v>
      </c>
    </row>
    <row r="3953" spans="2:11" x14ac:dyDescent="0.3">
      <c r="B3953" s="44">
        <v>46088</v>
      </c>
      <c r="C3953" s="3" t="s">
        <v>416</v>
      </c>
      <c r="D3953" s="3" t="s">
        <v>64</v>
      </c>
      <c r="E3953" s="42">
        <v>4370907</v>
      </c>
      <c r="F3953" s="3" t="s">
        <v>646</v>
      </c>
      <c r="G3953" s="3" t="s">
        <v>349</v>
      </c>
      <c r="H3953" s="4">
        <v>3202500</v>
      </c>
      <c r="I3953" s="4" t="s">
        <v>673</v>
      </c>
      <c r="J3953" s="4" t="s">
        <v>355</v>
      </c>
      <c r="K3953" s="4">
        <v>3195002</v>
      </c>
    </row>
    <row r="3954" spans="2:11" x14ac:dyDescent="0.3">
      <c r="B3954" s="44">
        <v>46088</v>
      </c>
      <c r="C3954" s="3" t="s">
        <v>416</v>
      </c>
      <c r="D3954" s="3" t="s">
        <v>495</v>
      </c>
      <c r="E3954" s="42"/>
      <c r="F3954" s="3" t="s">
        <v>646</v>
      </c>
      <c r="G3954" s="3" t="s">
        <v>195</v>
      </c>
      <c r="H3954" s="74">
        <v>3361600</v>
      </c>
      <c r="I3954" s="3" t="s">
        <v>670</v>
      </c>
      <c r="J3954" s="3" t="s">
        <v>224</v>
      </c>
      <c r="K3954" s="4">
        <v>3347008</v>
      </c>
    </row>
    <row r="3955" spans="2:11" x14ac:dyDescent="0.3">
      <c r="B3955" s="44">
        <v>46088</v>
      </c>
      <c r="C3955" s="3" t="s">
        <v>416</v>
      </c>
      <c r="D3955" s="3" t="s">
        <v>61</v>
      </c>
      <c r="E3955" s="42"/>
      <c r="F3955" s="3" t="s">
        <v>696</v>
      </c>
      <c r="G3955" s="3" t="s">
        <v>307</v>
      </c>
      <c r="H3955" s="4">
        <v>3201907</v>
      </c>
      <c r="I3955" s="4" t="s">
        <v>477</v>
      </c>
      <c r="J3955" s="4" t="s">
        <v>308</v>
      </c>
      <c r="K3955" s="4">
        <v>3199300</v>
      </c>
    </row>
    <row r="3956" spans="2:11" x14ac:dyDescent="0.3">
      <c r="B3956" s="44">
        <v>46088</v>
      </c>
      <c r="C3956" s="3" t="s">
        <v>416</v>
      </c>
      <c r="D3956" s="3" t="s">
        <v>66</v>
      </c>
      <c r="E3956" s="42"/>
      <c r="F3956" s="3" t="s">
        <v>696</v>
      </c>
      <c r="G3956" s="3" t="s">
        <v>609</v>
      </c>
      <c r="H3956" s="74">
        <v>3900401</v>
      </c>
      <c r="I3956" s="3" t="s">
        <v>690</v>
      </c>
      <c r="J3956" s="3" t="s">
        <v>605</v>
      </c>
      <c r="K3956" s="74">
        <v>3900109</v>
      </c>
    </row>
    <row r="3957" spans="2:11" x14ac:dyDescent="0.3">
      <c r="B3957" s="44">
        <v>46088</v>
      </c>
      <c r="C3957" s="3" t="s">
        <v>416</v>
      </c>
      <c r="D3957" s="3" t="s">
        <v>500</v>
      </c>
      <c r="E3957" s="42"/>
      <c r="F3957" s="3" t="s">
        <v>672</v>
      </c>
      <c r="G3957" s="3" t="s">
        <v>187</v>
      </c>
      <c r="H3957" s="4">
        <v>3354101</v>
      </c>
      <c r="I3957" s="4" t="s">
        <v>479</v>
      </c>
      <c r="J3957" s="4" t="s">
        <v>465</v>
      </c>
      <c r="K3957" s="4">
        <v>3962207</v>
      </c>
    </row>
    <row r="3958" spans="2:11" x14ac:dyDescent="0.3">
      <c r="B3958" s="44">
        <v>46088</v>
      </c>
      <c r="C3958" s="3" t="s">
        <v>416</v>
      </c>
      <c r="D3958" s="3" t="s">
        <v>67</v>
      </c>
      <c r="E3958" s="42"/>
      <c r="F3958" s="3" t="s">
        <v>672</v>
      </c>
      <c r="G3958" s="3" t="s">
        <v>375</v>
      </c>
      <c r="H3958" s="4">
        <v>3069209</v>
      </c>
      <c r="I3958" s="4" t="s">
        <v>715</v>
      </c>
      <c r="J3958" s="4" t="s">
        <v>377</v>
      </c>
      <c r="K3958" s="4">
        <v>3200106</v>
      </c>
    </row>
    <row r="3959" spans="2:11" x14ac:dyDescent="0.3">
      <c r="B3959" s="44">
        <v>46088</v>
      </c>
      <c r="C3959" s="3" t="s">
        <v>416</v>
      </c>
      <c r="D3959" s="3" t="s">
        <v>58</v>
      </c>
      <c r="E3959" s="42"/>
      <c r="F3959" s="3" t="s">
        <v>697</v>
      </c>
      <c r="G3959" s="3" t="s">
        <v>262</v>
      </c>
      <c r="H3959" s="4">
        <v>3055405</v>
      </c>
      <c r="I3959" s="3" t="s">
        <v>704</v>
      </c>
      <c r="J3959" s="3" t="s">
        <v>297</v>
      </c>
      <c r="K3959" s="32">
        <v>3204008</v>
      </c>
    </row>
    <row r="3960" spans="2:11" x14ac:dyDescent="0.3">
      <c r="B3960" s="44">
        <v>46088</v>
      </c>
      <c r="C3960" s="3" t="s">
        <v>416</v>
      </c>
      <c r="D3960" s="3" t="s">
        <v>491</v>
      </c>
      <c r="E3960" s="42"/>
      <c r="F3960" s="3" t="s">
        <v>697</v>
      </c>
      <c r="G3960" s="3" t="s">
        <v>150</v>
      </c>
      <c r="H3960" s="4">
        <v>3353706</v>
      </c>
      <c r="I3960" s="3" t="s">
        <v>698</v>
      </c>
      <c r="J3960" s="3" t="s">
        <v>567</v>
      </c>
      <c r="K3960" s="4" t="s">
        <v>556</v>
      </c>
    </row>
    <row r="3961" spans="2:11" x14ac:dyDescent="0.3">
      <c r="B3961" s="44">
        <v>46088</v>
      </c>
      <c r="C3961" s="3" t="s">
        <v>416</v>
      </c>
      <c r="D3961" s="3" t="s">
        <v>63</v>
      </c>
      <c r="E3961" s="42"/>
      <c r="F3961" s="3" t="s">
        <v>697</v>
      </c>
      <c r="G3961" s="3" t="s">
        <v>448</v>
      </c>
      <c r="H3961" s="4">
        <v>3036808</v>
      </c>
      <c r="I3961" s="3" t="s">
        <v>478</v>
      </c>
      <c r="J3961" s="3" t="s">
        <v>331</v>
      </c>
      <c r="K3961" s="74">
        <v>3205403</v>
      </c>
    </row>
    <row r="3962" spans="2:11" x14ac:dyDescent="0.3">
      <c r="B3962" s="44">
        <v>46088</v>
      </c>
      <c r="C3962" s="3" t="s">
        <v>416</v>
      </c>
      <c r="D3962" s="3" t="s">
        <v>504</v>
      </c>
      <c r="E3962" s="42"/>
      <c r="F3962" s="4" t="s">
        <v>694</v>
      </c>
      <c r="G3962" s="4" t="s">
        <v>112</v>
      </c>
      <c r="H3962" s="4">
        <v>3353602</v>
      </c>
      <c r="I3962" s="4" t="s">
        <v>671</v>
      </c>
      <c r="J3962" s="4" t="s">
        <v>8</v>
      </c>
      <c r="K3962" s="4">
        <v>3034008</v>
      </c>
    </row>
    <row r="3963" spans="2:11" x14ac:dyDescent="0.3">
      <c r="B3963" s="44">
        <v>46088</v>
      </c>
      <c r="C3963" s="3" t="s">
        <v>416</v>
      </c>
      <c r="D3963" s="3" t="s">
        <v>498</v>
      </c>
      <c r="E3963" s="42"/>
      <c r="F3963" s="3" t="s">
        <v>694</v>
      </c>
      <c r="G3963" s="3" t="s">
        <v>245</v>
      </c>
      <c r="H3963" s="4">
        <v>3352905</v>
      </c>
      <c r="I3963" s="3" t="s">
        <v>475</v>
      </c>
      <c r="J3963" s="3" t="s">
        <v>184</v>
      </c>
      <c r="K3963" s="53">
        <v>3363004</v>
      </c>
    </row>
    <row r="3964" spans="2:11" x14ac:dyDescent="0.3">
      <c r="B3964" s="44">
        <v>46088</v>
      </c>
      <c r="C3964" s="3" t="s">
        <v>416</v>
      </c>
      <c r="D3964" s="3" t="s">
        <v>593</v>
      </c>
      <c r="E3964" s="42"/>
      <c r="F3964" s="3" t="s">
        <v>694</v>
      </c>
      <c r="G3964" s="3" t="s">
        <v>632</v>
      </c>
      <c r="H3964" s="4">
        <v>4023303</v>
      </c>
      <c r="I3964" s="15" t="s">
        <v>570</v>
      </c>
      <c r="J3964" s="15" t="s">
        <v>570</v>
      </c>
      <c r="K3964" s="74" t="s">
        <v>556</v>
      </c>
    </row>
    <row r="3965" spans="2:11" x14ac:dyDescent="0.3">
      <c r="B3965" s="44">
        <v>46088</v>
      </c>
      <c r="C3965" s="3" t="s">
        <v>416</v>
      </c>
      <c r="D3965" s="3" t="s">
        <v>69</v>
      </c>
      <c r="E3965" s="42"/>
      <c r="F3965" s="3" t="s">
        <v>655</v>
      </c>
      <c r="G3965" s="3" t="s">
        <v>394</v>
      </c>
      <c r="H3965" s="4">
        <v>3201105</v>
      </c>
      <c r="I3965" s="3" t="s">
        <v>694</v>
      </c>
      <c r="J3965" s="3" t="s">
        <v>376</v>
      </c>
      <c r="K3965" s="53">
        <v>3201303</v>
      </c>
    </row>
    <row r="3966" spans="2:11" x14ac:dyDescent="0.3">
      <c r="B3966" s="44">
        <v>46088</v>
      </c>
      <c r="C3966" s="3" t="s">
        <v>416</v>
      </c>
      <c r="D3966" s="3" t="s">
        <v>610</v>
      </c>
      <c r="E3966" s="42"/>
      <c r="F3966" s="3" t="s">
        <v>711</v>
      </c>
      <c r="G3966" s="3" t="s">
        <v>381</v>
      </c>
      <c r="H3966" s="4">
        <v>3201209</v>
      </c>
      <c r="I3966" s="4" t="s">
        <v>650</v>
      </c>
      <c r="J3966" s="4" t="s">
        <v>353</v>
      </c>
      <c r="K3966" s="4">
        <v>3200200</v>
      </c>
    </row>
    <row r="3967" spans="2:11" x14ac:dyDescent="0.3">
      <c r="B3967" s="44">
        <v>46088</v>
      </c>
      <c r="C3967" s="3" t="s">
        <v>416</v>
      </c>
      <c r="D3967" s="3" t="s">
        <v>489</v>
      </c>
      <c r="E3967" s="4"/>
      <c r="F3967" s="4" t="s">
        <v>685</v>
      </c>
      <c r="G3967" s="4" t="s">
        <v>160</v>
      </c>
      <c r="H3967" s="4">
        <v>3353008</v>
      </c>
      <c r="I3967" s="3" t="s">
        <v>662</v>
      </c>
      <c r="J3967" s="3" t="s">
        <v>139</v>
      </c>
      <c r="K3967" s="4">
        <v>3358305</v>
      </c>
    </row>
    <row r="3968" spans="2:11" x14ac:dyDescent="0.3">
      <c r="B3968" s="44">
        <v>46088</v>
      </c>
      <c r="C3968" s="3" t="s">
        <v>416</v>
      </c>
      <c r="D3968" s="3" t="s">
        <v>610</v>
      </c>
      <c r="E3968" s="42"/>
      <c r="F3968" s="3" t="s">
        <v>685</v>
      </c>
      <c r="G3968" s="3" t="s">
        <v>351</v>
      </c>
      <c r="H3968" s="4">
        <v>3201001</v>
      </c>
      <c r="I3968" s="4" t="s">
        <v>714</v>
      </c>
      <c r="J3968" s="4" t="s">
        <v>352</v>
      </c>
      <c r="K3968" s="4">
        <v>3197208</v>
      </c>
    </row>
    <row r="3969" spans="1:43" x14ac:dyDescent="0.3">
      <c r="B3969" s="44">
        <v>46088</v>
      </c>
      <c r="C3969" s="3" t="s">
        <v>416</v>
      </c>
      <c r="D3969" s="3" t="s">
        <v>495</v>
      </c>
      <c r="E3969" s="42"/>
      <c r="F3969" s="3" t="s">
        <v>685</v>
      </c>
      <c r="G3969" s="3" t="s">
        <v>196</v>
      </c>
      <c r="H3969" s="4">
        <v>3353102</v>
      </c>
      <c r="I3969" s="3" t="s">
        <v>682</v>
      </c>
      <c r="J3969" s="3" t="s">
        <v>568</v>
      </c>
      <c r="K3969" s="4">
        <v>3969908</v>
      </c>
    </row>
    <row r="3970" spans="1:43" x14ac:dyDescent="0.3">
      <c r="B3970" s="44">
        <v>46088</v>
      </c>
      <c r="C3970" s="3" t="s">
        <v>416</v>
      </c>
      <c r="D3970" s="3" t="s">
        <v>610</v>
      </c>
      <c r="E3970" s="42"/>
      <c r="F3970" s="3" t="s">
        <v>685</v>
      </c>
      <c r="G3970" s="3" t="s">
        <v>382</v>
      </c>
      <c r="H3970" s="4">
        <v>3200804</v>
      </c>
      <c r="I3970" s="4" t="s">
        <v>682</v>
      </c>
      <c r="J3970" s="4" t="s">
        <v>611</v>
      </c>
      <c r="K3970" s="4">
        <v>3204800</v>
      </c>
    </row>
    <row r="3971" spans="1:43" x14ac:dyDescent="0.3">
      <c r="B3971" s="44">
        <v>46088</v>
      </c>
      <c r="C3971" s="3" t="s">
        <v>416</v>
      </c>
      <c r="D3971" s="3" t="s">
        <v>495</v>
      </c>
      <c r="E3971" s="42"/>
      <c r="F3971" s="3" t="s">
        <v>685</v>
      </c>
      <c r="G3971" s="3" t="s">
        <v>197</v>
      </c>
      <c r="H3971" s="4">
        <v>3353300</v>
      </c>
      <c r="I3971" s="3" t="s">
        <v>666</v>
      </c>
      <c r="J3971" s="3" t="s">
        <v>193</v>
      </c>
      <c r="K3971" s="4">
        <v>3357108</v>
      </c>
    </row>
    <row r="3972" spans="1:43" x14ac:dyDescent="0.3">
      <c r="B3972" s="44">
        <v>46088</v>
      </c>
      <c r="C3972" s="3" t="s">
        <v>416</v>
      </c>
      <c r="D3972" s="3" t="s">
        <v>610</v>
      </c>
      <c r="E3972" s="42"/>
      <c r="F3972" s="3" t="s">
        <v>474</v>
      </c>
      <c r="G3972" s="3" t="s">
        <v>458</v>
      </c>
      <c r="H3972" s="4">
        <v>3200304</v>
      </c>
      <c r="I3972" s="4" t="s">
        <v>716</v>
      </c>
      <c r="J3972" s="4" t="s">
        <v>433</v>
      </c>
      <c r="K3972" s="4">
        <v>3198905</v>
      </c>
    </row>
    <row r="3973" spans="1:43" x14ac:dyDescent="0.3">
      <c r="B3973" s="44">
        <v>46088</v>
      </c>
      <c r="C3973" s="3" t="s">
        <v>416</v>
      </c>
      <c r="D3973" s="3" t="s">
        <v>492</v>
      </c>
      <c r="E3973" s="42"/>
      <c r="F3973" s="3" t="s">
        <v>474</v>
      </c>
      <c r="G3973" s="3" t="s">
        <v>161</v>
      </c>
      <c r="H3973" s="4">
        <v>3352509</v>
      </c>
      <c r="I3973" s="4" t="s">
        <v>713</v>
      </c>
      <c r="J3973" s="4" t="s">
        <v>165</v>
      </c>
      <c r="K3973" s="4">
        <v>3349006</v>
      </c>
    </row>
    <row r="3974" spans="1:43" x14ac:dyDescent="0.3">
      <c r="B3974" s="44">
        <v>46088</v>
      </c>
      <c r="C3974" s="3" t="s">
        <v>416</v>
      </c>
      <c r="D3974" s="3" t="s">
        <v>68</v>
      </c>
      <c r="E3974" s="42"/>
      <c r="F3974" s="3" t="s">
        <v>474</v>
      </c>
      <c r="G3974" s="3" t="s">
        <v>383</v>
      </c>
      <c r="H3974" s="4">
        <v>3200502</v>
      </c>
      <c r="I3974" s="4" t="s">
        <v>665</v>
      </c>
      <c r="J3974" s="4" t="s">
        <v>627</v>
      </c>
      <c r="K3974" s="4" t="s">
        <v>638</v>
      </c>
    </row>
    <row r="3975" spans="1:43" x14ac:dyDescent="0.3">
      <c r="A3975" s="4"/>
      <c r="B3975" s="100">
        <v>46088</v>
      </c>
      <c r="C3975" s="98" t="s">
        <v>553</v>
      </c>
      <c r="D3975" s="4" t="s">
        <v>508</v>
      </c>
      <c r="E3975" s="4"/>
      <c r="F3975" s="73" t="s">
        <v>532</v>
      </c>
      <c r="G3975" s="73" t="s">
        <v>532</v>
      </c>
      <c r="H3975" s="73"/>
      <c r="I3975" s="73" t="s">
        <v>475</v>
      </c>
      <c r="J3975" s="73" t="s">
        <v>475</v>
      </c>
      <c r="K3975" s="7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</row>
    <row r="3976" spans="1:43" x14ac:dyDescent="0.3">
      <c r="B3976" s="44">
        <v>46088</v>
      </c>
      <c r="C3976" s="3" t="s">
        <v>416</v>
      </c>
      <c r="D3976" s="3" t="s">
        <v>492</v>
      </c>
      <c r="E3976" s="42"/>
      <c r="F3976" s="3" t="s">
        <v>714</v>
      </c>
      <c r="G3976" s="3" t="s">
        <v>162</v>
      </c>
      <c r="H3976" s="4">
        <v>3348903</v>
      </c>
      <c r="I3976" s="4" t="s">
        <v>652</v>
      </c>
      <c r="J3976" s="4" t="s">
        <v>157</v>
      </c>
      <c r="K3976" s="4">
        <v>3358503</v>
      </c>
    </row>
    <row r="3977" spans="1:43" x14ac:dyDescent="0.3">
      <c r="B3977" s="44">
        <v>46088</v>
      </c>
      <c r="C3977" s="3" t="s">
        <v>416</v>
      </c>
      <c r="D3977" s="3" t="s">
        <v>496</v>
      </c>
      <c r="E3977" s="42"/>
      <c r="F3977" s="3" t="s">
        <v>650</v>
      </c>
      <c r="G3977" s="3" t="s">
        <v>205</v>
      </c>
      <c r="H3977" s="74">
        <v>3351906</v>
      </c>
      <c r="I3977" s="4" t="s">
        <v>665</v>
      </c>
      <c r="J3977" s="4" t="s">
        <v>204</v>
      </c>
      <c r="K3977" s="4">
        <v>3357400</v>
      </c>
    </row>
    <row r="3978" spans="1:43" x14ac:dyDescent="0.3">
      <c r="B3978" s="44">
        <v>46088</v>
      </c>
      <c r="C3978" s="3" t="s">
        <v>416</v>
      </c>
      <c r="D3978" s="3" t="s">
        <v>499</v>
      </c>
      <c r="E3978" s="42"/>
      <c r="F3978" s="3" t="s">
        <v>650</v>
      </c>
      <c r="G3978" s="3" t="s">
        <v>571</v>
      </c>
      <c r="H3978" s="4">
        <v>3900505</v>
      </c>
      <c r="I3978" s="3" t="s">
        <v>652</v>
      </c>
      <c r="J3978" s="3" t="s">
        <v>573</v>
      </c>
      <c r="K3978" s="4">
        <v>3818400</v>
      </c>
      <c r="M3978" s="51"/>
    </row>
    <row r="3979" spans="1:43" x14ac:dyDescent="0.3">
      <c r="B3979" s="44">
        <v>46088</v>
      </c>
      <c r="C3979" s="3" t="s">
        <v>416</v>
      </c>
      <c r="D3979" s="3" t="s">
        <v>68</v>
      </c>
      <c r="E3979" s="42"/>
      <c r="F3979" s="3" t="s">
        <v>650</v>
      </c>
      <c r="G3979" s="3" t="s">
        <v>390</v>
      </c>
      <c r="H3979" s="4">
        <v>3544509</v>
      </c>
      <c r="I3979" s="4" t="s">
        <v>686</v>
      </c>
      <c r="J3979" s="4" t="s">
        <v>626</v>
      </c>
      <c r="K3979" s="4" t="s">
        <v>637</v>
      </c>
    </row>
    <row r="3980" spans="1:43" x14ac:dyDescent="0.3">
      <c r="B3980" s="44">
        <v>46088</v>
      </c>
      <c r="C3980" s="3" t="s">
        <v>416</v>
      </c>
      <c r="D3980" s="3" t="s">
        <v>59</v>
      </c>
      <c r="E3980" s="42"/>
      <c r="F3980" s="4" t="s">
        <v>656</v>
      </c>
      <c r="G3980" s="4" t="s">
        <v>278</v>
      </c>
      <c r="H3980" s="4">
        <v>3199800</v>
      </c>
      <c r="I3980" s="4" t="s">
        <v>661</v>
      </c>
      <c r="J3980" s="4" t="s">
        <v>641</v>
      </c>
      <c r="K3980" s="4">
        <v>3055707</v>
      </c>
    </row>
    <row r="3981" spans="1:43" x14ac:dyDescent="0.3">
      <c r="B3981" s="44">
        <v>46088</v>
      </c>
      <c r="C3981" s="3" t="s">
        <v>416</v>
      </c>
      <c r="D3981" s="3" t="s">
        <v>65</v>
      </c>
      <c r="E3981" s="42"/>
      <c r="F3981" s="3" t="s">
        <v>656</v>
      </c>
      <c r="G3981" s="3" t="s">
        <v>326</v>
      </c>
      <c r="H3981" s="4">
        <v>3199904</v>
      </c>
      <c r="I3981" s="4" t="s">
        <v>655</v>
      </c>
      <c r="J3981" s="4" t="s">
        <v>325</v>
      </c>
      <c r="K3981" s="4">
        <v>3201501</v>
      </c>
    </row>
    <row r="3982" spans="1:43" x14ac:dyDescent="0.3">
      <c r="B3982" s="44">
        <v>46088</v>
      </c>
      <c r="C3982" s="3" t="s">
        <v>416</v>
      </c>
      <c r="D3982" s="3" t="s">
        <v>69</v>
      </c>
      <c r="E3982" s="42"/>
      <c r="F3982" s="3" t="s">
        <v>656</v>
      </c>
      <c r="G3982" s="3" t="s">
        <v>361</v>
      </c>
      <c r="H3982" s="4">
        <v>3200002</v>
      </c>
      <c r="I3982" s="3" t="s">
        <v>479</v>
      </c>
      <c r="J3982" s="3" t="s">
        <v>392</v>
      </c>
      <c r="K3982" s="53">
        <v>3210706</v>
      </c>
    </row>
    <row r="3983" spans="1:43" x14ac:dyDescent="0.3">
      <c r="B3983" s="44">
        <v>46088</v>
      </c>
      <c r="C3983" s="3" t="s">
        <v>416</v>
      </c>
      <c r="D3983" s="3" t="s">
        <v>59</v>
      </c>
      <c r="E3983" s="42"/>
      <c r="F3983" s="4" t="s">
        <v>710</v>
      </c>
      <c r="G3983" s="4" t="s">
        <v>279</v>
      </c>
      <c r="H3983" s="4">
        <v>3199706</v>
      </c>
      <c r="I3983" s="4" t="s">
        <v>662</v>
      </c>
      <c r="J3983" s="4" t="s">
        <v>314</v>
      </c>
      <c r="K3983" s="4">
        <v>3208004</v>
      </c>
    </row>
    <row r="3984" spans="1:43" x14ac:dyDescent="0.3">
      <c r="B3984" s="44">
        <v>46088</v>
      </c>
      <c r="C3984" s="3" t="s">
        <v>416</v>
      </c>
      <c r="D3984" s="3" t="s">
        <v>64</v>
      </c>
      <c r="E3984" s="42">
        <v>4370907</v>
      </c>
      <c r="F3984" s="3" t="s">
        <v>710</v>
      </c>
      <c r="G3984" s="3" t="s">
        <v>354</v>
      </c>
      <c r="H3984" s="4">
        <v>3199404</v>
      </c>
      <c r="I3984" s="4" t="s">
        <v>671</v>
      </c>
      <c r="J3984" s="4" t="s">
        <v>312</v>
      </c>
      <c r="K3984" s="4">
        <v>3209107</v>
      </c>
    </row>
    <row r="3985" spans="1:43" x14ac:dyDescent="0.3">
      <c r="B3985" s="44">
        <v>46088</v>
      </c>
      <c r="C3985" s="3" t="s">
        <v>416</v>
      </c>
      <c r="D3985" s="3" t="s">
        <v>496</v>
      </c>
      <c r="E3985" s="42"/>
      <c r="F3985" s="3" t="s">
        <v>710</v>
      </c>
      <c r="G3985" s="3" t="s">
        <v>462</v>
      </c>
      <c r="H3985" s="4">
        <v>3352207</v>
      </c>
      <c r="I3985" s="3" t="s">
        <v>651</v>
      </c>
      <c r="J3985" s="3" t="s">
        <v>202</v>
      </c>
      <c r="K3985" s="74">
        <v>3361808</v>
      </c>
    </row>
    <row r="3986" spans="1:43" x14ac:dyDescent="0.3">
      <c r="B3986" s="44">
        <v>46088</v>
      </c>
      <c r="C3986" s="3" t="s">
        <v>416</v>
      </c>
      <c r="D3986" s="3" t="s">
        <v>499</v>
      </c>
      <c r="E3986" s="42"/>
      <c r="F3986" s="3" t="s">
        <v>710</v>
      </c>
      <c r="G3986" s="3" t="s">
        <v>230</v>
      </c>
      <c r="H3986" s="4">
        <v>3900609</v>
      </c>
      <c r="I3986" s="3" t="s">
        <v>687</v>
      </c>
      <c r="J3986" s="3" t="s">
        <v>231</v>
      </c>
      <c r="K3986" s="4">
        <v>3819503</v>
      </c>
      <c r="M3986" s="51"/>
    </row>
    <row r="3987" spans="1:43" x14ac:dyDescent="0.3">
      <c r="B3987" s="44">
        <v>46088</v>
      </c>
      <c r="C3987" s="3" t="s">
        <v>416</v>
      </c>
      <c r="D3987" s="4" t="s">
        <v>614</v>
      </c>
      <c r="E3987" s="42"/>
      <c r="F3987" s="3" t="s">
        <v>710</v>
      </c>
      <c r="G3987" s="3" t="s">
        <v>385</v>
      </c>
      <c r="H3987" s="4">
        <v>3199602</v>
      </c>
      <c r="I3987" s="4" t="s">
        <v>682</v>
      </c>
      <c r="J3987" s="4" t="s">
        <v>622</v>
      </c>
      <c r="K3987" s="4">
        <v>3969502</v>
      </c>
    </row>
    <row r="3988" spans="1:43" x14ac:dyDescent="0.3">
      <c r="A3988" s="4"/>
      <c r="B3988" s="100">
        <v>46088</v>
      </c>
      <c r="C3988" s="98" t="s">
        <v>553</v>
      </c>
      <c r="D3988" s="4" t="s">
        <v>512</v>
      </c>
      <c r="E3988" s="4"/>
      <c r="F3988" s="73" t="s">
        <v>477</v>
      </c>
      <c r="G3988" s="73" t="s">
        <v>477</v>
      </c>
      <c r="H3988" s="73"/>
      <c r="I3988" s="73" t="s">
        <v>528</v>
      </c>
      <c r="J3988" s="73" t="s">
        <v>528</v>
      </c>
      <c r="K3988" s="15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</row>
    <row r="3989" spans="1:43" x14ac:dyDescent="0.3">
      <c r="B3989" s="44">
        <v>46088</v>
      </c>
      <c r="C3989" s="3" t="s">
        <v>416</v>
      </c>
      <c r="D3989" s="3" t="s">
        <v>58</v>
      </c>
      <c r="E3989" s="42"/>
      <c r="F3989" s="3" t="s">
        <v>706</v>
      </c>
      <c r="G3989" s="3" t="s">
        <v>269</v>
      </c>
      <c r="H3989" s="4">
        <v>3069407</v>
      </c>
      <c r="I3989" s="3" t="s">
        <v>712</v>
      </c>
      <c r="J3989" s="3" t="s">
        <v>270</v>
      </c>
      <c r="K3989" s="4">
        <v>3069605</v>
      </c>
    </row>
    <row r="3990" spans="1:43" x14ac:dyDescent="0.3">
      <c r="B3990" s="44">
        <v>46088</v>
      </c>
      <c r="C3990" s="3" t="s">
        <v>416</v>
      </c>
      <c r="D3990" s="3" t="s">
        <v>504</v>
      </c>
      <c r="E3990" s="42"/>
      <c r="F3990" s="3" t="s">
        <v>645</v>
      </c>
      <c r="G3990" s="3" t="s">
        <v>37</v>
      </c>
      <c r="H3990" s="4">
        <v>3029903</v>
      </c>
      <c r="I3990" s="3" t="s">
        <v>472</v>
      </c>
      <c r="J3990" s="3" t="s">
        <v>11</v>
      </c>
      <c r="K3990" s="4">
        <v>3034800</v>
      </c>
    </row>
    <row r="3991" spans="1:43" x14ac:dyDescent="0.3">
      <c r="B3991" s="44">
        <v>46088</v>
      </c>
      <c r="C3991" s="3" t="s">
        <v>416</v>
      </c>
      <c r="D3991" s="3" t="s">
        <v>57</v>
      </c>
      <c r="E3991" s="42"/>
      <c r="F3991" s="3" t="s">
        <v>645</v>
      </c>
      <c r="G3991" s="3" t="s">
        <v>263</v>
      </c>
      <c r="H3991" s="4">
        <v>3198707</v>
      </c>
      <c r="I3991" s="4" t="s">
        <v>647</v>
      </c>
      <c r="J3991" s="4" t="s">
        <v>282</v>
      </c>
      <c r="K3991" s="4">
        <v>3193900</v>
      </c>
    </row>
    <row r="3992" spans="1:43" x14ac:dyDescent="0.3">
      <c r="B3992" s="44">
        <v>46088</v>
      </c>
      <c r="C3992" s="3" t="s">
        <v>416</v>
      </c>
      <c r="D3992" s="3" t="s">
        <v>487</v>
      </c>
      <c r="E3992" s="4"/>
      <c r="F3992" s="4" t="s">
        <v>645</v>
      </c>
      <c r="G3992" s="4" t="s">
        <v>114</v>
      </c>
      <c r="H3992" s="4">
        <v>3351000</v>
      </c>
      <c r="I3992" s="3" t="s">
        <v>695</v>
      </c>
      <c r="J3992" s="3" t="s">
        <v>101</v>
      </c>
      <c r="K3992" s="4">
        <v>3067305</v>
      </c>
    </row>
    <row r="3993" spans="1:43" x14ac:dyDescent="0.3">
      <c r="B3993" s="44">
        <v>46088</v>
      </c>
      <c r="C3993" s="3" t="s">
        <v>416</v>
      </c>
      <c r="D3993" s="3" t="s">
        <v>63</v>
      </c>
      <c r="E3993" s="42"/>
      <c r="F3993" s="104" t="s">
        <v>645</v>
      </c>
      <c r="G3993" s="104" t="s">
        <v>333</v>
      </c>
      <c r="H3993" s="74">
        <v>3198801</v>
      </c>
      <c r="I3993" s="3" t="s">
        <v>683</v>
      </c>
      <c r="J3993" s="3" t="s">
        <v>368</v>
      </c>
      <c r="K3993" s="74">
        <v>3203009</v>
      </c>
    </row>
    <row r="3994" spans="1:43" x14ac:dyDescent="0.3">
      <c r="B3994" s="44">
        <v>46088</v>
      </c>
      <c r="C3994" s="3" t="s">
        <v>416</v>
      </c>
      <c r="D3994" s="3" t="s">
        <v>488</v>
      </c>
      <c r="E3994" s="42"/>
      <c r="F3994" s="3" t="s">
        <v>645</v>
      </c>
      <c r="G3994" s="3" t="s">
        <v>123</v>
      </c>
      <c r="H3994" s="4">
        <v>3351104</v>
      </c>
      <c r="I3994" s="3" t="s">
        <v>702</v>
      </c>
      <c r="J3994" s="3" t="s">
        <v>119</v>
      </c>
      <c r="K3994" s="4">
        <v>3067909</v>
      </c>
    </row>
    <row r="3995" spans="1:43" x14ac:dyDescent="0.3">
      <c r="B3995" s="44">
        <v>46088</v>
      </c>
      <c r="C3995" s="3" t="s">
        <v>416</v>
      </c>
      <c r="D3995" s="3" t="s">
        <v>491</v>
      </c>
      <c r="E3995" s="42"/>
      <c r="F3995" s="3" t="s">
        <v>645</v>
      </c>
      <c r="G3995" s="3" t="s">
        <v>152</v>
      </c>
      <c r="H3995" s="4">
        <v>3351302</v>
      </c>
      <c r="I3995" s="3" t="s">
        <v>695</v>
      </c>
      <c r="J3995" s="3" t="s">
        <v>148</v>
      </c>
      <c r="K3995" s="4">
        <v>3355402</v>
      </c>
    </row>
    <row r="3996" spans="1:43" x14ac:dyDescent="0.3">
      <c r="B3996" s="44">
        <v>46088</v>
      </c>
      <c r="C3996" s="3" t="s">
        <v>416</v>
      </c>
      <c r="D3996" s="3" t="s">
        <v>489</v>
      </c>
      <c r="E3996" s="4"/>
      <c r="F3996" s="3" t="s">
        <v>678</v>
      </c>
      <c r="G3996" s="3" t="s">
        <v>131</v>
      </c>
      <c r="H3996" s="4">
        <v>3350605</v>
      </c>
      <c r="I3996" s="3" t="s">
        <v>650</v>
      </c>
      <c r="J3996" s="3" t="s">
        <v>163</v>
      </c>
      <c r="K3996" s="4">
        <v>3351802</v>
      </c>
    </row>
    <row r="3997" spans="1:43" x14ac:dyDescent="0.3">
      <c r="B3997" s="44">
        <v>46088</v>
      </c>
      <c r="C3997" s="3" t="s">
        <v>416</v>
      </c>
      <c r="D3997" s="3" t="s">
        <v>65</v>
      </c>
      <c r="E3997" s="42"/>
      <c r="F3997" s="3" t="s">
        <v>678</v>
      </c>
      <c r="G3997" s="3" t="s">
        <v>452</v>
      </c>
      <c r="H3997" s="4">
        <v>3198207</v>
      </c>
      <c r="I3997" s="15" t="s">
        <v>691</v>
      </c>
      <c r="J3997" s="15" t="s">
        <v>327</v>
      </c>
      <c r="K3997" s="74">
        <v>3198603</v>
      </c>
    </row>
    <row r="3998" spans="1:43" x14ac:dyDescent="0.3">
      <c r="B3998" s="44">
        <v>46088</v>
      </c>
      <c r="C3998" s="3" t="s">
        <v>416</v>
      </c>
      <c r="D3998" s="3" t="s">
        <v>496</v>
      </c>
      <c r="E3998" s="42"/>
      <c r="F3998" s="3" t="s">
        <v>675</v>
      </c>
      <c r="G3998" s="3" t="s">
        <v>198</v>
      </c>
      <c r="H3998" s="4">
        <v>3350803</v>
      </c>
      <c r="I3998" s="3" t="s">
        <v>652</v>
      </c>
      <c r="J3998" s="3" t="s">
        <v>229</v>
      </c>
      <c r="K3998" s="4">
        <v>3358409</v>
      </c>
    </row>
    <row r="3999" spans="1:43" x14ac:dyDescent="0.3">
      <c r="B3999" s="44">
        <v>46088</v>
      </c>
      <c r="C3999" s="3" t="s">
        <v>416</v>
      </c>
      <c r="D3999" s="3" t="s">
        <v>610</v>
      </c>
      <c r="E3999" s="42"/>
      <c r="F3999" s="3" t="s">
        <v>675</v>
      </c>
      <c r="G3999" s="3" t="s">
        <v>450</v>
      </c>
      <c r="H3999" s="4">
        <v>3198405</v>
      </c>
      <c r="I3999" s="4" t="s">
        <v>646</v>
      </c>
      <c r="J3999" s="4" t="s">
        <v>350</v>
      </c>
      <c r="K3999" s="4">
        <v>3202802</v>
      </c>
    </row>
    <row r="4000" spans="1:43" x14ac:dyDescent="0.3">
      <c r="B4000" s="44">
        <v>46088</v>
      </c>
      <c r="C4000" s="3" t="s">
        <v>416</v>
      </c>
      <c r="D4000" s="4" t="s">
        <v>614</v>
      </c>
      <c r="E4000" s="42"/>
      <c r="F4000" s="3" t="s">
        <v>675</v>
      </c>
      <c r="G4000" s="3" t="s">
        <v>403</v>
      </c>
      <c r="H4000" s="4">
        <v>3198509</v>
      </c>
      <c r="I4000" s="4" t="s">
        <v>710</v>
      </c>
      <c r="J4000" s="4" t="s">
        <v>384</v>
      </c>
      <c r="K4000" s="4">
        <v>3199508</v>
      </c>
    </row>
    <row r="4001" spans="2:13" x14ac:dyDescent="0.3">
      <c r="B4001" s="44">
        <v>46088</v>
      </c>
      <c r="C4001" s="3" t="s">
        <v>416</v>
      </c>
      <c r="D4001" s="3" t="s">
        <v>490</v>
      </c>
      <c r="E4001" s="4"/>
      <c r="F4001" s="3" t="s">
        <v>691</v>
      </c>
      <c r="G4001" s="3" t="s">
        <v>142</v>
      </c>
      <c r="H4001" s="4">
        <v>3350501</v>
      </c>
      <c r="I4001" s="4" t="s">
        <v>676</v>
      </c>
      <c r="J4001" s="4" t="s">
        <v>138</v>
      </c>
      <c r="K4001" s="4">
        <v>3067805</v>
      </c>
    </row>
    <row r="4002" spans="2:13" x14ac:dyDescent="0.3">
      <c r="B4002" s="44">
        <v>46088</v>
      </c>
      <c r="C4002" s="3" t="s">
        <v>416</v>
      </c>
      <c r="D4002" s="3" t="s">
        <v>590</v>
      </c>
      <c r="E4002" s="42"/>
      <c r="F4002" s="3" t="s">
        <v>691</v>
      </c>
      <c r="G4002" s="3" t="s">
        <v>289</v>
      </c>
      <c r="H4002" s="4">
        <v>3068804</v>
      </c>
      <c r="I4002" s="4" t="s">
        <v>693</v>
      </c>
      <c r="J4002" s="4" t="s">
        <v>322</v>
      </c>
      <c r="K4002" s="4">
        <v>3207005</v>
      </c>
    </row>
    <row r="4003" spans="2:13" x14ac:dyDescent="0.3">
      <c r="B4003" s="44">
        <v>46088</v>
      </c>
      <c r="C4003" s="3" t="s">
        <v>416</v>
      </c>
      <c r="D4003" s="3" t="s">
        <v>500</v>
      </c>
      <c r="E4003" s="42"/>
      <c r="F4003" s="3" t="s">
        <v>691</v>
      </c>
      <c r="G4003" s="3" t="s">
        <v>238</v>
      </c>
      <c r="H4003" s="4">
        <v>3350105</v>
      </c>
      <c r="I4003" s="4" t="s">
        <v>471</v>
      </c>
      <c r="J4003" s="4" t="s">
        <v>467</v>
      </c>
      <c r="K4003" s="4">
        <v>3819409</v>
      </c>
    </row>
    <row r="4004" spans="2:13" x14ac:dyDescent="0.3">
      <c r="B4004" s="44">
        <v>46088</v>
      </c>
      <c r="C4004" s="3" t="s">
        <v>416</v>
      </c>
      <c r="D4004" s="3" t="s">
        <v>69</v>
      </c>
      <c r="E4004" s="42"/>
      <c r="F4004" s="3" t="s">
        <v>691</v>
      </c>
      <c r="G4004" s="3" t="s">
        <v>395</v>
      </c>
      <c r="H4004" s="4">
        <v>3197604</v>
      </c>
      <c r="I4004" s="3" t="s">
        <v>694</v>
      </c>
      <c r="J4004" s="3" t="s">
        <v>402</v>
      </c>
      <c r="K4004" s="4">
        <v>3201407</v>
      </c>
    </row>
    <row r="4005" spans="2:13" x14ac:dyDescent="0.3">
      <c r="B4005" s="44">
        <v>46088</v>
      </c>
      <c r="C4005" s="3" t="s">
        <v>416</v>
      </c>
      <c r="D4005" s="3" t="s">
        <v>494</v>
      </c>
      <c r="E4005" s="42"/>
      <c r="F4005" s="3" t="s">
        <v>689</v>
      </c>
      <c r="G4005" s="3" t="s">
        <v>189</v>
      </c>
      <c r="H4005" s="4">
        <v>3350209</v>
      </c>
      <c r="I4005" s="3" t="s">
        <v>694</v>
      </c>
      <c r="J4005" s="3" t="s">
        <v>221</v>
      </c>
      <c r="K4005" s="4">
        <v>3353404</v>
      </c>
    </row>
    <row r="4006" spans="2:13" x14ac:dyDescent="0.3">
      <c r="B4006" s="44">
        <v>46088</v>
      </c>
      <c r="C4006" s="3" t="s">
        <v>416</v>
      </c>
      <c r="D4006" s="3" t="s">
        <v>67</v>
      </c>
      <c r="E4006" s="42"/>
      <c r="F4006" s="3" t="s">
        <v>689</v>
      </c>
      <c r="G4006" s="3" t="s">
        <v>341</v>
      </c>
      <c r="H4006" s="4">
        <v>3197708</v>
      </c>
      <c r="I4006" s="4" t="s">
        <v>570</v>
      </c>
      <c r="J4006" s="4" t="s">
        <v>570</v>
      </c>
      <c r="K4006" s="4" t="s">
        <v>556</v>
      </c>
    </row>
    <row r="4007" spans="2:13" x14ac:dyDescent="0.3">
      <c r="B4007" s="44">
        <v>46088</v>
      </c>
      <c r="C4007" s="3" t="s">
        <v>416</v>
      </c>
      <c r="D4007" s="3" t="s">
        <v>498</v>
      </c>
      <c r="E4007" s="42"/>
      <c r="F4007" s="3" t="s">
        <v>689</v>
      </c>
      <c r="G4007" s="3" t="s">
        <v>468</v>
      </c>
      <c r="H4007" s="4">
        <v>3349902</v>
      </c>
      <c r="I4007" s="3" t="s">
        <v>688</v>
      </c>
      <c r="J4007" s="3" t="s">
        <v>146</v>
      </c>
      <c r="K4007" s="53">
        <v>3346405</v>
      </c>
    </row>
    <row r="4008" spans="2:13" x14ac:dyDescent="0.3">
      <c r="B4008" s="44">
        <v>46088</v>
      </c>
      <c r="C4008" s="3" t="s">
        <v>416</v>
      </c>
      <c r="D4008" s="3" t="s">
        <v>501</v>
      </c>
      <c r="E4008" s="42"/>
      <c r="F4008" s="3" t="s">
        <v>689</v>
      </c>
      <c r="G4008" s="3" t="s">
        <v>581</v>
      </c>
      <c r="H4008" s="4">
        <v>4022804</v>
      </c>
      <c r="I4008" s="3" t="s">
        <v>692</v>
      </c>
      <c r="J4008" s="3" t="s">
        <v>582</v>
      </c>
      <c r="K4008" s="53">
        <v>3900901</v>
      </c>
      <c r="M4008" s="51"/>
    </row>
    <row r="4009" spans="2:13" x14ac:dyDescent="0.3">
      <c r="B4009" s="44">
        <v>46088</v>
      </c>
      <c r="C4009" s="3" t="s">
        <v>416</v>
      </c>
      <c r="D4009" s="3" t="s">
        <v>60</v>
      </c>
      <c r="E4009" s="42"/>
      <c r="F4009" s="3" t="s">
        <v>668</v>
      </c>
      <c r="G4009" s="3" t="s">
        <v>431</v>
      </c>
      <c r="H4009" s="4">
        <v>3900703</v>
      </c>
      <c r="I4009" s="3" t="s">
        <v>473</v>
      </c>
      <c r="J4009" s="3" t="s">
        <v>445</v>
      </c>
      <c r="K4009" s="4">
        <v>3204102</v>
      </c>
    </row>
    <row r="4010" spans="2:13" x14ac:dyDescent="0.3">
      <c r="B4010" s="44">
        <v>46088</v>
      </c>
      <c r="C4010" s="3" t="s">
        <v>416</v>
      </c>
      <c r="D4010" s="3" t="s">
        <v>497</v>
      </c>
      <c r="E4010" s="42"/>
      <c r="F4010" s="3" t="s">
        <v>654</v>
      </c>
      <c r="G4010" s="3" t="s">
        <v>216</v>
      </c>
      <c r="H4010" s="4">
        <v>3349808</v>
      </c>
      <c r="I4010" s="17" t="s">
        <v>691</v>
      </c>
      <c r="J4010" s="17" t="s">
        <v>215</v>
      </c>
      <c r="K4010" s="74">
        <v>3350407</v>
      </c>
    </row>
    <row r="4011" spans="2:13" x14ac:dyDescent="0.3">
      <c r="B4011" s="44">
        <v>46088</v>
      </c>
      <c r="C4011" s="3" t="s">
        <v>416</v>
      </c>
      <c r="D4011" s="3" t="s">
        <v>500</v>
      </c>
      <c r="E4011" s="42"/>
      <c r="F4011" s="3" t="s">
        <v>654</v>
      </c>
      <c r="G4011" s="3" t="s">
        <v>576</v>
      </c>
      <c r="H4011" s="4">
        <v>4009003</v>
      </c>
      <c r="I4011" s="4" t="s">
        <v>479</v>
      </c>
      <c r="J4011" s="4" t="s">
        <v>232</v>
      </c>
      <c r="K4011" s="4">
        <v>3360507</v>
      </c>
    </row>
    <row r="4012" spans="2:13" x14ac:dyDescent="0.3">
      <c r="B4012" s="44">
        <v>46088</v>
      </c>
      <c r="C4012" s="3" t="s">
        <v>416</v>
      </c>
      <c r="D4012" s="3" t="s">
        <v>489</v>
      </c>
      <c r="E4012" s="4"/>
      <c r="F4012" s="4" t="s">
        <v>712</v>
      </c>
      <c r="G4012" s="4" t="s">
        <v>132</v>
      </c>
      <c r="H4012" s="4">
        <v>3068304</v>
      </c>
      <c r="I4012" s="4" t="s">
        <v>474</v>
      </c>
      <c r="J4012" s="4" t="s">
        <v>130</v>
      </c>
      <c r="K4012" s="4">
        <v>3352405</v>
      </c>
    </row>
    <row r="4013" spans="2:13" x14ac:dyDescent="0.3">
      <c r="B4013" s="44">
        <v>46088</v>
      </c>
      <c r="C4013" s="3" t="s">
        <v>416</v>
      </c>
      <c r="D4013" s="3" t="s">
        <v>63</v>
      </c>
      <c r="E4013" s="42"/>
      <c r="F4013" s="104" t="s">
        <v>712</v>
      </c>
      <c r="G4013" s="104" t="s">
        <v>334</v>
      </c>
      <c r="H4013" s="74">
        <v>3198009</v>
      </c>
      <c r="I4013" s="3" t="s">
        <v>680</v>
      </c>
      <c r="J4013" s="3" t="s">
        <v>329</v>
      </c>
      <c r="K4013" s="74">
        <v>3208108</v>
      </c>
    </row>
    <row r="4014" spans="2:13" x14ac:dyDescent="0.3">
      <c r="B4014" s="44">
        <v>46088</v>
      </c>
      <c r="C4014" s="3" t="s">
        <v>416</v>
      </c>
      <c r="D4014" s="4" t="s">
        <v>614</v>
      </c>
      <c r="E4014" s="42"/>
      <c r="F4014" s="3" t="s">
        <v>713</v>
      </c>
      <c r="G4014" s="3" t="s">
        <v>386</v>
      </c>
      <c r="H4014" s="4">
        <v>3900807</v>
      </c>
      <c r="I4014" s="4" t="s">
        <v>646</v>
      </c>
      <c r="J4014" s="4" t="s">
        <v>380</v>
      </c>
      <c r="K4014" s="4">
        <v>3202208</v>
      </c>
    </row>
    <row r="4015" spans="2:13" x14ac:dyDescent="0.3">
      <c r="B4015" s="44">
        <v>46088</v>
      </c>
      <c r="C4015" s="3" t="s">
        <v>416</v>
      </c>
      <c r="D4015" s="3" t="s">
        <v>495</v>
      </c>
      <c r="E4015" s="42"/>
      <c r="F4015" s="3" t="s">
        <v>713</v>
      </c>
      <c r="G4015" s="3" t="s">
        <v>199</v>
      </c>
      <c r="H4015" s="4">
        <v>3349100</v>
      </c>
      <c r="I4015" s="3" t="s">
        <v>712</v>
      </c>
      <c r="J4015" s="3" t="s">
        <v>164</v>
      </c>
      <c r="K4015" s="4">
        <v>3349402</v>
      </c>
    </row>
    <row r="4016" spans="2:13" x14ac:dyDescent="0.3">
      <c r="B4016" s="44">
        <v>46088</v>
      </c>
      <c r="C4016" s="3" t="s">
        <v>416</v>
      </c>
      <c r="D4016" s="4" t="s">
        <v>614</v>
      </c>
      <c r="E4016" s="42"/>
      <c r="F4016" s="3" t="s">
        <v>713</v>
      </c>
      <c r="G4016" s="3" t="s">
        <v>623</v>
      </c>
      <c r="H4016" s="4">
        <v>3819305</v>
      </c>
      <c r="I4016" s="4" t="s">
        <v>666</v>
      </c>
      <c r="J4016" s="4" t="s">
        <v>453</v>
      </c>
      <c r="K4016" s="4">
        <v>3206006</v>
      </c>
    </row>
    <row r="4017" spans="2:11" x14ac:dyDescent="0.3">
      <c r="B4017" s="44">
        <v>46088</v>
      </c>
      <c r="C4017" s="3" t="s">
        <v>416</v>
      </c>
      <c r="D4017" s="3" t="s">
        <v>487</v>
      </c>
      <c r="E4017" s="4"/>
      <c r="F4017" s="3" t="s">
        <v>663</v>
      </c>
      <c r="G4017" s="3" t="s">
        <v>419</v>
      </c>
      <c r="H4017" s="4">
        <v>3349204</v>
      </c>
      <c r="I4017" s="4" t="s">
        <v>721</v>
      </c>
      <c r="J4017" s="4" t="s">
        <v>124</v>
      </c>
      <c r="K4017" s="4">
        <v>3267501</v>
      </c>
    </row>
    <row r="4018" spans="2:11" x14ac:dyDescent="0.3">
      <c r="B4018" s="44">
        <v>46088</v>
      </c>
      <c r="C4018" s="3" t="s">
        <v>416</v>
      </c>
      <c r="D4018" s="3" t="s">
        <v>62</v>
      </c>
      <c r="E4018" s="42"/>
      <c r="F4018" s="3" t="s">
        <v>663</v>
      </c>
      <c r="G4018" s="3" t="s">
        <v>280</v>
      </c>
      <c r="H4018" s="4">
        <v>3198103</v>
      </c>
      <c r="I4018" s="3" t="s">
        <v>677</v>
      </c>
      <c r="J4018" s="3" t="s">
        <v>324</v>
      </c>
      <c r="K4018" s="4">
        <v>3201605</v>
      </c>
    </row>
    <row r="4019" spans="2:11" x14ac:dyDescent="0.3">
      <c r="B4019" s="44">
        <v>46088</v>
      </c>
      <c r="C4019" s="3" t="s">
        <v>416</v>
      </c>
      <c r="D4019" s="3" t="s">
        <v>493</v>
      </c>
      <c r="E4019" s="42"/>
      <c r="F4019" s="3" t="s">
        <v>663</v>
      </c>
      <c r="G4019" s="3" t="s">
        <v>173</v>
      </c>
      <c r="H4019" s="4">
        <v>3349308</v>
      </c>
      <c r="I4019" s="4" t="s">
        <v>471</v>
      </c>
      <c r="J4019" s="4" t="s">
        <v>217</v>
      </c>
      <c r="K4019" s="4">
        <v>3348309</v>
      </c>
    </row>
    <row r="4020" spans="2:11" x14ac:dyDescent="0.3">
      <c r="B4020" s="44">
        <v>46088</v>
      </c>
      <c r="C4020" s="3" t="s">
        <v>416</v>
      </c>
      <c r="D4020" s="3" t="s">
        <v>65</v>
      </c>
      <c r="E4020" s="42"/>
      <c r="F4020" s="3" t="s">
        <v>663</v>
      </c>
      <c r="G4020" s="3" t="s">
        <v>290</v>
      </c>
      <c r="H4020" s="4">
        <v>3197500</v>
      </c>
      <c r="I4020" s="4" t="s">
        <v>718</v>
      </c>
      <c r="J4020" s="4" t="s">
        <v>359</v>
      </c>
      <c r="K4020" s="4">
        <v>3204602</v>
      </c>
    </row>
    <row r="4021" spans="2:11" x14ac:dyDescent="0.3">
      <c r="B4021" s="44">
        <v>46088</v>
      </c>
      <c r="C4021" s="3" t="s">
        <v>416</v>
      </c>
      <c r="D4021" s="3" t="s">
        <v>56</v>
      </c>
      <c r="E4021" s="42"/>
      <c r="F4021" s="4" t="s">
        <v>471</v>
      </c>
      <c r="G4021" s="4" t="s">
        <v>441</v>
      </c>
      <c r="H4021" s="4">
        <v>3023409</v>
      </c>
      <c r="I4021" s="4" t="s">
        <v>688</v>
      </c>
      <c r="J4021" s="4" t="s">
        <v>264</v>
      </c>
      <c r="K4021" s="4">
        <v>3055603</v>
      </c>
    </row>
    <row r="4022" spans="2:11" x14ac:dyDescent="0.3">
      <c r="B4022" s="44">
        <v>46088</v>
      </c>
      <c r="C4022" s="3" t="s">
        <v>416</v>
      </c>
      <c r="D4022" s="3" t="s">
        <v>504</v>
      </c>
      <c r="E4022" s="42"/>
      <c r="F4022" s="3" t="s">
        <v>471</v>
      </c>
      <c r="G4022" s="3" t="s">
        <v>14</v>
      </c>
      <c r="H4022" s="4">
        <v>3348601</v>
      </c>
      <c r="I4022" s="3" t="s">
        <v>475</v>
      </c>
      <c r="J4022" s="3" t="s">
        <v>15</v>
      </c>
      <c r="K4022" s="4">
        <v>3029601</v>
      </c>
    </row>
    <row r="4023" spans="2:11" x14ac:dyDescent="0.3">
      <c r="B4023" s="44">
        <v>46088</v>
      </c>
      <c r="C4023" s="3" t="s">
        <v>416</v>
      </c>
      <c r="D4023" s="3" t="s">
        <v>56</v>
      </c>
      <c r="E4023" s="42"/>
      <c r="F4023" s="3" t="s">
        <v>471</v>
      </c>
      <c r="G4023" s="3" t="s">
        <v>254</v>
      </c>
      <c r="H4023" s="4">
        <v>3068908</v>
      </c>
      <c r="I4023" s="4" t="s">
        <v>696</v>
      </c>
      <c r="J4023" s="4" t="s">
        <v>261</v>
      </c>
      <c r="K4023" s="4">
        <v>3202302</v>
      </c>
    </row>
    <row r="4024" spans="2:11" x14ac:dyDescent="0.3">
      <c r="B4024" s="44">
        <v>46088</v>
      </c>
      <c r="C4024" s="3" t="s">
        <v>416</v>
      </c>
      <c r="D4024" s="3" t="s">
        <v>487</v>
      </c>
      <c r="E4024" s="4"/>
      <c r="F4024" s="4" t="s">
        <v>471</v>
      </c>
      <c r="G4024" s="4" t="s">
        <v>133</v>
      </c>
      <c r="H4024" s="4">
        <v>3348705</v>
      </c>
      <c r="I4024" s="4" t="s">
        <v>710</v>
      </c>
      <c r="J4024" s="4" t="s">
        <v>113</v>
      </c>
      <c r="K4024" s="4">
        <v>3352009</v>
      </c>
    </row>
    <row r="4025" spans="2:11" x14ac:dyDescent="0.3">
      <c r="B4025" s="44">
        <v>46088</v>
      </c>
      <c r="C4025" s="3" t="s">
        <v>416</v>
      </c>
      <c r="D4025" s="3" t="s">
        <v>62</v>
      </c>
      <c r="E4025" s="42"/>
      <c r="F4025" s="4" t="s">
        <v>471</v>
      </c>
      <c r="G4025" s="4" t="s">
        <v>328</v>
      </c>
      <c r="H4025" s="4">
        <v>3196803</v>
      </c>
      <c r="I4025" s="4" t="s">
        <v>660</v>
      </c>
      <c r="J4025" s="4" t="s">
        <v>443</v>
      </c>
      <c r="K4025" s="4">
        <v>3210008</v>
      </c>
    </row>
    <row r="4026" spans="2:11" x14ac:dyDescent="0.3">
      <c r="B4026" s="44">
        <v>46088</v>
      </c>
      <c r="C4026" s="3" t="s">
        <v>416</v>
      </c>
      <c r="D4026" s="3" t="s">
        <v>493</v>
      </c>
      <c r="E4026" s="42"/>
      <c r="F4026" s="3" t="s">
        <v>471</v>
      </c>
      <c r="G4026" s="3" t="s">
        <v>190</v>
      </c>
      <c r="H4026" s="4">
        <v>3348205</v>
      </c>
      <c r="I4026" s="4" t="s">
        <v>676</v>
      </c>
      <c r="J4026" s="4" t="s">
        <v>214</v>
      </c>
      <c r="K4026" s="4">
        <v>3358805</v>
      </c>
    </row>
    <row r="4027" spans="2:11" x14ac:dyDescent="0.3">
      <c r="B4027" s="44">
        <v>46088</v>
      </c>
      <c r="C4027" s="3" t="s">
        <v>416</v>
      </c>
      <c r="D4027" s="3" t="s">
        <v>69</v>
      </c>
      <c r="E4027" s="42"/>
      <c r="F4027" s="3" t="s">
        <v>471</v>
      </c>
      <c r="G4027" s="3" t="s">
        <v>364</v>
      </c>
      <c r="H4027" s="4">
        <v>3197000</v>
      </c>
      <c r="I4027" s="3" t="s">
        <v>663</v>
      </c>
      <c r="J4027" s="3" t="s">
        <v>362</v>
      </c>
      <c r="K4027" s="4">
        <v>3197406</v>
      </c>
    </row>
    <row r="4028" spans="2:11" x14ac:dyDescent="0.3">
      <c r="B4028" s="44">
        <v>46088</v>
      </c>
      <c r="C4028" s="3" t="s">
        <v>416</v>
      </c>
      <c r="D4028" s="3" t="s">
        <v>487</v>
      </c>
      <c r="E4028" s="4"/>
      <c r="F4028" s="4" t="s">
        <v>692</v>
      </c>
      <c r="G4028" s="4" t="s">
        <v>115</v>
      </c>
      <c r="H4028" s="4">
        <v>3068106</v>
      </c>
      <c r="I4028" s="4" t="s">
        <v>657</v>
      </c>
      <c r="J4028" s="4" t="s">
        <v>107</v>
      </c>
      <c r="K4028" s="4">
        <v>3068408</v>
      </c>
    </row>
    <row r="4029" spans="2:11" x14ac:dyDescent="0.3">
      <c r="B4029" s="44">
        <v>46088</v>
      </c>
      <c r="C4029" s="3" t="s">
        <v>416</v>
      </c>
      <c r="D4029" s="3" t="s">
        <v>64</v>
      </c>
      <c r="E4029" s="42">
        <v>4370907</v>
      </c>
      <c r="F4029" s="3" t="s">
        <v>692</v>
      </c>
      <c r="G4029" s="3" t="s">
        <v>342</v>
      </c>
      <c r="H4029" s="4">
        <v>3196501</v>
      </c>
      <c r="I4029" s="4" t="s">
        <v>670</v>
      </c>
      <c r="J4029" s="4" t="s">
        <v>343</v>
      </c>
      <c r="K4029" s="4">
        <v>3195606</v>
      </c>
    </row>
    <row r="4030" spans="2:11" x14ac:dyDescent="0.3">
      <c r="B4030" s="44">
        <v>46088</v>
      </c>
      <c r="C4030" s="3" t="s">
        <v>416</v>
      </c>
      <c r="D4030" s="3" t="s">
        <v>494</v>
      </c>
      <c r="E4030" s="42"/>
      <c r="F4030" s="3" t="s">
        <v>692</v>
      </c>
      <c r="G4030" s="3" t="s">
        <v>144</v>
      </c>
      <c r="H4030" s="4">
        <v>3347904</v>
      </c>
      <c r="I4030" s="3" t="s">
        <v>694</v>
      </c>
      <c r="J4030" s="3" t="s">
        <v>188</v>
      </c>
      <c r="K4030" s="4">
        <v>3353508</v>
      </c>
    </row>
    <row r="4031" spans="2:11" x14ac:dyDescent="0.3">
      <c r="B4031" s="44">
        <v>46088</v>
      </c>
      <c r="C4031" s="3" t="s">
        <v>416</v>
      </c>
      <c r="D4031" s="3" t="s">
        <v>498</v>
      </c>
      <c r="E4031" s="42"/>
      <c r="F4031" s="3" t="s">
        <v>692</v>
      </c>
      <c r="G4031" s="3" t="s">
        <v>223</v>
      </c>
      <c r="H4031" s="4">
        <v>3348007</v>
      </c>
      <c r="I4031" s="3" t="s">
        <v>714</v>
      </c>
      <c r="J4031" s="3" t="s">
        <v>222</v>
      </c>
      <c r="K4031" s="4">
        <v>3348507</v>
      </c>
    </row>
    <row r="4032" spans="2:11" x14ac:dyDescent="0.3">
      <c r="B4032" s="44">
        <v>46088</v>
      </c>
      <c r="C4032" s="3" t="s">
        <v>416</v>
      </c>
      <c r="D4032" s="3" t="s">
        <v>488</v>
      </c>
      <c r="E4032" s="42"/>
      <c r="F4032" s="4" t="s">
        <v>698</v>
      </c>
      <c r="G4032" s="4" t="s">
        <v>561</v>
      </c>
      <c r="H4032" s="4" t="s">
        <v>563</v>
      </c>
      <c r="I4032" s="4" t="s">
        <v>684</v>
      </c>
      <c r="J4032" s="4" t="s">
        <v>121</v>
      </c>
      <c r="K4032" s="4">
        <v>3354309</v>
      </c>
    </row>
    <row r="4033" spans="2:11" x14ac:dyDescent="0.3">
      <c r="B4033" s="44">
        <v>46088</v>
      </c>
      <c r="C4033" s="3" t="s">
        <v>416</v>
      </c>
      <c r="D4033" s="3" t="s">
        <v>58</v>
      </c>
      <c r="E4033" s="42"/>
      <c r="F4033" s="3" t="s">
        <v>698</v>
      </c>
      <c r="G4033" s="3" t="s">
        <v>587</v>
      </c>
      <c r="H4033" s="4" t="s">
        <v>563</v>
      </c>
      <c r="I4033" s="3" t="s">
        <v>721</v>
      </c>
      <c r="J4033" s="3" t="s">
        <v>271</v>
      </c>
      <c r="K4033" s="32">
        <v>3194701</v>
      </c>
    </row>
    <row r="4034" spans="2:11" x14ac:dyDescent="0.3">
      <c r="B4034" s="44">
        <v>46088</v>
      </c>
      <c r="C4034" s="3" t="s">
        <v>416</v>
      </c>
      <c r="D4034" s="4" t="s">
        <v>614</v>
      </c>
      <c r="E4034" s="42"/>
      <c r="F4034" s="3" t="s">
        <v>699</v>
      </c>
      <c r="G4034" s="3" t="s">
        <v>624</v>
      </c>
      <c r="H4034" s="4">
        <v>3196105</v>
      </c>
      <c r="I4034" s="4" t="s">
        <v>673</v>
      </c>
      <c r="J4034" s="4" t="s">
        <v>455</v>
      </c>
      <c r="K4034" s="4">
        <v>3961604</v>
      </c>
    </row>
    <row r="4035" spans="2:11" x14ac:dyDescent="0.3">
      <c r="B4035" s="44">
        <v>46088</v>
      </c>
      <c r="C4035" s="3" t="s">
        <v>416</v>
      </c>
      <c r="D4035" s="3" t="s">
        <v>486</v>
      </c>
      <c r="E4035" s="42"/>
      <c r="F4035" s="3" t="s">
        <v>681</v>
      </c>
      <c r="G4035" s="3" t="s">
        <v>105</v>
      </c>
      <c r="H4035" s="4">
        <v>3035809</v>
      </c>
      <c r="I4035" s="3" t="s">
        <v>474</v>
      </c>
      <c r="J4035" s="3" t="s">
        <v>103</v>
      </c>
      <c r="K4035" s="4">
        <v>3353206</v>
      </c>
    </row>
    <row r="4036" spans="2:11" x14ac:dyDescent="0.3">
      <c r="B4036" s="44">
        <v>46088</v>
      </c>
      <c r="C4036" s="3" t="s">
        <v>416</v>
      </c>
      <c r="D4036" s="3" t="s">
        <v>59</v>
      </c>
      <c r="E4036" s="42"/>
      <c r="F4036" s="3" t="s">
        <v>681</v>
      </c>
      <c r="G4036" s="3" t="s">
        <v>281</v>
      </c>
      <c r="H4036" s="4">
        <v>3195700</v>
      </c>
      <c r="I4036" s="3" t="s">
        <v>687</v>
      </c>
      <c r="J4036" s="3" t="s">
        <v>283</v>
      </c>
      <c r="K4036" s="4">
        <v>3194107</v>
      </c>
    </row>
    <row r="4037" spans="2:11" x14ac:dyDescent="0.3">
      <c r="B4037" s="44">
        <v>46088</v>
      </c>
      <c r="C4037" s="3" t="s">
        <v>416</v>
      </c>
      <c r="D4037" s="3" t="s">
        <v>497</v>
      </c>
      <c r="E4037" s="42"/>
      <c r="F4037" s="3" t="s">
        <v>681</v>
      </c>
      <c r="G4037" s="3" t="s">
        <v>175</v>
      </c>
      <c r="H4037" s="74">
        <v>3347800</v>
      </c>
      <c r="I4037" s="3" t="s">
        <v>678</v>
      </c>
      <c r="J4037" s="3" t="s">
        <v>172</v>
      </c>
      <c r="K4037" s="74">
        <v>3350709</v>
      </c>
    </row>
    <row r="4038" spans="2:11" x14ac:dyDescent="0.3">
      <c r="B4038" s="44">
        <v>46088</v>
      </c>
      <c r="C4038" s="3" t="s">
        <v>416</v>
      </c>
      <c r="D4038" s="3" t="s">
        <v>69</v>
      </c>
      <c r="E4038" s="42"/>
      <c r="F4038" s="3" t="s">
        <v>681</v>
      </c>
      <c r="G4038" s="3" t="s">
        <v>365</v>
      </c>
      <c r="H4038" s="4">
        <v>3195804</v>
      </c>
      <c r="I4038" s="3" t="s">
        <v>657</v>
      </c>
      <c r="J4038" s="3" t="s">
        <v>393</v>
      </c>
      <c r="K4038" s="4">
        <v>3209701</v>
      </c>
    </row>
    <row r="4039" spans="2:11" x14ac:dyDescent="0.3">
      <c r="B4039" s="44">
        <v>46088</v>
      </c>
      <c r="C4039" s="3" t="s">
        <v>416</v>
      </c>
      <c r="D4039" s="3" t="s">
        <v>593</v>
      </c>
      <c r="E4039" s="42"/>
      <c r="F4039" s="3" t="s">
        <v>681</v>
      </c>
      <c r="G4039" s="3" t="s">
        <v>397</v>
      </c>
      <c r="H4039" s="4">
        <v>3195908</v>
      </c>
      <c r="I4039" s="4" t="s">
        <v>663</v>
      </c>
      <c r="J4039" s="4" t="s">
        <v>396</v>
      </c>
      <c r="K4039" s="4">
        <v>3197104</v>
      </c>
    </row>
    <row r="4040" spans="2:11" x14ac:dyDescent="0.3">
      <c r="B4040" s="44">
        <v>46088</v>
      </c>
      <c r="C4040" s="3" t="s">
        <v>416</v>
      </c>
      <c r="D4040" s="3" t="s">
        <v>492</v>
      </c>
      <c r="E4040" s="42"/>
      <c r="F4040" s="4" t="s">
        <v>670</v>
      </c>
      <c r="G4040" s="4" t="s">
        <v>145</v>
      </c>
      <c r="H4040" s="4">
        <v>3347404</v>
      </c>
      <c r="I4040" s="4" t="s">
        <v>646</v>
      </c>
      <c r="J4040" s="4" t="s">
        <v>194</v>
      </c>
      <c r="K4040" s="4">
        <v>3354205</v>
      </c>
    </row>
    <row r="4041" spans="2:11" x14ac:dyDescent="0.3">
      <c r="B4041" s="44">
        <v>46088</v>
      </c>
      <c r="C4041" s="3" t="s">
        <v>416</v>
      </c>
      <c r="D4041" s="3" t="s">
        <v>486</v>
      </c>
      <c r="E4041" s="42"/>
      <c r="F4041" s="3" t="s">
        <v>673</v>
      </c>
      <c r="G4041" s="3" t="s">
        <v>106</v>
      </c>
      <c r="H4041" s="4">
        <v>3067607</v>
      </c>
      <c r="I4041" s="3" t="s">
        <v>682</v>
      </c>
      <c r="J4041" s="3" t="s">
        <v>559</v>
      </c>
      <c r="K4041" s="4">
        <v>3969200</v>
      </c>
    </row>
    <row r="4042" spans="2:11" x14ac:dyDescent="0.3">
      <c r="B4042" s="44">
        <v>46088</v>
      </c>
      <c r="C4042" s="3" t="s">
        <v>416</v>
      </c>
      <c r="D4042" s="3" t="s">
        <v>492</v>
      </c>
      <c r="E4042" s="42"/>
      <c r="F4042" s="4" t="s">
        <v>673</v>
      </c>
      <c r="G4042" s="4" t="s">
        <v>134</v>
      </c>
      <c r="H4042" s="4">
        <v>3347102</v>
      </c>
      <c r="I4042" s="4" t="s">
        <v>648</v>
      </c>
      <c r="J4042" s="4" t="s">
        <v>201</v>
      </c>
      <c r="K4042" s="4">
        <v>3362203</v>
      </c>
    </row>
    <row r="4043" spans="2:11" x14ac:dyDescent="0.3">
      <c r="B4043" s="44">
        <v>46088</v>
      </c>
      <c r="C4043" s="3" t="s">
        <v>416</v>
      </c>
      <c r="D4043" s="3" t="s">
        <v>490</v>
      </c>
      <c r="E4043" s="4"/>
      <c r="F4043" s="3" t="s">
        <v>717</v>
      </c>
      <c r="G4043" s="3" t="s">
        <v>425</v>
      </c>
      <c r="H4043" s="4">
        <v>3347206</v>
      </c>
      <c r="I4043" s="4" t="s">
        <v>480</v>
      </c>
      <c r="J4043" s="4" t="s">
        <v>420</v>
      </c>
      <c r="K4043" s="4">
        <v>3360101</v>
      </c>
    </row>
    <row r="4044" spans="2:11" x14ac:dyDescent="0.3">
      <c r="B4044" s="44">
        <v>46088</v>
      </c>
      <c r="C4044" s="3" t="s">
        <v>416</v>
      </c>
      <c r="D4044" s="3" t="s">
        <v>64</v>
      </c>
      <c r="E4044" s="42">
        <v>4370907</v>
      </c>
      <c r="F4044" s="3" t="s">
        <v>717</v>
      </c>
      <c r="G4044" s="3" t="s">
        <v>432</v>
      </c>
      <c r="H4044" s="4">
        <v>3195106</v>
      </c>
      <c r="I4044" s="4" t="s">
        <v>672</v>
      </c>
      <c r="J4044" s="4" t="s">
        <v>316</v>
      </c>
      <c r="K4044" s="4">
        <v>3069105</v>
      </c>
    </row>
    <row r="4045" spans="2:11" x14ac:dyDescent="0.3">
      <c r="B4045" s="44">
        <v>46088</v>
      </c>
      <c r="C4045" s="3" t="s">
        <v>416</v>
      </c>
      <c r="D4045" s="3" t="s">
        <v>498</v>
      </c>
      <c r="E4045" s="42"/>
      <c r="F4045" s="3" t="s">
        <v>717</v>
      </c>
      <c r="G4045" s="3" t="s">
        <v>429</v>
      </c>
      <c r="H4045" s="4">
        <v>3346905</v>
      </c>
      <c r="I4045" s="3" t="s">
        <v>647</v>
      </c>
      <c r="J4045" s="3" t="s">
        <v>225</v>
      </c>
      <c r="K4045" s="4">
        <v>3345802</v>
      </c>
    </row>
    <row r="4046" spans="2:11" x14ac:dyDescent="0.3">
      <c r="B4046" s="44">
        <v>46088</v>
      </c>
      <c r="C4046" s="3" t="s">
        <v>416</v>
      </c>
      <c r="D4046" s="3" t="s">
        <v>70</v>
      </c>
      <c r="E4046" s="42"/>
      <c r="F4046" s="3" t="s">
        <v>717</v>
      </c>
      <c r="G4046" s="3" t="s">
        <v>434</v>
      </c>
      <c r="H4046" s="4">
        <v>3195408</v>
      </c>
      <c r="I4046" s="3" t="s">
        <v>475</v>
      </c>
      <c r="J4046" s="3" t="s">
        <v>371</v>
      </c>
      <c r="K4046" s="53">
        <v>3212006</v>
      </c>
    </row>
    <row r="4047" spans="2:11" x14ac:dyDescent="0.3">
      <c r="B4047" s="44">
        <v>46088</v>
      </c>
      <c r="C4047" s="3" t="s">
        <v>416</v>
      </c>
      <c r="D4047" s="3" t="s">
        <v>489</v>
      </c>
      <c r="E4047" s="4"/>
      <c r="F4047" s="4" t="s">
        <v>679</v>
      </c>
      <c r="G4047" s="4" t="s">
        <v>135</v>
      </c>
      <c r="H4047" s="4">
        <v>3346603</v>
      </c>
      <c r="I4047" s="3" t="s">
        <v>672</v>
      </c>
      <c r="J4047" s="3" t="s">
        <v>129</v>
      </c>
      <c r="K4047" s="4">
        <v>3067503</v>
      </c>
    </row>
    <row r="4048" spans="2:11" x14ac:dyDescent="0.3">
      <c r="B4048" s="44">
        <v>46088</v>
      </c>
      <c r="C4048" s="3" t="s">
        <v>416</v>
      </c>
      <c r="D4048" s="3" t="s">
        <v>593</v>
      </c>
      <c r="E4048" s="42"/>
      <c r="F4048" s="3" t="s">
        <v>679</v>
      </c>
      <c r="G4048" s="3" t="s">
        <v>633</v>
      </c>
      <c r="H4048" s="4">
        <v>3194607</v>
      </c>
      <c r="I4048" s="4" t="s">
        <v>479</v>
      </c>
      <c r="J4048" s="4" t="s">
        <v>628</v>
      </c>
      <c r="K4048" s="4" t="s">
        <v>642</v>
      </c>
    </row>
    <row r="4049" spans="1:43" x14ac:dyDescent="0.3">
      <c r="B4049" s="44">
        <v>46088</v>
      </c>
      <c r="C4049" s="3" t="s">
        <v>416</v>
      </c>
      <c r="D4049" s="3" t="s">
        <v>64</v>
      </c>
      <c r="E4049" s="42">
        <v>4370907</v>
      </c>
      <c r="F4049" s="3" t="s">
        <v>688</v>
      </c>
      <c r="G4049" s="3" t="s">
        <v>318</v>
      </c>
      <c r="H4049" s="4">
        <v>3037401</v>
      </c>
      <c r="I4049" s="4" t="s">
        <v>475</v>
      </c>
      <c r="J4049" s="4" t="s">
        <v>310</v>
      </c>
      <c r="K4049" s="4">
        <v>3212402</v>
      </c>
    </row>
    <row r="4050" spans="1:43" x14ac:dyDescent="0.3">
      <c r="B4050" s="44">
        <v>46088</v>
      </c>
      <c r="C4050" s="3" t="s">
        <v>416</v>
      </c>
      <c r="D4050" s="3" t="s">
        <v>67</v>
      </c>
      <c r="E4050" s="42"/>
      <c r="F4050" s="3" t="s">
        <v>688</v>
      </c>
      <c r="G4050" s="3" t="s">
        <v>344</v>
      </c>
      <c r="H4050" s="4">
        <v>3194909</v>
      </c>
      <c r="I4050" s="3" t="s">
        <v>662</v>
      </c>
      <c r="J4050" s="3" t="s">
        <v>373</v>
      </c>
      <c r="K4050" s="4">
        <v>3207807</v>
      </c>
    </row>
    <row r="4051" spans="1:43" x14ac:dyDescent="0.3">
      <c r="B4051" s="44">
        <v>46088</v>
      </c>
      <c r="C4051" s="3" t="s">
        <v>416</v>
      </c>
      <c r="D4051" s="3" t="s">
        <v>70</v>
      </c>
      <c r="E4051" s="42"/>
      <c r="F4051" s="3" t="s">
        <v>688</v>
      </c>
      <c r="G4051" s="3" t="s">
        <v>379</v>
      </c>
      <c r="H4051" s="4">
        <v>3194409</v>
      </c>
      <c r="I4051" s="3" t="s">
        <v>472</v>
      </c>
      <c r="J4051" s="3" t="s">
        <v>400</v>
      </c>
      <c r="K4051" s="4">
        <v>3818608</v>
      </c>
    </row>
    <row r="4052" spans="1:43" x14ac:dyDescent="0.3">
      <c r="B4052" s="44">
        <v>46088</v>
      </c>
      <c r="C4052" s="3" t="s">
        <v>416</v>
      </c>
      <c r="D4052" s="3" t="s">
        <v>70</v>
      </c>
      <c r="E4052" s="42"/>
      <c r="F4052" s="3" t="s">
        <v>688</v>
      </c>
      <c r="G4052" s="3" t="s">
        <v>460</v>
      </c>
      <c r="H4052" s="4">
        <v>3194503</v>
      </c>
      <c r="I4052" s="3" t="s">
        <v>689</v>
      </c>
      <c r="J4052" s="3" t="s">
        <v>404</v>
      </c>
      <c r="K4052" s="53">
        <v>3196605</v>
      </c>
    </row>
    <row r="4053" spans="1:43" x14ac:dyDescent="0.3">
      <c r="B4053" s="44">
        <v>46088</v>
      </c>
      <c r="C4053" s="3" t="s">
        <v>416</v>
      </c>
      <c r="D4053" s="3" t="s">
        <v>504</v>
      </c>
      <c r="E4053" s="42"/>
      <c r="F4053" s="4" t="s">
        <v>720</v>
      </c>
      <c r="G4053" s="4" t="s">
        <v>13</v>
      </c>
      <c r="H4053" s="4">
        <v>3125906</v>
      </c>
      <c r="I4053" s="4" t="s">
        <v>480</v>
      </c>
      <c r="J4053" s="4" t="s">
        <v>505</v>
      </c>
      <c r="K4053" s="4">
        <v>3033207</v>
      </c>
    </row>
    <row r="4054" spans="1:43" x14ac:dyDescent="0.3">
      <c r="B4054" s="44">
        <v>46088</v>
      </c>
      <c r="C4054" s="3" t="s">
        <v>416</v>
      </c>
      <c r="D4054" s="3" t="s">
        <v>61</v>
      </c>
      <c r="E4054" s="42"/>
      <c r="F4054" s="4" t="s">
        <v>720</v>
      </c>
      <c r="G4054" s="4" t="s">
        <v>335</v>
      </c>
      <c r="H4054" s="4">
        <v>3194201</v>
      </c>
      <c r="I4054" s="4" t="s">
        <v>477</v>
      </c>
      <c r="J4054" s="4" t="s">
        <v>332</v>
      </c>
      <c r="K4054" s="4">
        <v>3199206</v>
      </c>
    </row>
    <row r="4055" spans="1:43" x14ac:dyDescent="0.3">
      <c r="B4055" s="44">
        <v>46088</v>
      </c>
      <c r="C4055" s="3" t="s">
        <v>416</v>
      </c>
      <c r="D4055" s="3" t="s">
        <v>488</v>
      </c>
      <c r="E4055" s="42"/>
      <c r="F4055" s="3" t="s">
        <v>720</v>
      </c>
      <c r="G4055" s="3" t="s">
        <v>153</v>
      </c>
      <c r="H4055" s="4">
        <v>3033405</v>
      </c>
      <c r="I4055" s="4" t="s">
        <v>645</v>
      </c>
      <c r="J4055" s="4" t="s">
        <v>151</v>
      </c>
      <c r="K4055" s="4">
        <v>3351208</v>
      </c>
    </row>
    <row r="4056" spans="1:43" x14ac:dyDescent="0.3">
      <c r="B4056" s="44">
        <v>46088</v>
      </c>
      <c r="C4056" s="3" t="s">
        <v>416</v>
      </c>
      <c r="D4056" s="3" t="s">
        <v>494</v>
      </c>
      <c r="E4056" s="42"/>
      <c r="F4056" s="4" t="s">
        <v>647</v>
      </c>
      <c r="G4056" s="4" t="s">
        <v>191</v>
      </c>
      <c r="H4056" s="4">
        <v>3345708</v>
      </c>
      <c r="I4056" s="4" t="s">
        <v>708</v>
      </c>
      <c r="J4056" s="4" t="s">
        <v>141</v>
      </c>
      <c r="K4056" s="4">
        <v>3125802</v>
      </c>
    </row>
    <row r="4057" spans="1:43" x14ac:dyDescent="0.3">
      <c r="B4057" s="44">
        <v>46088</v>
      </c>
      <c r="C4057" s="3" t="s">
        <v>416</v>
      </c>
      <c r="D4057" s="3" t="s">
        <v>496</v>
      </c>
      <c r="E4057" s="42"/>
      <c r="F4057" s="4" t="s">
        <v>687</v>
      </c>
      <c r="G4057" s="4" t="s">
        <v>207</v>
      </c>
      <c r="H4057" s="4">
        <v>3346801</v>
      </c>
      <c r="I4057" s="4" t="s">
        <v>710</v>
      </c>
      <c r="J4057" s="4" t="s">
        <v>206</v>
      </c>
      <c r="K4057" s="4">
        <v>3352103</v>
      </c>
    </row>
    <row r="4058" spans="1:43" x14ac:dyDescent="0.3">
      <c r="B4058" s="44">
        <v>46088</v>
      </c>
      <c r="C4058" s="3" t="s">
        <v>416</v>
      </c>
      <c r="D4058" s="3" t="s">
        <v>68</v>
      </c>
      <c r="E4058" s="42"/>
      <c r="F4058" s="3" t="s">
        <v>687</v>
      </c>
      <c r="G4058" s="3" t="s">
        <v>391</v>
      </c>
      <c r="H4058" s="4">
        <v>3193806</v>
      </c>
      <c r="I4058" s="4" t="s">
        <v>665</v>
      </c>
      <c r="J4058" s="4" t="s">
        <v>457</v>
      </c>
      <c r="K4058" s="4">
        <v>3818806</v>
      </c>
    </row>
    <row r="4059" spans="1:43" x14ac:dyDescent="0.3">
      <c r="A4059" s="4"/>
      <c r="B4059" s="100">
        <v>46089</v>
      </c>
      <c r="C4059" s="98" t="s">
        <v>553</v>
      </c>
      <c r="D4059" s="4" t="s">
        <v>516</v>
      </c>
      <c r="E4059" s="4"/>
      <c r="F4059" s="73" t="s">
        <v>533</v>
      </c>
      <c r="G4059" s="73" t="s">
        <v>533</v>
      </c>
      <c r="H4059" s="73"/>
      <c r="I4059" s="73" t="s">
        <v>476</v>
      </c>
      <c r="J4059" s="73" t="s">
        <v>476</v>
      </c>
      <c r="K4059" s="15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</row>
    <row r="4060" spans="1:43" x14ac:dyDescent="0.3">
      <c r="A4060" s="4"/>
      <c r="B4060" s="100">
        <v>46089</v>
      </c>
      <c r="C4060" s="98" t="s">
        <v>553</v>
      </c>
      <c r="D4060" s="4" t="s">
        <v>521</v>
      </c>
      <c r="E4060" s="4"/>
      <c r="F4060" s="73" t="s">
        <v>472</v>
      </c>
      <c r="G4060" s="73" t="s">
        <v>472</v>
      </c>
      <c r="H4060" s="73"/>
      <c r="I4060" s="73" t="s">
        <v>522</v>
      </c>
      <c r="J4060" s="73" t="s">
        <v>522</v>
      </c>
      <c r="K4060" s="15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</row>
    <row r="4061" spans="1:43" x14ac:dyDescent="0.3">
      <c r="A4061" s="4"/>
      <c r="B4061" s="100">
        <v>46089</v>
      </c>
      <c r="C4061" s="98" t="s">
        <v>553</v>
      </c>
      <c r="D4061" s="4" t="s">
        <v>516</v>
      </c>
      <c r="E4061" s="4"/>
      <c r="F4061" s="73" t="s">
        <v>534</v>
      </c>
      <c r="G4061" s="73" t="s">
        <v>524</v>
      </c>
      <c r="H4061" s="73"/>
      <c r="I4061" s="73" t="s">
        <v>518</v>
      </c>
      <c r="J4061" s="73" t="s">
        <v>518</v>
      </c>
      <c r="K4061" s="7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</row>
    <row r="4062" spans="1:43" x14ac:dyDescent="0.3">
      <c r="A4062" s="4"/>
      <c r="B4062" s="100">
        <v>46089</v>
      </c>
      <c r="C4062" s="98" t="s">
        <v>553</v>
      </c>
      <c r="D4062" s="4" t="s">
        <v>516</v>
      </c>
      <c r="E4062" s="4"/>
      <c r="F4062" s="73" t="s">
        <v>474</v>
      </c>
      <c r="G4062" s="73" t="s">
        <v>474</v>
      </c>
      <c r="H4062" s="73"/>
      <c r="I4062" s="73" t="s">
        <v>520</v>
      </c>
      <c r="J4062" s="73" t="s">
        <v>520</v>
      </c>
      <c r="K4062" s="15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</row>
    <row r="4063" spans="1:43" x14ac:dyDescent="0.3">
      <c r="A4063" s="4"/>
      <c r="B4063" s="100">
        <v>46089</v>
      </c>
      <c r="C4063" s="98" t="s">
        <v>553</v>
      </c>
      <c r="D4063" s="4" t="s">
        <v>521</v>
      </c>
      <c r="E4063" s="4"/>
      <c r="F4063" s="73" t="s">
        <v>528</v>
      </c>
      <c r="G4063" s="73" t="s">
        <v>528</v>
      </c>
      <c r="H4063" s="73"/>
      <c r="I4063" s="73" t="s">
        <v>479</v>
      </c>
      <c r="J4063" s="73" t="s">
        <v>479</v>
      </c>
      <c r="K4063" s="7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</row>
    <row r="4064" spans="1:43" x14ac:dyDescent="0.3">
      <c r="A4064" s="4"/>
      <c r="B4064" s="100">
        <v>46089</v>
      </c>
      <c r="C4064" s="98" t="s">
        <v>553</v>
      </c>
      <c r="D4064" s="4" t="s">
        <v>521</v>
      </c>
      <c r="E4064" s="4"/>
      <c r="F4064" s="73" t="s">
        <v>471</v>
      </c>
      <c r="G4064" s="73" t="s">
        <v>471</v>
      </c>
      <c r="H4064" s="73"/>
      <c r="I4064" s="73" t="s">
        <v>535</v>
      </c>
      <c r="J4064" s="73" t="s">
        <v>535</v>
      </c>
      <c r="K4064" s="15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</row>
    <row r="4065" spans="2:13" x14ac:dyDescent="0.3">
      <c r="B4065" s="44">
        <v>46095</v>
      </c>
      <c r="C4065" s="3" t="s">
        <v>416</v>
      </c>
      <c r="D4065" s="3" t="s">
        <v>504</v>
      </c>
      <c r="E4065" s="42"/>
      <c r="F4065" s="3" t="s">
        <v>475</v>
      </c>
      <c r="G4065" s="3" t="s">
        <v>15</v>
      </c>
      <c r="H4065" s="4">
        <v>3029601</v>
      </c>
      <c r="I4065" s="3" t="s">
        <v>645</v>
      </c>
      <c r="J4065" s="3" t="s">
        <v>37</v>
      </c>
      <c r="K4065" s="4">
        <v>3029903</v>
      </c>
    </row>
    <row r="4066" spans="2:13" x14ac:dyDescent="0.3">
      <c r="B4066" s="44">
        <v>46095</v>
      </c>
      <c r="C4066" s="3" t="s">
        <v>416</v>
      </c>
      <c r="D4066" s="3" t="s">
        <v>56</v>
      </c>
      <c r="E4066" s="42"/>
      <c r="F4066" s="3" t="s">
        <v>475</v>
      </c>
      <c r="G4066" s="3" t="s">
        <v>256</v>
      </c>
      <c r="H4066" s="4">
        <v>3068700</v>
      </c>
      <c r="I4066" s="3" t="s">
        <v>690</v>
      </c>
      <c r="J4066" s="3" t="s">
        <v>250</v>
      </c>
      <c r="K4066" s="4">
        <v>3070100</v>
      </c>
    </row>
    <row r="4067" spans="2:13" x14ac:dyDescent="0.3">
      <c r="B4067" s="44">
        <v>46095</v>
      </c>
      <c r="C4067" s="3" t="s">
        <v>416</v>
      </c>
      <c r="D4067" s="3" t="s">
        <v>490</v>
      </c>
      <c r="E4067" s="4"/>
      <c r="F4067" s="3" t="s">
        <v>475</v>
      </c>
      <c r="G4067" s="3" t="s">
        <v>125</v>
      </c>
      <c r="H4067" s="4">
        <v>3362807</v>
      </c>
      <c r="I4067" s="4" t="s">
        <v>691</v>
      </c>
      <c r="J4067" s="4" t="s">
        <v>142</v>
      </c>
      <c r="K4067" s="4">
        <v>3350501</v>
      </c>
    </row>
    <row r="4068" spans="2:13" x14ac:dyDescent="0.3">
      <c r="B4068" s="44">
        <v>46095</v>
      </c>
      <c r="C4068" s="3" t="s">
        <v>416</v>
      </c>
      <c r="D4068" s="3" t="s">
        <v>64</v>
      </c>
      <c r="E4068" s="42">
        <v>4370907</v>
      </c>
      <c r="F4068" s="3" t="s">
        <v>475</v>
      </c>
      <c r="G4068" s="3" t="s">
        <v>310</v>
      </c>
      <c r="H4068" s="4">
        <v>3212402</v>
      </c>
      <c r="I4068" s="4" t="s">
        <v>717</v>
      </c>
      <c r="J4068" s="4" t="s">
        <v>432</v>
      </c>
      <c r="K4068" s="4">
        <v>3195106</v>
      </c>
    </row>
    <row r="4069" spans="2:13" x14ac:dyDescent="0.3">
      <c r="B4069" s="44">
        <v>46095</v>
      </c>
      <c r="C4069" s="3" t="s">
        <v>416</v>
      </c>
      <c r="D4069" s="3" t="s">
        <v>67</v>
      </c>
      <c r="E4069" s="42"/>
      <c r="F4069" s="4" t="s">
        <v>475</v>
      </c>
      <c r="G4069" s="4" t="s">
        <v>336</v>
      </c>
      <c r="H4069" s="4">
        <v>3211809</v>
      </c>
      <c r="I4069" s="3" t="s">
        <v>472</v>
      </c>
      <c r="J4069" s="3" t="s">
        <v>374</v>
      </c>
      <c r="K4069" s="4">
        <v>3207203</v>
      </c>
    </row>
    <row r="4070" spans="2:13" x14ac:dyDescent="0.3">
      <c r="B4070" s="44">
        <v>46095</v>
      </c>
      <c r="C4070" s="3" t="s">
        <v>416</v>
      </c>
      <c r="D4070" s="3" t="s">
        <v>501</v>
      </c>
      <c r="E4070" s="42"/>
      <c r="F4070" s="3" t="s">
        <v>475</v>
      </c>
      <c r="G4070" s="3" t="s">
        <v>241</v>
      </c>
      <c r="H4070" s="4">
        <v>3362401</v>
      </c>
      <c r="I4070" s="3" t="s">
        <v>682</v>
      </c>
      <c r="J4070" s="3" t="s">
        <v>579</v>
      </c>
      <c r="K4070" s="53">
        <v>3970007</v>
      </c>
      <c r="M4070" s="51"/>
    </row>
    <row r="4071" spans="2:13" x14ac:dyDescent="0.3">
      <c r="B4071" s="44">
        <v>46095</v>
      </c>
      <c r="C4071" s="3" t="s">
        <v>416</v>
      </c>
      <c r="D4071" s="3" t="s">
        <v>492</v>
      </c>
      <c r="E4071" s="42"/>
      <c r="F4071" s="4" t="s">
        <v>648</v>
      </c>
      <c r="G4071" s="4" t="s">
        <v>201</v>
      </c>
      <c r="H4071" s="4">
        <v>3362203</v>
      </c>
      <c r="I4071" s="3" t="s">
        <v>714</v>
      </c>
      <c r="J4071" s="3" t="s">
        <v>162</v>
      </c>
      <c r="K4071" s="4">
        <v>3348903</v>
      </c>
    </row>
    <row r="4072" spans="2:13" x14ac:dyDescent="0.3">
      <c r="B4072" s="44">
        <v>46095</v>
      </c>
      <c r="C4072" s="3" t="s">
        <v>416</v>
      </c>
      <c r="D4072" s="3" t="s">
        <v>492</v>
      </c>
      <c r="E4072" s="42"/>
      <c r="F4072" s="3" t="s">
        <v>649</v>
      </c>
      <c r="G4072" s="3" t="s">
        <v>154</v>
      </c>
      <c r="H4072" s="4">
        <v>3362109</v>
      </c>
      <c r="I4072" s="3" t="s">
        <v>474</v>
      </c>
      <c r="J4072" s="3" t="s">
        <v>161</v>
      </c>
      <c r="K4072" s="4">
        <v>3352509</v>
      </c>
    </row>
    <row r="4073" spans="2:13" x14ac:dyDescent="0.3">
      <c r="B4073" s="44">
        <v>46095</v>
      </c>
      <c r="C4073" s="3" t="s">
        <v>416</v>
      </c>
      <c r="D4073" s="3" t="s">
        <v>496</v>
      </c>
      <c r="E4073" s="42"/>
      <c r="F4073" s="3" t="s">
        <v>651</v>
      </c>
      <c r="G4073" s="3" t="s">
        <v>202</v>
      </c>
      <c r="H4073" s="74">
        <v>3361808</v>
      </c>
      <c r="I4073" s="3" t="s">
        <v>671</v>
      </c>
      <c r="J4073" s="3" t="s">
        <v>227</v>
      </c>
      <c r="K4073" s="4">
        <v>3359408</v>
      </c>
    </row>
    <row r="4074" spans="2:13" x14ac:dyDescent="0.3">
      <c r="B4074" s="44">
        <v>46095</v>
      </c>
      <c r="C4074" s="3" t="s">
        <v>416</v>
      </c>
      <c r="D4074" s="3" t="s">
        <v>490</v>
      </c>
      <c r="E4074" s="4"/>
      <c r="F4074" s="3" t="s">
        <v>653</v>
      </c>
      <c r="G4074" s="3" t="s">
        <v>126</v>
      </c>
      <c r="H4074" s="4">
        <v>3361402</v>
      </c>
      <c r="I4074" s="4" t="s">
        <v>479</v>
      </c>
      <c r="J4074" s="4" t="s">
        <v>166</v>
      </c>
      <c r="K4074" s="4">
        <v>3361006</v>
      </c>
    </row>
    <row r="4075" spans="2:13" x14ac:dyDescent="0.3">
      <c r="B4075" s="44">
        <v>46095</v>
      </c>
      <c r="C4075" s="3" t="s">
        <v>416</v>
      </c>
      <c r="D4075" s="3" t="s">
        <v>65</v>
      </c>
      <c r="E4075" s="42"/>
      <c r="F4075" s="3" t="s">
        <v>653</v>
      </c>
      <c r="G4075" s="3" t="s">
        <v>451</v>
      </c>
      <c r="H4075" s="4">
        <v>3211309</v>
      </c>
      <c r="I4075" s="4" t="s">
        <v>678</v>
      </c>
      <c r="J4075" s="4" t="s">
        <v>452</v>
      </c>
      <c r="K4075" s="4">
        <v>3198207</v>
      </c>
    </row>
    <row r="4076" spans="2:13" x14ac:dyDescent="0.3">
      <c r="B4076" s="44">
        <v>46095</v>
      </c>
      <c r="C4076" s="3" t="s">
        <v>416</v>
      </c>
      <c r="D4076" s="3" t="s">
        <v>487</v>
      </c>
      <c r="E4076" s="4"/>
      <c r="F4076" s="3" t="s">
        <v>479</v>
      </c>
      <c r="G4076" s="3" t="s">
        <v>127</v>
      </c>
      <c r="H4076" s="4">
        <v>3360809</v>
      </c>
      <c r="I4076" s="3" t="s">
        <v>663</v>
      </c>
      <c r="J4076" s="3" t="s">
        <v>419</v>
      </c>
      <c r="K4076" s="4">
        <v>3349204</v>
      </c>
    </row>
    <row r="4077" spans="2:13" x14ac:dyDescent="0.3">
      <c r="B4077" s="44">
        <v>46095</v>
      </c>
      <c r="C4077" s="3" t="s">
        <v>416</v>
      </c>
      <c r="D4077" s="3" t="s">
        <v>59</v>
      </c>
      <c r="E4077" s="42"/>
      <c r="F4077" s="4" t="s">
        <v>479</v>
      </c>
      <c r="G4077" s="4" t="s">
        <v>273</v>
      </c>
      <c r="H4077" s="4">
        <v>3211007</v>
      </c>
      <c r="I4077" s="3" t="s">
        <v>652</v>
      </c>
      <c r="J4077" s="3" t="s">
        <v>313</v>
      </c>
      <c r="K4077" s="4">
        <v>3207901</v>
      </c>
    </row>
    <row r="4078" spans="2:13" x14ac:dyDescent="0.3">
      <c r="B4078" s="44">
        <v>46095</v>
      </c>
      <c r="C4078" s="3" t="s">
        <v>416</v>
      </c>
      <c r="D4078" s="3" t="s">
        <v>493</v>
      </c>
      <c r="E4078" s="42"/>
      <c r="F4078" s="3" t="s">
        <v>479</v>
      </c>
      <c r="G4078" s="3" t="s">
        <v>211</v>
      </c>
      <c r="H4078" s="4">
        <v>3361204</v>
      </c>
      <c r="I4078" s="4" t="s">
        <v>657</v>
      </c>
      <c r="J4078" s="4" t="s">
        <v>167</v>
      </c>
      <c r="K4078" s="4">
        <v>3359804</v>
      </c>
    </row>
    <row r="4079" spans="2:13" x14ac:dyDescent="0.3">
      <c r="B4079" s="44">
        <v>46095</v>
      </c>
      <c r="C4079" s="3" t="s">
        <v>416</v>
      </c>
      <c r="D4079" s="3" t="s">
        <v>69</v>
      </c>
      <c r="E4079" s="42"/>
      <c r="F4079" s="3" t="s">
        <v>479</v>
      </c>
      <c r="G4079" s="3" t="s">
        <v>392</v>
      </c>
      <c r="H4079" s="53">
        <v>3210706</v>
      </c>
      <c r="I4079" s="3" t="s">
        <v>655</v>
      </c>
      <c r="J4079" s="3" t="s">
        <v>394</v>
      </c>
      <c r="K4079" s="4">
        <v>3201105</v>
      </c>
    </row>
    <row r="4080" spans="2:13" x14ac:dyDescent="0.3">
      <c r="B4080" s="44">
        <v>46095</v>
      </c>
      <c r="C4080" s="3" t="s">
        <v>416</v>
      </c>
      <c r="D4080" s="3" t="s">
        <v>500</v>
      </c>
      <c r="E4080" s="42"/>
      <c r="F4080" s="3" t="s">
        <v>479</v>
      </c>
      <c r="G4080" s="3" t="s">
        <v>232</v>
      </c>
      <c r="H4080" s="4">
        <v>3360507</v>
      </c>
      <c r="I4080" s="4" t="s">
        <v>476</v>
      </c>
      <c r="J4080" s="4" t="s">
        <v>575</v>
      </c>
      <c r="K4080" s="4">
        <v>3900005</v>
      </c>
    </row>
    <row r="4081" spans="1:43" x14ac:dyDescent="0.3">
      <c r="B4081" s="44">
        <v>46095</v>
      </c>
      <c r="C4081" s="3" t="s">
        <v>416</v>
      </c>
      <c r="D4081" s="3" t="s">
        <v>500</v>
      </c>
      <c r="E4081" s="42"/>
      <c r="F4081" s="3" t="s">
        <v>479</v>
      </c>
      <c r="G4081" s="3" t="s">
        <v>465</v>
      </c>
      <c r="H4081" s="4">
        <v>3962207</v>
      </c>
      <c r="I4081" s="4" t="s">
        <v>654</v>
      </c>
      <c r="J4081" s="4" t="s">
        <v>576</v>
      </c>
      <c r="K4081" s="4">
        <v>4009003</v>
      </c>
    </row>
    <row r="4082" spans="1:43" x14ac:dyDescent="0.3">
      <c r="B4082" s="44">
        <v>46095</v>
      </c>
      <c r="C4082" s="3" t="s">
        <v>416</v>
      </c>
      <c r="D4082" s="3" t="s">
        <v>593</v>
      </c>
      <c r="E4082" s="42"/>
      <c r="F4082" s="3" t="s">
        <v>479</v>
      </c>
      <c r="G4082" s="3" t="s">
        <v>628</v>
      </c>
      <c r="H4082" s="4" t="s">
        <v>642</v>
      </c>
      <c r="I4082" s="4" t="s">
        <v>681</v>
      </c>
      <c r="J4082" s="4" t="s">
        <v>397</v>
      </c>
      <c r="K4082" s="4">
        <v>3195908</v>
      </c>
    </row>
    <row r="4083" spans="1:43" x14ac:dyDescent="0.3">
      <c r="A4083" s="4"/>
      <c r="B4083" s="100">
        <v>46095</v>
      </c>
      <c r="C4083" s="98" t="s">
        <v>553</v>
      </c>
      <c r="D4083" s="4" t="s">
        <v>508</v>
      </c>
      <c r="E4083" s="4"/>
      <c r="F4083" s="73" t="s">
        <v>554</v>
      </c>
      <c r="G4083" s="73" t="s">
        <v>9</v>
      </c>
      <c r="H4083" s="73"/>
      <c r="I4083" s="73" t="s">
        <v>475</v>
      </c>
      <c r="J4083" s="73" t="s">
        <v>475</v>
      </c>
      <c r="K4083" s="7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</row>
    <row r="4084" spans="1:43" x14ac:dyDescent="0.3">
      <c r="B4084" s="44">
        <v>46095</v>
      </c>
      <c r="C4084" s="3" t="s">
        <v>416</v>
      </c>
      <c r="D4084" s="3" t="s">
        <v>61</v>
      </c>
      <c r="E4084" s="42"/>
      <c r="F4084" s="4" t="s">
        <v>658</v>
      </c>
      <c r="G4084" s="4" t="s">
        <v>301</v>
      </c>
      <c r="H4084" s="4">
        <v>3210300</v>
      </c>
      <c r="I4084" s="3" t="s">
        <v>684</v>
      </c>
      <c r="J4084" s="3" t="s">
        <v>306</v>
      </c>
      <c r="K4084" s="4">
        <v>3202604</v>
      </c>
    </row>
    <row r="4085" spans="1:43" x14ac:dyDescent="0.3">
      <c r="B4085" s="44">
        <v>46095</v>
      </c>
      <c r="C4085" s="3" t="s">
        <v>416</v>
      </c>
      <c r="D4085" s="3" t="s">
        <v>63</v>
      </c>
      <c r="E4085" s="42"/>
      <c r="F4085" s="3" t="s">
        <v>658</v>
      </c>
      <c r="G4085" s="3" t="s">
        <v>366</v>
      </c>
      <c r="H4085" s="74">
        <v>3210404</v>
      </c>
      <c r="I4085" s="3" t="s">
        <v>697</v>
      </c>
      <c r="J4085" s="3" t="s">
        <v>448</v>
      </c>
      <c r="K4085" s="4">
        <v>3036808</v>
      </c>
    </row>
    <row r="4086" spans="1:43" x14ac:dyDescent="0.3">
      <c r="B4086" s="44">
        <v>46095</v>
      </c>
      <c r="C4086" s="3" t="s">
        <v>416</v>
      </c>
      <c r="D4086" s="3" t="s">
        <v>504</v>
      </c>
      <c r="E4086" s="42"/>
      <c r="F4086" s="4" t="s">
        <v>480</v>
      </c>
      <c r="G4086" s="4" t="s">
        <v>505</v>
      </c>
      <c r="H4086" s="4">
        <v>3033207</v>
      </c>
      <c r="I4086" s="3" t="s">
        <v>662</v>
      </c>
      <c r="J4086" s="3" t="s">
        <v>99</v>
      </c>
      <c r="K4086" s="4">
        <v>3125604</v>
      </c>
    </row>
    <row r="4087" spans="1:43" x14ac:dyDescent="0.3">
      <c r="B4087" s="44">
        <v>46095</v>
      </c>
      <c r="C4087" s="3" t="s">
        <v>416</v>
      </c>
      <c r="D4087" s="3" t="s">
        <v>490</v>
      </c>
      <c r="E4087" s="4"/>
      <c r="F4087" s="3" t="s">
        <v>480</v>
      </c>
      <c r="G4087" s="3" t="s">
        <v>420</v>
      </c>
      <c r="H4087" s="4">
        <v>3360101</v>
      </c>
      <c r="I4087" s="4" t="s">
        <v>476</v>
      </c>
      <c r="J4087" s="4" t="s">
        <v>168</v>
      </c>
      <c r="K4087" s="4">
        <v>3356505</v>
      </c>
    </row>
    <row r="4088" spans="1:43" x14ac:dyDescent="0.3">
      <c r="B4088" s="44">
        <v>46095</v>
      </c>
      <c r="C4088" s="3" t="s">
        <v>416</v>
      </c>
      <c r="D4088" s="3" t="s">
        <v>59</v>
      </c>
      <c r="E4088" s="42"/>
      <c r="F4088" s="3" t="s">
        <v>661</v>
      </c>
      <c r="G4088" s="3" t="s">
        <v>641</v>
      </c>
      <c r="H4088" s="4">
        <v>3055707</v>
      </c>
      <c r="I4088" s="3" t="s">
        <v>476</v>
      </c>
      <c r="J4088" s="3" t="s">
        <v>274</v>
      </c>
      <c r="K4088" s="4">
        <v>3206902</v>
      </c>
    </row>
    <row r="4089" spans="1:43" x14ac:dyDescent="0.3">
      <c r="B4089" s="44">
        <v>46095</v>
      </c>
      <c r="C4089" s="3" t="s">
        <v>416</v>
      </c>
      <c r="D4089" s="3" t="s">
        <v>593</v>
      </c>
      <c r="E4089" s="42"/>
      <c r="F4089" s="3" t="s">
        <v>661</v>
      </c>
      <c r="G4089" s="3" t="s">
        <v>640</v>
      </c>
      <c r="H4089" s="4">
        <v>3210102</v>
      </c>
      <c r="I4089" s="4" t="s">
        <v>694</v>
      </c>
      <c r="J4089" s="4" t="s">
        <v>632</v>
      </c>
      <c r="K4089" s="4">
        <v>4023303</v>
      </c>
    </row>
    <row r="4090" spans="1:43" x14ac:dyDescent="0.3">
      <c r="B4090" s="44">
        <v>46095</v>
      </c>
      <c r="C4090" s="3" t="s">
        <v>416</v>
      </c>
      <c r="D4090" s="3" t="s">
        <v>68</v>
      </c>
      <c r="E4090" s="42"/>
      <c r="F4090" s="15" t="s">
        <v>664</v>
      </c>
      <c r="G4090" s="15" t="s">
        <v>388</v>
      </c>
      <c r="H4090" s="74">
        <v>3165306</v>
      </c>
      <c r="I4090" s="4" t="s">
        <v>687</v>
      </c>
      <c r="J4090" s="4" t="s">
        <v>391</v>
      </c>
      <c r="K4090" s="4">
        <v>3193806</v>
      </c>
    </row>
    <row r="4091" spans="1:43" x14ac:dyDescent="0.3">
      <c r="B4091" s="44">
        <v>46095</v>
      </c>
      <c r="C4091" s="3" t="s">
        <v>416</v>
      </c>
      <c r="D4091" s="3" t="s">
        <v>490</v>
      </c>
      <c r="E4091" s="4"/>
      <c r="F4091" s="3" t="s">
        <v>660</v>
      </c>
      <c r="G4091" s="3" t="s">
        <v>137</v>
      </c>
      <c r="H4091" s="4">
        <v>3359908</v>
      </c>
      <c r="I4091" s="4" t="s">
        <v>472</v>
      </c>
      <c r="J4091" s="4" t="s">
        <v>140</v>
      </c>
      <c r="K4091" s="4">
        <v>3357900</v>
      </c>
    </row>
    <row r="4092" spans="1:43" x14ac:dyDescent="0.3">
      <c r="B4092" s="44">
        <v>46095</v>
      </c>
      <c r="C4092" s="3" t="s">
        <v>416</v>
      </c>
      <c r="D4092" s="3" t="s">
        <v>62</v>
      </c>
      <c r="E4092" s="42"/>
      <c r="F4092" s="3" t="s">
        <v>660</v>
      </c>
      <c r="G4092" s="3" t="s">
        <v>443</v>
      </c>
      <c r="H4092" s="4">
        <v>3210008</v>
      </c>
      <c r="I4092" s="3" t="s">
        <v>676</v>
      </c>
      <c r="J4092" s="3" t="s">
        <v>286</v>
      </c>
      <c r="K4092" s="4">
        <v>3019605</v>
      </c>
    </row>
    <row r="4093" spans="1:43" x14ac:dyDescent="0.3">
      <c r="B4093" s="44">
        <v>46095</v>
      </c>
      <c r="C4093" s="3" t="s">
        <v>416</v>
      </c>
      <c r="D4093" s="3" t="s">
        <v>497</v>
      </c>
      <c r="E4093" s="42"/>
      <c r="F4093" s="17" t="s">
        <v>660</v>
      </c>
      <c r="G4093" s="17" t="s">
        <v>212</v>
      </c>
      <c r="H4093" s="74">
        <v>3360007</v>
      </c>
      <c r="I4093" s="3" t="s">
        <v>681</v>
      </c>
      <c r="J4093" s="3" t="s">
        <v>175</v>
      </c>
      <c r="K4093" s="74">
        <v>3347800</v>
      </c>
    </row>
    <row r="4094" spans="1:43" x14ac:dyDescent="0.3">
      <c r="B4094" s="44">
        <v>46095</v>
      </c>
      <c r="C4094" s="3" t="s">
        <v>416</v>
      </c>
      <c r="D4094" s="3" t="s">
        <v>487</v>
      </c>
      <c r="E4094" s="4"/>
      <c r="F4094" s="4" t="s">
        <v>657</v>
      </c>
      <c r="G4094" s="4" t="s">
        <v>107</v>
      </c>
      <c r="H4094" s="4">
        <v>3068408</v>
      </c>
      <c r="I4094" s="3" t="s">
        <v>709</v>
      </c>
      <c r="J4094" s="3" t="s">
        <v>111</v>
      </c>
      <c r="K4094" s="4">
        <v>3354601</v>
      </c>
    </row>
    <row r="4095" spans="1:43" x14ac:dyDescent="0.3">
      <c r="B4095" s="44">
        <v>46095</v>
      </c>
      <c r="C4095" s="3" t="s">
        <v>416</v>
      </c>
      <c r="D4095" s="3" t="s">
        <v>69</v>
      </c>
      <c r="E4095" s="42"/>
      <c r="F4095" s="3" t="s">
        <v>657</v>
      </c>
      <c r="G4095" s="3" t="s">
        <v>393</v>
      </c>
      <c r="H4095" s="4">
        <v>3209701</v>
      </c>
      <c r="I4095" s="3" t="s">
        <v>656</v>
      </c>
      <c r="J4095" s="3" t="s">
        <v>361</v>
      </c>
      <c r="K4095" s="4">
        <v>3200002</v>
      </c>
    </row>
    <row r="4096" spans="1:43" x14ac:dyDescent="0.3">
      <c r="B4096" s="44">
        <v>46095</v>
      </c>
      <c r="C4096" s="3" t="s">
        <v>416</v>
      </c>
      <c r="D4096" s="3" t="s">
        <v>500</v>
      </c>
      <c r="E4096" s="42"/>
      <c r="F4096" s="3" t="s">
        <v>657</v>
      </c>
      <c r="G4096" s="3" t="s">
        <v>574</v>
      </c>
      <c r="H4096" s="4">
        <v>3359606</v>
      </c>
      <c r="I4096" s="4" t="s">
        <v>691</v>
      </c>
      <c r="J4096" s="4" t="s">
        <v>238</v>
      </c>
      <c r="K4096" s="4">
        <v>3350105</v>
      </c>
    </row>
    <row r="4097" spans="2:11" x14ac:dyDescent="0.3">
      <c r="B4097" s="44">
        <v>46095</v>
      </c>
      <c r="C4097" s="3" t="s">
        <v>416</v>
      </c>
      <c r="D4097" s="3" t="s">
        <v>67</v>
      </c>
      <c r="E4097" s="42"/>
      <c r="F4097" s="3" t="s">
        <v>570</v>
      </c>
      <c r="G4097" s="3" t="s">
        <v>570</v>
      </c>
      <c r="H4097" s="4" t="s">
        <v>556</v>
      </c>
      <c r="I4097" s="3" t="s">
        <v>672</v>
      </c>
      <c r="J4097" s="3" t="s">
        <v>375</v>
      </c>
      <c r="K4097" s="4">
        <v>3069209</v>
      </c>
    </row>
    <row r="4098" spans="2:11" x14ac:dyDescent="0.3">
      <c r="B4098" s="44">
        <v>46095</v>
      </c>
      <c r="C4098" s="3" t="s">
        <v>416</v>
      </c>
      <c r="D4098" s="3" t="s">
        <v>68</v>
      </c>
      <c r="E4098" s="42"/>
      <c r="F4098" s="3" t="s">
        <v>570</v>
      </c>
      <c r="G4098" s="3" t="s">
        <v>570</v>
      </c>
      <c r="H4098" s="4" t="s">
        <v>556</v>
      </c>
      <c r="I4098" s="4" t="s">
        <v>649</v>
      </c>
      <c r="J4098" s="4" t="s">
        <v>456</v>
      </c>
      <c r="K4098" s="4">
        <v>3545602</v>
      </c>
    </row>
    <row r="4099" spans="2:11" x14ac:dyDescent="0.3">
      <c r="B4099" s="44">
        <v>46095</v>
      </c>
      <c r="C4099" s="3" t="s">
        <v>416</v>
      </c>
      <c r="D4099" s="3" t="s">
        <v>593</v>
      </c>
      <c r="E4099" s="42"/>
      <c r="F4099" s="15" t="s">
        <v>570</v>
      </c>
      <c r="G4099" s="15" t="s">
        <v>570</v>
      </c>
      <c r="H4099" s="74" t="s">
        <v>556</v>
      </c>
      <c r="I4099" s="4" t="s">
        <v>679</v>
      </c>
      <c r="J4099" s="4" t="s">
        <v>633</v>
      </c>
      <c r="K4099" s="4">
        <v>3194607</v>
      </c>
    </row>
    <row r="4100" spans="2:11" x14ac:dyDescent="0.3">
      <c r="B4100" s="44">
        <v>46095</v>
      </c>
      <c r="C4100" s="3" t="s">
        <v>416</v>
      </c>
      <c r="D4100" s="3" t="s">
        <v>57</v>
      </c>
      <c r="E4100" s="42"/>
      <c r="F4100" s="3" t="s">
        <v>667</v>
      </c>
      <c r="G4100" s="3" t="s">
        <v>257</v>
      </c>
      <c r="H4100" s="4">
        <v>3209805</v>
      </c>
      <c r="I4100" s="3" t="s">
        <v>682</v>
      </c>
      <c r="J4100" s="3" t="s">
        <v>584</v>
      </c>
      <c r="K4100" s="4">
        <v>3069303</v>
      </c>
    </row>
    <row r="4101" spans="2:11" x14ac:dyDescent="0.3">
      <c r="B4101" s="44">
        <v>46095</v>
      </c>
      <c r="C4101" s="3" t="s">
        <v>416</v>
      </c>
      <c r="D4101" s="3" t="s">
        <v>64</v>
      </c>
      <c r="E4101" s="42">
        <v>4370907</v>
      </c>
      <c r="F4101" s="3" t="s">
        <v>669</v>
      </c>
      <c r="G4101" s="3" t="s">
        <v>337</v>
      </c>
      <c r="H4101" s="4">
        <v>3209305</v>
      </c>
      <c r="I4101" s="4" t="s">
        <v>710</v>
      </c>
      <c r="J4101" s="4" t="s">
        <v>354</v>
      </c>
      <c r="K4101" s="4">
        <v>3199404</v>
      </c>
    </row>
    <row r="4102" spans="2:11" x14ac:dyDescent="0.3">
      <c r="B4102" s="44">
        <v>46095</v>
      </c>
      <c r="C4102" s="3" t="s">
        <v>416</v>
      </c>
      <c r="D4102" s="3" t="s">
        <v>504</v>
      </c>
      <c r="E4102" s="42"/>
      <c r="F4102" s="4" t="s">
        <v>671</v>
      </c>
      <c r="G4102" s="4" t="s">
        <v>8</v>
      </c>
      <c r="H4102" s="4">
        <v>3034008</v>
      </c>
      <c r="I4102" s="4" t="s">
        <v>720</v>
      </c>
      <c r="J4102" s="4" t="s">
        <v>13</v>
      </c>
      <c r="K4102" s="4">
        <v>3125906</v>
      </c>
    </row>
    <row r="4103" spans="2:11" x14ac:dyDescent="0.3">
      <c r="B4103" s="44">
        <v>46095</v>
      </c>
      <c r="C4103" s="3" t="s">
        <v>416</v>
      </c>
      <c r="D4103" s="3" t="s">
        <v>489</v>
      </c>
      <c r="E4103" s="4"/>
      <c r="F4103" s="3" t="s">
        <v>671</v>
      </c>
      <c r="G4103" s="3" t="s">
        <v>156</v>
      </c>
      <c r="H4103" s="4">
        <v>3359200</v>
      </c>
      <c r="I4103" s="4" t="s">
        <v>679</v>
      </c>
      <c r="J4103" s="4" t="s">
        <v>135</v>
      </c>
      <c r="K4103" s="4">
        <v>3346603</v>
      </c>
    </row>
    <row r="4104" spans="2:11" x14ac:dyDescent="0.3">
      <c r="B4104" s="44">
        <v>46095</v>
      </c>
      <c r="C4104" s="3" t="s">
        <v>416</v>
      </c>
      <c r="D4104" s="3" t="s">
        <v>64</v>
      </c>
      <c r="E4104" s="42">
        <v>4370907</v>
      </c>
      <c r="F4104" s="3" t="s">
        <v>671</v>
      </c>
      <c r="G4104" s="3" t="s">
        <v>312</v>
      </c>
      <c r="H4104" s="4">
        <v>3209107</v>
      </c>
      <c r="I4104" s="4" t="s">
        <v>646</v>
      </c>
      <c r="J4104" s="4" t="s">
        <v>349</v>
      </c>
      <c r="K4104" s="4">
        <v>3202500</v>
      </c>
    </row>
    <row r="4105" spans="2:11" x14ac:dyDescent="0.3">
      <c r="B4105" s="44">
        <v>46095</v>
      </c>
      <c r="C4105" s="3" t="s">
        <v>416</v>
      </c>
      <c r="D4105" s="3" t="s">
        <v>68</v>
      </c>
      <c r="E4105" s="42"/>
      <c r="F4105" s="3" t="s">
        <v>671</v>
      </c>
      <c r="G4105" s="3" t="s">
        <v>389</v>
      </c>
      <c r="H4105" s="4">
        <v>3209201</v>
      </c>
      <c r="I4105" s="4" t="s">
        <v>652</v>
      </c>
      <c r="J4105" s="4" t="s">
        <v>625</v>
      </c>
      <c r="K4105" s="4">
        <v>3899803</v>
      </c>
    </row>
    <row r="4106" spans="2:11" x14ac:dyDescent="0.3">
      <c r="B4106" s="44">
        <v>46095</v>
      </c>
      <c r="C4106" s="3" t="s">
        <v>416</v>
      </c>
      <c r="D4106" s="3" t="s">
        <v>499</v>
      </c>
      <c r="E4106" s="42"/>
      <c r="F4106" s="3" t="s">
        <v>671</v>
      </c>
      <c r="G4106" s="3" t="s">
        <v>228</v>
      </c>
      <c r="H4106" s="53">
        <v>3358607</v>
      </c>
      <c r="I4106" s="3" t="s">
        <v>665</v>
      </c>
      <c r="J4106" s="3" t="s">
        <v>461</v>
      </c>
      <c r="K4106" s="4">
        <v>3818702</v>
      </c>
    </row>
    <row r="4107" spans="2:11" x14ac:dyDescent="0.3">
      <c r="B4107" s="44">
        <v>46095</v>
      </c>
      <c r="C4107" s="3" t="s">
        <v>416</v>
      </c>
      <c r="D4107" s="3" t="s">
        <v>58</v>
      </c>
      <c r="E4107" s="42"/>
      <c r="F4107" s="3" t="s">
        <v>659</v>
      </c>
      <c r="G4107" s="3" t="s">
        <v>265</v>
      </c>
      <c r="H4107" s="4">
        <v>3208702</v>
      </c>
      <c r="I4107" s="3" t="s">
        <v>706</v>
      </c>
      <c r="J4107" s="3" t="s">
        <v>269</v>
      </c>
      <c r="K4107" s="4">
        <v>3069407</v>
      </c>
    </row>
    <row r="4108" spans="2:11" x14ac:dyDescent="0.3">
      <c r="B4108" s="44">
        <v>46095</v>
      </c>
      <c r="C4108" s="3" t="s">
        <v>416</v>
      </c>
      <c r="D4108" s="3" t="s">
        <v>61</v>
      </c>
      <c r="E4108" s="42"/>
      <c r="F4108" s="106" t="s">
        <v>659</v>
      </c>
      <c r="G4108" s="106" t="s">
        <v>367</v>
      </c>
      <c r="H4108" s="106">
        <v>3208806</v>
      </c>
      <c r="I4108" s="3" t="s">
        <v>696</v>
      </c>
      <c r="J4108" s="3" t="s">
        <v>307</v>
      </c>
      <c r="K4108" s="4">
        <v>3201907</v>
      </c>
    </row>
    <row r="4109" spans="2:11" x14ac:dyDescent="0.3">
      <c r="B4109" s="44">
        <v>46095</v>
      </c>
      <c r="C4109" s="3" t="s">
        <v>416</v>
      </c>
      <c r="D4109" s="3" t="s">
        <v>486</v>
      </c>
      <c r="E4109" s="42"/>
      <c r="F4109" s="3" t="s">
        <v>676</v>
      </c>
      <c r="G4109" s="3" t="s">
        <v>109</v>
      </c>
      <c r="H4109" s="4">
        <v>3067701</v>
      </c>
      <c r="I4109" s="3" t="s">
        <v>681</v>
      </c>
      <c r="J4109" s="3" t="s">
        <v>105</v>
      </c>
      <c r="K4109" s="4">
        <v>3035809</v>
      </c>
    </row>
    <row r="4110" spans="2:11" x14ac:dyDescent="0.3">
      <c r="B4110" s="44">
        <v>46095</v>
      </c>
      <c r="C4110" s="3" t="s">
        <v>416</v>
      </c>
      <c r="D4110" s="3" t="s">
        <v>490</v>
      </c>
      <c r="E4110" s="4"/>
      <c r="F4110" s="3" t="s">
        <v>676</v>
      </c>
      <c r="G4110" s="3" t="s">
        <v>138</v>
      </c>
      <c r="H4110" s="4">
        <v>3067805</v>
      </c>
      <c r="I4110" s="4" t="s">
        <v>479</v>
      </c>
      <c r="J4110" s="4" t="s">
        <v>136</v>
      </c>
      <c r="K4110" s="4">
        <v>3360903</v>
      </c>
    </row>
    <row r="4111" spans="2:11" x14ac:dyDescent="0.3">
      <c r="B4111" s="44">
        <v>46095</v>
      </c>
      <c r="C4111" s="3" t="s">
        <v>416</v>
      </c>
      <c r="D4111" s="3" t="s">
        <v>493</v>
      </c>
      <c r="E4111" s="42"/>
      <c r="F4111" s="3" t="s">
        <v>676</v>
      </c>
      <c r="G4111" s="3" t="s">
        <v>214</v>
      </c>
      <c r="H4111" s="4">
        <v>3358805</v>
      </c>
      <c r="I4111" s="4" t="s">
        <v>480</v>
      </c>
      <c r="J4111" s="4" t="s">
        <v>423</v>
      </c>
      <c r="K4111" s="4">
        <v>3360403</v>
      </c>
    </row>
    <row r="4112" spans="2:11" x14ac:dyDescent="0.3">
      <c r="B4112" s="44">
        <v>46095</v>
      </c>
      <c r="C4112" s="3" t="s">
        <v>416</v>
      </c>
      <c r="D4112" s="3" t="s">
        <v>593</v>
      </c>
      <c r="E4112" s="42"/>
      <c r="F4112" s="3" t="s">
        <v>676</v>
      </c>
      <c r="G4112" s="3" t="s">
        <v>639</v>
      </c>
      <c r="H4112" s="4">
        <v>3776805</v>
      </c>
      <c r="I4112" s="4" t="s">
        <v>693</v>
      </c>
      <c r="J4112" s="4" t="s">
        <v>629</v>
      </c>
      <c r="K4112" s="4">
        <v>3961708</v>
      </c>
    </row>
    <row r="4113" spans="2:13" x14ac:dyDescent="0.3">
      <c r="B4113" s="44">
        <v>46095</v>
      </c>
      <c r="C4113" s="3" t="s">
        <v>416</v>
      </c>
      <c r="D4113" s="3" t="s">
        <v>486</v>
      </c>
      <c r="E4113" s="42"/>
      <c r="F4113" s="4" t="s">
        <v>680</v>
      </c>
      <c r="G4113" s="4" t="s">
        <v>98</v>
      </c>
      <c r="H4113" s="4">
        <v>3358909</v>
      </c>
      <c r="I4113" s="4" t="s">
        <v>651</v>
      </c>
      <c r="J4113" s="4" t="s">
        <v>97</v>
      </c>
      <c r="K4113" s="4">
        <v>3362005</v>
      </c>
    </row>
    <row r="4114" spans="2:13" x14ac:dyDescent="0.3">
      <c r="B4114" s="44">
        <v>46095</v>
      </c>
      <c r="C4114" s="3" t="s">
        <v>416</v>
      </c>
      <c r="D4114" s="3" t="s">
        <v>57</v>
      </c>
      <c r="E4114" s="42"/>
      <c r="F4114" s="4" t="s">
        <v>680</v>
      </c>
      <c r="G4114" s="4" t="s">
        <v>266</v>
      </c>
      <c r="H4114" s="4">
        <v>3208306</v>
      </c>
      <c r="I4114" s="4" t="s">
        <v>666</v>
      </c>
      <c r="J4114" s="4" t="s">
        <v>259</v>
      </c>
      <c r="K4114" s="4">
        <v>3205809</v>
      </c>
    </row>
    <row r="4115" spans="2:13" x14ac:dyDescent="0.3">
      <c r="B4115" s="44">
        <v>46095</v>
      </c>
      <c r="C4115" s="3" t="s">
        <v>416</v>
      </c>
      <c r="D4115" s="3" t="s">
        <v>488</v>
      </c>
      <c r="E4115" s="42"/>
      <c r="F4115" s="3" t="s">
        <v>680</v>
      </c>
      <c r="G4115" s="3" t="s">
        <v>117</v>
      </c>
      <c r="H4115" s="4">
        <v>3359002</v>
      </c>
      <c r="I4115" s="3" t="s">
        <v>645</v>
      </c>
      <c r="J4115" s="3" t="s">
        <v>123</v>
      </c>
      <c r="K4115" s="4">
        <v>3351104</v>
      </c>
    </row>
    <row r="4116" spans="2:13" x14ac:dyDescent="0.3">
      <c r="B4116" s="44">
        <v>46095</v>
      </c>
      <c r="C4116" s="3" t="s">
        <v>416</v>
      </c>
      <c r="D4116" s="3" t="s">
        <v>63</v>
      </c>
      <c r="E4116" s="42"/>
      <c r="F4116" s="3" t="s">
        <v>680</v>
      </c>
      <c r="G4116" s="3" t="s">
        <v>329</v>
      </c>
      <c r="H4116" s="74">
        <v>3208108</v>
      </c>
      <c r="I4116" s="3" t="s">
        <v>684</v>
      </c>
      <c r="J4116" s="3" t="s">
        <v>369</v>
      </c>
      <c r="K4116" s="74">
        <v>3202708</v>
      </c>
    </row>
    <row r="4117" spans="2:13" x14ac:dyDescent="0.3">
      <c r="B4117" s="44">
        <v>46095</v>
      </c>
      <c r="C4117" s="3" t="s">
        <v>416</v>
      </c>
      <c r="D4117" s="3" t="s">
        <v>492</v>
      </c>
      <c r="E4117" s="42"/>
      <c r="F4117" s="4" t="s">
        <v>652</v>
      </c>
      <c r="G4117" s="4" t="s">
        <v>157</v>
      </c>
      <c r="H4117" s="4">
        <v>3358503</v>
      </c>
      <c r="I4117" s="3" t="s">
        <v>719</v>
      </c>
      <c r="J4117" s="3" t="s">
        <v>155</v>
      </c>
      <c r="K4117" s="4">
        <v>3361600</v>
      </c>
    </row>
    <row r="4118" spans="2:13" x14ac:dyDescent="0.3">
      <c r="B4118" s="44">
        <v>46095</v>
      </c>
      <c r="C4118" s="3" t="s">
        <v>416</v>
      </c>
      <c r="D4118" s="3" t="s">
        <v>610</v>
      </c>
      <c r="E4118" s="42"/>
      <c r="F4118" s="3" t="s">
        <v>652</v>
      </c>
      <c r="G4118" s="3" t="s">
        <v>347</v>
      </c>
      <c r="H4118" s="4">
        <v>3818504</v>
      </c>
      <c r="I4118" s="4" t="s">
        <v>675</v>
      </c>
      <c r="J4118" s="4" t="s">
        <v>450</v>
      </c>
      <c r="K4118" s="4">
        <v>3198405</v>
      </c>
    </row>
    <row r="4119" spans="2:13" x14ac:dyDescent="0.3">
      <c r="B4119" s="44">
        <v>46095</v>
      </c>
      <c r="C4119" s="3" t="s">
        <v>416</v>
      </c>
      <c r="D4119" s="3" t="s">
        <v>496</v>
      </c>
      <c r="E4119" s="42"/>
      <c r="F4119" s="3" t="s">
        <v>652</v>
      </c>
      <c r="G4119" s="3" t="s">
        <v>229</v>
      </c>
      <c r="H4119" s="4">
        <v>3358409</v>
      </c>
      <c r="I4119" s="3" t="s">
        <v>710</v>
      </c>
      <c r="J4119" s="3" t="s">
        <v>462</v>
      </c>
      <c r="K4119" s="4">
        <v>3352207</v>
      </c>
    </row>
    <row r="4120" spans="2:13" x14ac:dyDescent="0.3">
      <c r="B4120" s="44">
        <v>46095</v>
      </c>
      <c r="C4120" s="3" t="s">
        <v>416</v>
      </c>
      <c r="D4120" s="3" t="s">
        <v>499</v>
      </c>
      <c r="E4120" s="42"/>
      <c r="F4120" s="3" t="s">
        <v>652</v>
      </c>
      <c r="G4120" s="3" t="s">
        <v>573</v>
      </c>
      <c r="H4120" s="4">
        <v>3818400</v>
      </c>
      <c r="I4120" s="3" t="s">
        <v>651</v>
      </c>
      <c r="J4120" s="3" t="s">
        <v>226</v>
      </c>
      <c r="K4120" s="4">
        <v>3361902</v>
      </c>
      <c r="M4120" s="51"/>
    </row>
    <row r="4121" spans="2:13" x14ac:dyDescent="0.3">
      <c r="B4121" s="44">
        <v>46095</v>
      </c>
      <c r="C4121" s="3" t="s">
        <v>416</v>
      </c>
      <c r="D4121" s="3" t="s">
        <v>68</v>
      </c>
      <c r="E4121" s="42"/>
      <c r="F4121" s="3" t="s">
        <v>686</v>
      </c>
      <c r="G4121" s="3" t="s">
        <v>626</v>
      </c>
      <c r="H4121" s="4" t="s">
        <v>637</v>
      </c>
      <c r="I4121" s="4" t="s">
        <v>651</v>
      </c>
      <c r="J4121" s="4" t="s">
        <v>387</v>
      </c>
      <c r="K4121" s="4">
        <v>3211403</v>
      </c>
    </row>
    <row r="4122" spans="2:13" x14ac:dyDescent="0.3">
      <c r="B4122" s="44">
        <v>46095</v>
      </c>
      <c r="C4122" s="3" t="s">
        <v>416</v>
      </c>
      <c r="D4122" s="3" t="s">
        <v>59</v>
      </c>
      <c r="E4122" s="42"/>
      <c r="F4122" s="4" t="s">
        <v>662</v>
      </c>
      <c r="G4122" s="4" t="s">
        <v>314</v>
      </c>
      <c r="H4122" s="4">
        <v>3208004</v>
      </c>
      <c r="I4122" s="4" t="s">
        <v>681</v>
      </c>
      <c r="J4122" s="4" t="s">
        <v>281</v>
      </c>
      <c r="K4122" s="4">
        <v>3195700</v>
      </c>
    </row>
    <row r="4123" spans="2:13" x14ac:dyDescent="0.3">
      <c r="B4123" s="44">
        <v>46095</v>
      </c>
      <c r="C4123" s="3" t="s">
        <v>416</v>
      </c>
      <c r="D4123" s="3" t="s">
        <v>489</v>
      </c>
      <c r="E4123" s="4"/>
      <c r="F4123" s="3" t="s">
        <v>662</v>
      </c>
      <c r="G4123" s="3" t="s">
        <v>139</v>
      </c>
      <c r="H4123" s="4">
        <v>3358305</v>
      </c>
      <c r="I4123" s="4" t="s">
        <v>476</v>
      </c>
      <c r="J4123" s="4" t="s">
        <v>128</v>
      </c>
      <c r="K4123" s="4">
        <v>3357202</v>
      </c>
    </row>
    <row r="4124" spans="2:13" x14ac:dyDescent="0.3">
      <c r="B4124" s="44">
        <v>46095</v>
      </c>
      <c r="C4124" s="3" t="s">
        <v>416</v>
      </c>
      <c r="D4124" s="3" t="s">
        <v>67</v>
      </c>
      <c r="E4124" s="42"/>
      <c r="F4124" s="4" t="s">
        <v>662</v>
      </c>
      <c r="G4124" s="4" t="s">
        <v>373</v>
      </c>
      <c r="H4124" s="4">
        <v>3207807</v>
      </c>
      <c r="I4124" s="3" t="s">
        <v>689</v>
      </c>
      <c r="J4124" s="3" t="s">
        <v>341</v>
      </c>
      <c r="K4124" s="4">
        <v>3197708</v>
      </c>
    </row>
    <row r="4125" spans="2:13" x14ac:dyDescent="0.3">
      <c r="B4125" s="44">
        <v>46095</v>
      </c>
      <c r="C4125" s="3" t="s">
        <v>416</v>
      </c>
      <c r="D4125" s="3" t="s">
        <v>494</v>
      </c>
      <c r="E4125" s="42"/>
      <c r="F4125" s="4" t="s">
        <v>662</v>
      </c>
      <c r="G4125" s="4" t="s">
        <v>242</v>
      </c>
      <c r="H4125" s="4">
        <v>3358107</v>
      </c>
      <c r="I4125" s="4" t="s">
        <v>472</v>
      </c>
      <c r="J4125" s="4" t="s">
        <v>185</v>
      </c>
      <c r="K4125" s="4">
        <v>3357806</v>
      </c>
    </row>
    <row r="4126" spans="2:13" x14ac:dyDescent="0.3">
      <c r="B4126" s="44">
        <v>46095</v>
      </c>
      <c r="C4126" s="3" t="s">
        <v>416</v>
      </c>
      <c r="D4126" s="3" t="s">
        <v>592</v>
      </c>
      <c r="E4126" s="42"/>
      <c r="F4126" s="3" t="s">
        <v>662</v>
      </c>
      <c r="G4126" s="3" t="s">
        <v>634</v>
      </c>
      <c r="H4126" s="74">
        <v>4023105</v>
      </c>
      <c r="I4126" s="3" t="s">
        <v>570</v>
      </c>
      <c r="J4126" s="3" t="s">
        <v>570</v>
      </c>
      <c r="K4126" s="4" t="s">
        <v>556</v>
      </c>
    </row>
    <row r="4127" spans="2:13" x14ac:dyDescent="0.3">
      <c r="B4127" s="44">
        <v>46095</v>
      </c>
      <c r="C4127" s="3" t="s">
        <v>416</v>
      </c>
      <c r="D4127" s="3" t="s">
        <v>56</v>
      </c>
      <c r="E4127" s="42"/>
      <c r="F4127" s="4" t="s">
        <v>472</v>
      </c>
      <c r="G4127" s="4" t="s">
        <v>248</v>
      </c>
      <c r="H4127" s="4">
        <v>3207609</v>
      </c>
      <c r="I4127" s="4" t="s">
        <v>471</v>
      </c>
      <c r="J4127" s="4" t="s">
        <v>441</v>
      </c>
      <c r="K4127" s="4">
        <v>3023409</v>
      </c>
    </row>
    <row r="4128" spans="2:13" x14ac:dyDescent="0.3">
      <c r="B4128" s="44">
        <v>46095</v>
      </c>
      <c r="C4128" s="3" t="s">
        <v>416</v>
      </c>
      <c r="D4128" s="3" t="s">
        <v>504</v>
      </c>
      <c r="E4128" s="42"/>
      <c r="F4128" s="3" t="s">
        <v>472</v>
      </c>
      <c r="G4128" s="3" t="s">
        <v>11</v>
      </c>
      <c r="H4128" s="4">
        <v>3034800</v>
      </c>
      <c r="I4128" s="3" t="s">
        <v>479</v>
      </c>
      <c r="J4128" s="3" t="s">
        <v>9</v>
      </c>
      <c r="K4128" s="4">
        <v>3033405</v>
      </c>
    </row>
    <row r="4129" spans="1:43" x14ac:dyDescent="0.3">
      <c r="B4129" s="44">
        <v>46095</v>
      </c>
      <c r="C4129" s="3" t="s">
        <v>416</v>
      </c>
      <c r="D4129" s="3" t="s">
        <v>590</v>
      </c>
      <c r="E4129" s="42"/>
      <c r="F4129" s="3" t="s">
        <v>472</v>
      </c>
      <c r="G4129" s="3" t="s">
        <v>315</v>
      </c>
      <c r="H4129" s="4">
        <v>3455307</v>
      </c>
      <c r="I4129" s="3" t="s">
        <v>657</v>
      </c>
      <c r="J4129" s="3" t="s">
        <v>321</v>
      </c>
      <c r="K4129" s="4">
        <v>3209607</v>
      </c>
    </row>
    <row r="4130" spans="1:43" x14ac:dyDescent="0.3">
      <c r="B4130" s="44">
        <v>46095</v>
      </c>
      <c r="C4130" s="3" t="s">
        <v>416</v>
      </c>
      <c r="D4130" s="3" t="s">
        <v>494</v>
      </c>
      <c r="E4130" s="42"/>
      <c r="F4130" s="4" t="s">
        <v>472</v>
      </c>
      <c r="G4130" s="4" t="s">
        <v>186</v>
      </c>
      <c r="H4130" s="4">
        <v>3357702</v>
      </c>
      <c r="I4130" s="4" t="s">
        <v>647</v>
      </c>
      <c r="J4130" s="4" t="s">
        <v>191</v>
      </c>
      <c r="K4130" s="4">
        <v>3345708</v>
      </c>
    </row>
    <row r="4131" spans="1:43" x14ac:dyDescent="0.3">
      <c r="B4131" s="44">
        <v>46095</v>
      </c>
      <c r="C4131" s="3" t="s">
        <v>416</v>
      </c>
      <c r="D4131" s="3" t="s">
        <v>70</v>
      </c>
      <c r="E4131" s="42"/>
      <c r="F4131" s="3" t="s">
        <v>472</v>
      </c>
      <c r="G4131" s="3" t="s">
        <v>400</v>
      </c>
      <c r="H4131" s="4">
        <v>3818608</v>
      </c>
      <c r="I4131" s="3" t="s">
        <v>662</v>
      </c>
      <c r="J4131" s="3" t="s">
        <v>399</v>
      </c>
      <c r="K4131" s="4">
        <v>3207401</v>
      </c>
    </row>
    <row r="4132" spans="1:43" x14ac:dyDescent="0.3">
      <c r="B4132" s="44">
        <v>46095</v>
      </c>
      <c r="C4132" s="3" t="s">
        <v>416</v>
      </c>
      <c r="D4132" s="3" t="s">
        <v>498</v>
      </c>
      <c r="E4132" s="42"/>
      <c r="F4132" s="3" t="s">
        <v>472</v>
      </c>
      <c r="G4132" s="3" t="s">
        <v>219</v>
      </c>
      <c r="H4132" s="4">
        <v>3357608</v>
      </c>
      <c r="I4132" s="3" t="s">
        <v>689</v>
      </c>
      <c r="J4132" s="3" t="s">
        <v>468</v>
      </c>
      <c r="K4132" s="4">
        <v>3349902</v>
      </c>
    </row>
    <row r="4133" spans="1:43" x14ac:dyDescent="0.3">
      <c r="B4133" s="44">
        <v>46095</v>
      </c>
      <c r="C4133" s="3" t="s">
        <v>416</v>
      </c>
      <c r="D4133" s="3" t="s">
        <v>501</v>
      </c>
      <c r="E4133" s="42"/>
      <c r="F4133" s="3" t="s">
        <v>472</v>
      </c>
      <c r="G4133" s="3" t="s">
        <v>578</v>
      </c>
      <c r="H4133" s="4">
        <v>4022700</v>
      </c>
      <c r="I4133" s="3" t="s">
        <v>689</v>
      </c>
      <c r="J4133" s="3" t="s">
        <v>581</v>
      </c>
      <c r="K4133" s="4">
        <v>4022804</v>
      </c>
      <c r="M4133" s="51"/>
    </row>
    <row r="4134" spans="1:43" x14ac:dyDescent="0.3">
      <c r="B4134" s="44">
        <v>46095</v>
      </c>
      <c r="C4134" s="3" t="s">
        <v>416</v>
      </c>
      <c r="D4134" s="3" t="s">
        <v>496</v>
      </c>
      <c r="E4134" s="42"/>
      <c r="F4134" s="4" t="s">
        <v>665</v>
      </c>
      <c r="G4134" s="4" t="s">
        <v>204</v>
      </c>
      <c r="H4134" s="4">
        <v>3357400</v>
      </c>
      <c r="I4134" s="3" t="s">
        <v>671</v>
      </c>
      <c r="J4134" s="3" t="s">
        <v>203</v>
      </c>
      <c r="K4134" s="4">
        <v>3359304</v>
      </c>
    </row>
    <row r="4135" spans="1:43" x14ac:dyDescent="0.3">
      <c r="B4135" s="44">
        <v>46095</v>
      </c>
      <c r="C4135" s="3" t="s">
        <v>416</v>
      </c>
      <c r="D4135" s="3" t="s">
        <v>68</v>
      </c>
      <c r="E4135" s="42"/>
      <c r="F4135" s="3" t="s">
        <v>665</v>
      </c>
      <c r="G4135" s="3" t="s">
        <v>457</v>
      </c>
      <c r="H4135" s="4">
        <v>3818806</v>
      </c>
      <c r="I4135" s="4" t="s">
        <v>474</v>
      </c>
      <c r="J4135" s="4" t="s">
        <v>383</v>
      </c>
      <c r="K4135" s="4">
        <v>3200502</v>
      </c>
    </row>
    <row r="4136" spans="1:43" x14ac:dyDescent="0.3">
      <c r="B4136" s="44">
        <v>46095</v>
      </c>
      <c r="C4136" s="3" t="s">
        <v>416</v>
      </c>
      <c r="D4136" s="3" t="s">
        <v>68</v>
      </c>
      <c r="E4136" s="42"/>
      <c r="F4136" s="3" t="s">
        <v>665</v>
      </c>
      <c r="G4136" s="3" t="s">
        <v>627</v>
      </c>
      <c r="H4136" s="4" t="s">
        <v>638</v>
      </c>
      <c r="I4136" s="4" t="s">
        <v>650</v>
      </c>
      <c r="J4136" s="4" t="s">
        <v>390</v>
      </c>
      <c r="K4136" s="4">
        <v>3544509</v>
      </c>
    </row>
    <row r="4137" spans="1:43" x14ac:dyDescent="0.3">
      <c r="B4137" s="44">
        <v>46095</v>
      </c>
      <c r="C4137" s="3" t="s">
        <v>416</v>
      </c>
      <c r="D4137" s="3" t="s">
        <v>590</v>
      </c>
      <c r="E4137" s="42"/>
      <c r="F4137" s="4" t="s">
        <v>693</v>
      </c>
      <c r="G4137" s="4" t="s">
        <v>322</v>
      </c>
      <c r="H4137" s="4">
        <v>3207005</v>
      </c>
      <c r="I4137" s="4" t="s">
        <v>676</v>
      </c>
      <c r="J4137" s="4" t="s">
        <v>285</v>
      </c>
      <c r="K4137" s="4">
        <v>3208504</v>
      </c>
    </row>
    <row r="4138" spans="1:43" x14ac:dyDescent="0.3">
      <c r="B4138" s="44">
        <v>46095</v>
      </c>
      <c r="C4138" s="3" t="s">
        <v>416</v>
      </c>
      <c r="D4138" s="3" t="s">
        <v>65</v>
      </c>
      <c r="E4138" s="42"/>
      <c r="F4138" s="3" t="s">
        <v>693</v>
      </c>
      <c r="G4138" s="3" t="s">
        <v>357</v>
      </c>
      <c r="H4138" s="4">
        <v>3206704</v>
      </c>
      <c r="I4138" s="4" t="s">
        <v>479</v>
      </c>
      <c r="J4138" s="4" t="s">
        <v>320</v>
      </c>
      <c r="K4138" s="4">
        <v>3210602</v>
      </c>
    </row>
    <row r="4139" spans="1:43" x14ac:dyDescent="0.3">
      <c r="A4139" s="4"/>
      <c r="B4139" s="100">
        <v>46095</v>
      </c>
      <c r="C4139" s="98" t="s">
        <v>553</v>
      </c>
      <c r="D4139" s="4" t="s">
        <v>508</v>
      </c>
      <c r="E4139" s="4"/>
      <c r="F4139" s="73" t="s">
        <v>476</v>
      </c>
      <c r="G4139" s="73" t="s">
        <v>476</v>
      </c>
      <c r="H4139" s="73"/>
      <c r="I4139" s="73" t="s">
        <v>478</v>
      </c>
      <c r="J4139" s="73" t="s">
        <v>478</v>
      </c>
      <c r="K4139" s="7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</row>
    <row r="4140" spans="1:43" x14ac:dyDescent="0.3">
      <c r="B4140" s="44">
        <v>46095</v>
      </c>
      <c r="C4140" s="3" t="s">
        <v>416</v>
      </c>
      <c r="D4140" s="3" t="s">
        <v>504</v>
      </c>
      <c r="E4140" s="42"/>
      <c r="F4140" s="4" t="s">
        <v>476</v>
      </c>
      <c r="G4140" s="4" t="s">
        <v>100</v>
      </c>
      <c r="H4140" s="4">
        <v>3125302</v>
      </c>
      <c r="I4140" s="4" t="s">
        <v>694</v>
      </c>
      <c r="J4140" s="4" t="s">
        <v>112</v>
      </c>
      <c r="K4140" s="4">
        <v>3353602</v>
      </c>
    </row>
    <row r="4141" spans="1:43" x14ac:dyDescent="0.3">
      <c r="B4141" s="44">
        <v>46095</v>
      </c>
      <c r="C4141" s="3" t="s">
        <v>416</v>
      </c>
      <c r="D4141" s="3" t="s">
        <v>62</v>
      </c>
      <c r="E4141" s="42"/>
      <c r="F4141" s="4" t="s">
        <v>476</v>
      </c>
      <c r="G4141" s="4" t="s">
        <v>287</v>
      </c>
      <c r="H4141" s="4">
        <v>3206600</v>
      </c>
      <c r="I4141" s="3" t="s">
        <v>479</v>
      </c>
      <c r="J4141" s="3" t="s">
        <v>319</v>
      </c>
      <c r="K4141" s="4">
        <v>3210508</v>
      </c>
    </row>
    <row r="4142" spans="1:43" x14ac:dyDescent="0.3">
      <c r="B4142" s="44">
        <v>46095</v>
      </c>
      <c r="C4142" s="3" t="s">
        <v>416</v>
      </c>
      <c r="D4142" s="3" t="s">
        <v>493</v>
      </c>
      <c r="E4142" s="42"/>
      <c r="F4142" s="3" t="s">
        <v>476</v>
      </c>
      <c r="G4142" s="3" t="s">
        <v>169</v>
      </c>
      <c r="H4142" s="4">
        <v>3356609</v>
      </c>
      <c r="I4142" s="4" t="s">
        <v>663</v>
      </c>
      <c r="J4142" s="4" t="s">
        <v>173</v>
      </c>
      <c r="K4142" s="4">
        <v>3349308</v>
      </c>
    </row>
    <row r="4143" spans="1:43" x14ac:dyDescent="0.3">
      <c r="B4143" s="44">
        <v>46095</v>
      </c>
      <c r="C4143" s="3" t="s">
        <v>416</v>
      </c>
      <c r="D4143" s="3" t="s">
        <v>62</v>
      </c>
      <c r="E4143" s="42"/>
      <c r="F4143" s="4" t="s">
        <v>476</v>
      </c>
      <c r="G4143" s="4" t="s">
        <v>323</v>
      </c>
      <c r="H4143" s="4">
        <v>3206506</v>
      </c>
      <c r="I4143" s="4" t="s">
        <v>471</v>
      </c>
      <c r="J4143" s="4" t="s">
        <v>328</v>
      </c>
      <c r="K4143" s="4">
        <v>3196803</v>
      </c>
    </row>
    <row r="4144" spans="1:43" x14ac:dyDescent="0.3">
      <c r="B4144" s="44">
        <v>46095</v>
      </c>
      <c r="C4144" s="3" t="s">
        <v>416</v>
      </c>
      <c r="D4144" s="3" t="s">
        <v>493</v>
      </c>
      <c r="E4144" s="42"/>
      <c r="F4144" s="3" t="s">
        <v>476</v>
      </c>
      <c r="G4144" s="3" t="s">
        <v>170</v>
      </c>
      <c r="H4144" s="4">
        <v>3356703</v>
      </c>
      <c r="I4144" s="4" t="s">
        <v>479</v>
      </c>
      <c r="J4144" s="4" t="s">
        <v>210</v>
      </c>
      <c r="K4144" s="4">
        <v>3361100</v>
      </c>
    </row>
    <row r="4145" spans="2:11" x14ac:dyDescent="0.3">
      <c r="B4145" s="44">
        <v>46095</v>
      </c>
      <c r="C4145" s="3" t="s">
        <v>416</v>
      </c>
      <c r="D4145" s="3" t="s">
        <v>497</v>
      </c>
      <c r="E4145" s="42"/>
      <c r="F4145" s="17" t="s">
        <v>476</v>
      </c>
      <c r="G4145" s="17" t="s">
        <v>234</v>
      </c>
      <c r="H4145" s="74">
        <v>3356807</v>
      </c>
      <c r="I4145" s="17" t="s">
        <v>653</v>
      </c>
      <c r="J4145" s="17" t="s">
        <v>209</v>
      </c>
      <c r="K4145" s="74">
        <v>3360705</v>
      </c>
    </row>
    <row r="4146" spans="2:11" x14ac:dyDescent="0.3">
      <c r="B4146" s="44">
        <v>46095</v>
      </c>
      <c r="C4146" s="3" t="s">
        <v>416</v>
      </c>
      <c r="D4146" s="3" t="s">
        <v>593</v>
      </c>
      <c r="E4146" s="42"/>
      <c r="F4146" s="3" t="s">
        <v>476</v>
      </c>
      <c r="G4146" s="3" t="s">
        <v>630</v>
      </c>
      <c r="H4146" s="4">
        <v>3206308</v>
      </c>
      <c r="I4146" s="4" t="s">
        <v>701</v>
      </c>
      <c r="J4146" s="4" t="s">
        <v>631</v>
      </c>
      <c r="K4146" s="4">
        <v>4023209</v>
      </c>
    </row>
    <row r="4147" spans="2:11" x14ac:dyDescent="0.3">
      <c r="B4147" s="44">
        <v>46095</v>
      </c>
      <c r="C4147" s="3" t="s">
        <v>416</v>
      </c>
      <c r="D4147" s="3" t="s">
        <v>504</v>
      </c>
      <c r="E4147" s="42"/>
      <c r="F4147" s="4" t="s">
        <v>666</v>
      </c>
      <c r="G4147" s="4" t="s">
        <v>12</v>
      </c>
      <c r="H4147" s="4">
        <v>3034206</v>
      </c>
      <c r="I4147" s="3" t="s">
        <v>471</v>
      </c>
      <c r="J4147" s="3" t="s">
        <v>14</v>
      </c>
      <c r="K4147" s="4">
        <v>3348601</v>
      </c>
    </row>
    <row r="4148" spans="2:11" x14ac:dyDescent="0.3">
      <c r="B4148" s="44">
        <v>46095</v>
      </c>
      <c r="C4148" s="3" t="s">
        <v>416</v>
      </c>
      <c r="D4148" s="3" t="s">
        <v>492</v>
      </c>
      <c r="E4148" s="42"/>
      <c r="F4148" s="3" t="s">
        <v>666</v>
      </c>
      <c r="G4148" s="3" t="s">
        <v>158</v>
      </c>
      <c r="H4148" s="4">
        <v>3356901</v>
      </c>
      <c r="I4148" s="3" t="s">
        <v>646</v>
      </c>
      <c r="J4148" s="3" t="s">
        <v>159</v>
      </c>
      <c r="K4148" s="4">
        <v>3354403</v>
      </c>
    </row>
    <row r="4149" spans="2:11" x14ac:dyDescent="0.3">
      <c r="B4149" s="44">
        <v>46095</v>
      </c>
      <c r="C4149" s="3" t="s">
        <v>416</v>
      </c>
      <c r="D4149" s="3" t="s">
        <v>495</v>
      </c>
      <c r="E4149" s="42"/>
      <c r="F4149" s="3" t="s">
        <v>666</v>
      </c>
      <c r="G4149" s="3" t="s">
        <v>193</v>
      </c>
      <c r="H4149" s="4">
        <v>3357108</v>
      </c>
      <c r="I4149" s="3" t="s">
        <v>713</v>
      </c>
      <c r="J4149" s="3" t="s">
        <v>199</v>
      </c>
      <c r="K4149" s="4">
        <v>3349100</v>
      </c>
    </row>
    <row r="4150" spans="2:11" x14ac:dyDescent="0.3">
      <c r="B4150" s="44">
        <v>46095</v>
      </c>
      <c r="C4150" s="3" t="s">
        <v>416</v>
      </c>
      <c r="D4150" s="4" t="s">
        <v>614</v>
      </c>
      <c r="E4150" s="42"/>
      <c r="F4150" s="3" t="s">
        <v>666</v>
      </c>
      <c r="G4150" s="3" t="s">
        <v>453</v>
      </c>
      <c r="H4150" s="4">
        <v>3206006</v>
      </c>
      <c r="I4150" s="4" t="s">
        <v>713</v>
      </c>
      <c r="J4150" s="4" t="s">
        <v>386</v>
      </c>
      <c r="K4150" s="4">
        <v>3900807</v>
      </c>
    </row>
    <row r="4151" spans="2:11" x14ac:dyDescent="0.3">
      <c r="B4151" s="44">
        <v>46095</v>
      </c>
      <c r="C4151" s="3" t="s">
        <v>416</v>
      </c>
      <c r="D4151" s="3" t="s">
        <v>491</v>
      </c>
      <c r="E4151" s="42"/>
      <c r="F4151" s="3" t="s">
        <v>478</v>
      </c>
      <c r="G4151" s="3" t="s">
        <v>463</v>
      </c>
      <c r="H4151" s="74">
        <v>3125500</v>
      </c>
      <c r="I4151" s="104" t="s">
        <v>684</v>
      </c>
      <c r="J4151" s="104" t="s">
        <v>182</v>
      </c>
      <c r="K4151" s="53">
        <v>3900203</v>
      </c>
    </row>
    <row r="4152" spans="2:11" x14ac:dyDescent="0.3">
      <c r="B4152" s="44">
        <v>46095</v>
      </c>
      <c r="C4152" s="3" t="s">
        <v>416</v>
      </c>
      <c r="D4152" s="3" t="s">
        <v>63</v>
      </c>
      <c r="E4152" s="42"/>
      <c r="F4152" s="3" t="s">
        <v>478</v>
      </c>
      <c r="G4152" s="3" t="s">
        <v>331</v>
      </c>
      <c r="H4152" s="74">
        <v>3205403</v>
      </c>
      <c r="I4152" s="104" t="s">
        <v>645</v>
      </c>
      <c r="J4152" s="104" t="s">
        <v>333</v>
      </c>
      <c r="K4152" s="74">
        <v>3198801</v>
      </c>
    </row>
    <row r="4153" spans="2:11" x14ac:dyDescent="0.3">
      <c r="B4153" s="44">
        <v>46095</v>
      </c>
      <c r="C4153" s="3" t="s">
        <v>416</v>
      </c>
      <c r="D4153" s="3" t="s">
        <v>66</v>
      </c>
      <c r="E4153" s="42"/>
      <c r="F4153" s="3" t="s">
        <v>478</v>
      </c>
      <c r="G4153" s="3" t="s">
        <v>604</v>
      </c>
      <c r="H4153" s="74">
        <v>3205507</v>
      </c>
      <c r="I4153" s="104" t="s">
        <v>680</v>
      </c>
      <c r="J4153" s="104" t="s">
        <v>603</v>
      </c>
      <c r="K4153" s="74">
        <v>3945400</v>
      </c>
    </row>
    <row r="4154" spans="2:11" x14ac:dyDescent="0.3">
      <c r="B4154" s="44">
        <v>46095</v>
      </c>
      <c r="C4154" s="3" t="s">
        <v>416</v>
      </c>
      <c r="D4154" s="3" t="s">
        <v>488</v>
      </c>
      <c r="E4154" s="42"/>
      <c r="F4154" s="4" t="s">
        <v>690</v>
      </c>
      <c r="G4154" s="4" t="s">
        <v>118</v>
      </c>
      <c r="H4154" s="4">
        <v>3356005</v>
      </c>
      <c r="I4154" s="3" t="s">
        <v>704</v>
      </c>
      <c r="J4154" s="3" t="s">
        <v>120</v>
      </c>
      <c r="K4154" s="4">
        <v>3355506</v>
      </c>
    </row>
    <row r="4155" spans="2:11" x14ac:dyDescent="0.3">
      <c r="B4155" s="44">
        <v>46095</v>
      </c>
      <c r="C4155" s="3" t="s">
        <v>416</v>
      </c>
      <c r="D4155" s="3" t="s">
        <v>491</v>
      </c>
      <c r="E4155" s="42"/>
      <c r="F4155" s="4" t="s">
        <v>690</v>
      </c>
      <c r="G4155" s="4" t="s">
        <v>179</v>
      </c>
      <c r="H4155" s="4">
        <v>3818900</v>
      </c>
      <c r="I4155" s="3" t="s">
        <v>697</v>
      </c>
      <c r="J4155" s="3" t="s">
        <v>150</v>
      </c>
      <c r="K4155" s="4">
        <v>3353706</v>
      </c>
    </row>
    <row r="4156" spans="2:11" x14ac:dyDescent="0.3">
      <c r="B4156" s="44">
        <v>46095</v>
      </c>
      <c r="C4156" s="3" t="s">
        <v>416</v>
      </c>
      <c r="D4156" s="3" t="s">
        <v>66</v>
      </c>
      <c r="E4156" s="42"/>
      <c r="F4156" s="3" t="s">
        <v>690</v>
      </c>
      <c r="G4156" s="3" t="s">
        <v>605</v>
      </c>
      <c r="H4156" s="74">
        <v>3900109</v>
      </c>
      <c r="I4156" s="3" t="s">
        <v>709</v>
      </c>
      <c r="J4156" s="3" t="s">
        <v>607</v>
      </c>
      <c r="K4156" s="4">
        <v>3596309</v>
      </c>
    </row>
    <row r="4157" spans="2:11" x14ac:dyDescent="0.3">
      <c r="B4157" s="44">
        <v>46095</v>
      </c>
      <c r="C4157" s="3" t="s">
        <v>416</v>
      </c>
      <c r="D4157" s="3" t="s">
        <v>65</v>
      </c>
      <c r="E4157" s="42"/>
      <c r="F4157" s="3" t="s">
        <v>718</v>
      </c>
      <c r="G4157" s="3" t="s">
        <v>359</v>
      </c>
      <c r="H4157" s="4">
        <v>3204602</v>
      </c>
      <c r="I4157" s="4" t="s">
        <v>476</v>
      </c>
      <c r="J4157" s="4" t="s">
        <v>358</v>
      </c>
      <c r="K4157" s="4">
        <v>3206402</v>
      </c>
    </row>
    <row r="4158" spans="2:11" x14ac:dyDescent="0.3">
      <c r="B4158" s="44">
        <v>46095</v>
      </c>
      <c r="C4158" s="3" t="s">
        <v>416</v>
      </c>
      <c r="D4158" s="3" t="s">
        <v>486</v>
      </c>
      <c r="E4158" s="42"/>
      <c r="F4158" s="4" t="s">
        <v>682</v>
      </c>
      <c r="G4158" s="4" t="s">
        <v>559</v>
      </c>
      <c r="H4158" s="4">
        <v>3969200</v>
      </c>
      <c r="I4158" s="3" t="s">
        <v>671</v>
      </c>
      <c r="J4158" s="3" t="s">
        <v>108</v>
      </c>
      <c r="K4158" s="4">
        <v>3359700</v>
      </c>
    </row>
    <row r="4159" spans="2:11" x14ac:dyDescent="0.3">
      <c r="B4159" s="44">
        <v>46095</v>
      </c>
      <c r="C4159" s="3" t="s">
        <v>416</v>
      </c>
      <c r="D4159" s="3" t="s">
        <v>610</v>
      </c>
      <c r="E4159" s="42"/>
      <c r="F4159" s="3" t="s">
        <v>682</v>
      </c>
      <c r="G4159" s="3" t="s">
        <v>611</v>
      </c>
      <c r="H4159" s="4">
        <v>3204800</v>
      </c>
      <c r="I4159" s="4" t="s">
        <v>711</v>
      </c>
      <c r="J4159" s="4" t="s">
        <v>381</v>
      </c>
      <c r="K4159" s="4">
        <v>3201209</v>
      </c>
    </row>
    <row r="4160" spans="2:11" x14ac:dyDescent="0.3">
      <c r="B4160" s="44">
        <v>46095</v>
      </c>
      <c r="C4160" s="3" t="s">
        <v>416</v>
      </c>
      <c r="D4160" s="3" t="s">
        <v>495</v>
      </c>
      <c r="E4160" s="42"/>
      <c r="F4160" s="3" t="s">
        <v>682</v>
      </c>
      <c r="G4160" s="3" t="s">
        <v>568</v>
      </c>
      <c r="H4160" s="4">
        <v>3969908</v>
      </c>
      <c r="I4160" s="3" t="s">
        <v>666</v>
      </c>
      <c r="J4160" s="3" t="s">
        <v>192</v>
      </c>
      <c r="K4160" s="53">
        <v>3357004</v>
      </c>
    </row>
    <row r="4161" spans="1:43" x14ac:dyDescent="0.3">
      <c r="B4161" s="44">
        <v>46095</v>
      </c>
      <c r="C4161" s="3" t="s">
        <v>416</v>
      </c>
      <c r="D4161" s="4" t="s">
        <v>614</v>
      </c>
      <c r="E4161" s="42"/>
      <c r="F4161" s="3" t="s">
        <v>682</v>
      </c>
      <c r="G4161" s="3" t="s">
        <v>622</v>
      </c>
      <c r="H4161" s="4">
        <v>3969502</v>
      </c>
      <c r="I4161" s="4" t="s">
        <v>674</v>
      </c>
      <c r="J4161" s="4" t="s">
        <v>346</v>
      </c>
      <c r="K4161" s="4">
        <v>3208900</v>
      </c>
    </row>
    <row r="4162" spans="1:43" x14ac:dyDescent="0.3">
      <c r="B4162" s="44">
        <v>46095</v>
      </c>
      <c r="C4162" s="3" t="s">
        <v>416</v>
      </c>
      <c r="D4162" s="3" t="s">
        <v>592</v>
      </c>
      <c r="E4162" s="42"/>
      <c r="F4162" s="3" t="s">
        <v>682</v>
      </c>
      <c r="G4162" s="3" t="s">
        <v>635</v>
      </c>
      <c r="H4162" s="74">
        <v>3969700</v>
      </c>
      <c r="I4162" s="3" t="s">
        <v>475</v>
      </c>
      <c r="J4162" s="3" t="s">
        <v>398</v>
      </c>
      <c r="K4162" s="74">
        <v>3211601</v>
      </c>
    </row>
    <row r="4163" spans="1:43" x14ac:dyDescent="0.3">
      <c r="B4163" s="44">
        <v>46095</v>
      </c>
      <c r="C4163" s="3" t="s">
        <v>416</v>
      </c>
      <c r="D4163" s="3" t="s">
        <v>488</v>
      </c>
      <c r="E4163" s="42"/>
      <c r="F4163" s="3" t="s">
        <v>702</v>
      </c>
      <c r="G4163" s="3" t="s">
        <v>119</v>
      </c>
      <c r="H4163" s="4">
        <v>3067909</v>
      </c>
      <c r="I4163" s="3" t="s">
        <v>720</v>
      </c>
      <c r="J4163" s="3" t="s">
        <v>153</v>
      </c>
      <c r="K4163" s="4">
        <v>3033405</v>
      </c>
    </row>
    <row r="4164" spans="1:43" x14ac:dyDescent="0.3">
      <c r="B4164" s="44">
        <v>46095</v>
      </c>
      <c r="C4164" s="3" t="s">
        <v>416</v>
      </c>
      <c r="D4164" s="3" t="s">
        <v>491</v>
      </c>
      <c r="E4164" s="42"/>
      <c r="F4164" s="4" t="s">
        <v>702</v>
      </c>
      <c r="G4164" s="4" t="s">
        <v>180</v>
      </c>
      <c r="H4164" s="4">
        <v>3355308</v>
      </c>
      <c r="I4164" s="4" t="s">
        <v>709</v>
      </c>
      <c r="J4164" s="4" t="s">
        <v>566</v>
      </c>
      <c r="K4164" s="4">
        <v>3560703</v>
      </c>
    </row>
    <row r="4165" spans="1:43" x14ac:dyDescent="0.3">
      <c r="B4165" s="44">
        <v>46095</v>
      </c>
      <c r="C4165" s="3" t="s">
        <v>416</v>
      </c>
      <c r="D4165" s="3" t="s">
        <v>487</v>
      </c>
      <c r="E4165" s="4"/>
      <c r="F4165" s="3" t="s">
        <v>695</v>
      </c>
      <c r="G4165" s="3" t="s">
        <v>101</v>
      </c>
      <c r="H4165" s="4">
        <v>3067305</v>
      </c>
      <c r="I4165" s="3" t="s">
        <v>475</v>
      </c>
      <c r="J4165" s="3" t="s">
        <v>96</v>
      </c>
      <c r="K4165" s="4">
        <v>3067107</v>
      </c>
    </row>
    <row r="4166" spans="1:43" x14ac:dyDescent="0.3">
      <c r="B4166" s="44">
        <v>46095</v>
      </c>
      <c r="C4166" s="3" t="s">
        <v>416</v>
      </c>
      <c r="D4166" s="3" t="s">
        <v>491</v>
      </c>
      <c r="E4166" s="42"/>
      <c r="F4166" s="3" t="s">
        <v>695</v>
      </c>
      <c r="G4166" s="3" t="s">
        <v>148</v>
      </c>
      <c r="H4166" s="4">
        <v>3355402</v>
      </c>
      <c r="I4166" s="3" t="s">
        <v>684</v>
      </c>
      <c r="J4166" s="3" t="s">
        <v>149</v>
      </c>
      <c r="K4166" s="4">
        <v>3354507</v>
      </c>
    </row>
    <row r="4167" spans="1:43" x14ac:dyDescent="0.3">
      <c r="B4167" s="44">
        <v>46095</v>
      </c>
      <c r="C4167" s="3" t="s">
        <v>416</v>
      </c>
      <c r="D4167" s="3" t="s">
        <v>58</v>
      </c>
      <c r="E4167" s="42"/>
      <c r="F4167" s="3" t="s">
        <v>704</v>
      </c>
      <c r="G4167" s="3" t="s">
        <v>297</v>
      </c>
      <c r="H4167" s="4">
        <v>3204008</v>
      </c>
      <c r="I4167" s="32" t="s">
        <v>478</v>
      </c>
      <c r="J4167" s="32" t="s">
        <v>267</v>
      </c>
      <c r="K4167" s="15">
        <v>3205205</v>
      </c>
    </row>
    <row r="4168" spans="1:43" x14ac:dyDescent="0.3">
      <c r="A4168" s="4"/>
      <c r="B4168" s="100">
        <v>46095</v>
      </c>
      <c r="C4168" s="98" t="s">
        <v>553</v>
      </c>
      <c r="D4168" s="4" t="s">
        <v>508</v>
      </c>
      <c r="E4168" s="4"/>
      <c r="F4168" s="73" t="s">
        <v>473</v>
      </c>
      <c r="G4168" s="73" t="s">
        <v>473</v>
      </c>
      <c r="H4168" s="73"/>
      <c r="I4168" s="73" t="s">
        <v>510</v>
      </c>
      <c r="J4168" s="73" t="s">
        <v>510</v>
      </c>
      <c r="K4168" s="15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</row>
    <row r="4169" spans="1:43" x14ac:dyDescent="0.3">
      <c r="B4169" s="44">
        <v>46095</v>
      </c>
      <c r="C4169" s="3" t="s">
        <v>416</v>
      </c>
      <c r="D4169" s="3" t="s">
        <v>60</v>
      </c>
      <c r="E4169" s="42"/>
      <c r="F4169" s="3" t="s">
        <v>473</v>
      </c>
      <c r="G4169" s="3" t="s">
        <v>445</v>
      </c>
      <c r="H4169" s="4">
        <v>3204102</v>
      </c>
      <c r="I4169" s="3" t="s">
        <v>695</v>
      </c>
      <c r="J4169" s="3" t="s">
        <v>296</v>
      </c>
      <c r="K4169" s="4">
        <v>3203905</v>
      </c>
    </row>
    <row r="4170" spans="1:43" x14ac:dyDescent="0.3">
      <c r="B4170" s="44">
        <v>46095</v>
      </c>
      <c r="C4170" s="3" t="s">
        <v>416</v>
      </c>
      <c r="D4170" s="3" t="s">
        <v>60</v>
      </c>
      <c r="E4170" s="42"/>
      <c r="F4170" s="3" t="s">
        <v>473</v>
      </c>
      <c r="G4170" s="3" t="s">
        <v>298</v>
      </c>
      <c r="H4170" s="4">
        <v>3817807</v>
      </c>
      <c r="I4170" s="32" t="s">
        <v>705</v>
      </c>
      <c r="J4170" s="32" t="s">
        <v>293</v>
      </c>
      <c r="K4170" s="15">
        <v>3211705</v>
      </c>
    </row>
    <row r="4171" spans="1:43" x14ac:dyDescent="0.3">
      <c r="B4171" s="44">
        <v>46095</v>
      </c>
      <c r="C4171" s="3" t="s">
        <v>416</v>
      </c>
      <c r="D4171" s="3" t="s">
        <v>60</v>
      </c>
      <c r="E4171" s="42"/>
      <c r="F4171" s="3" t="s">
        <v>473</v>
      </c>
      <c r="G4171" s="3" t="s">
        <v>446</v>
      </c>
      <c r="H4171" s="4">
        <v>3204206</v>
      </c>
      <c r="I4171" s="3" t="s">
        <v>667</v>
      </c>
      <c r="J4171" s="3" t="s">
        <v>444</v>
      </c>
      <c r="K4171" s="32">
        <v>3209909</v>
      </c>
    </row>
    <row r="4172" spans="1:43" x14ac:dyDescent="0.3">
      <c r="B4172" s="44">
        <v>46095</v>
      </c>
      <c r="C4172" s="3" t="s">
        <v>416</v>
      </c>
      <c r="D4172" s="3" t="s">
        <v>494</v>
      </c>
      <c r="E4172" s="42"/>
      <c r="F4172" s="4" t="s">
        <v>708</v>
      </c>
      <c r="G4172" s="4" t="s">
        <v>141</v>
      </c>
      <c r="H4172" s="4">
        <v>3125802</v>
      </c>
      <c r="I4172" s="3" t="s">
        <v>692</v>
      </c>
      <c r="J4172" s="3" t="s">
        <v>144</v>
      </c>
      <c r="K4172" s="4">
        <v>3347904</v>
      </c>
    </row>
    <row r="4173" spans="1:43" x14ac:dyDescent="0.3">
      <c r="B4173" s="44">
        <v>46095</v>
      </c>
      <c r="C4173" s="3" t="s">
        <v>416</v>
      </c>
      <c r="D4173" s="3" t="s">
        <v>494</v>
      </c>
      <c r="E4173" s="42"/>
      <c r="F4173" s="3" t="s">
        <v>708</v>
      </c>
      <c r="G4173" s="3" t="s">
        <v>220</v>
      </c>
      <c r="H4173" s="4">
        <v>3354809</v>
      </c>
      <c r="I4173" s="3" t="s">
        <v>475</v>
      </c>
      <c r="J4173" s="3" t="s">
        <v>183</v>
      </c>
      <c r="K4173" s="4">
        <v>3362901</v>
      </c>
    </row>
    <row r="4174" spans="1:43" x14ac:dyDescent="0.3">
      <c r="B4174" s="44">
        <v>46095</v>
      </c>
      <c r="C4174" s="3" t="s">
        <v>416</v>
      </c>
      <c r="D4174" s="3" t="s">
        <v>57</v>
      </c>
      <c r="E4174" s="42"/>
      <c r="F4174" s="15" t="s">
        <v>703</v>
      </c>
      <c r="G4174" s="15" t="s">
        <v>585</v>
      </c>
      <c r="H4174" s="74" t="s">
        <v>556</v>
      </c>
      <c r="I4174" s="3" t="s">
        <v>645</v>
      </c>
      <c r="J4174" s="3" t="s">
        <v>263</v>
      </c>
      <c r="K4174" s="4">
        <v>3198707</v>
      </c>
    </row>
    <row r="4175" spans="1:43" x14ac:dyDescent="0.3">
      <c r="B4175" s="44">
        <v>46095</v>
      </c>
      <c r="C4175" s="3" t="s">
        <v>416</v>
      </c>
      <c r="D4175" s="3" t="s">
        <v>58</v>
      </c>
      <c r="E4175" s="42"/>
      <c r="F4175" s="3" t="s">
        <v>703</v>
      </c>
      <c r="G4175" s="3" t="s">
        <v>586</v>
      </c>
      <c r="H4175" s="4" t="s">
        <v>588</v>
      </c>
      <c r="I4175" s="3" t="s">
        <v>702</v>
      </c>
      <c r="J4175" s="3" t="s">
        <v>447</v>
      </c>
      <c r="K4175" s="32">
        <v>3055207</v>
      </c>
    </row>
    <row r="4176" spans="1:43" x14ac:dyDescent="0.3">
      <c r="B4176" s="44">
        <v>46095</v>
      </c>
      <c r="C4176" s="3" t="s">
        <v>416</v>
      </c>
      <c r="D4176" s="3" t="s">
        <v>61</v>
      </c>
      <c r="E4176" s="42"/>
      <c r="F4176" s="3" t="s">
        <v>703</v>
      </c>
      <c r="G4176" s="3" t="s">
        <v>596</v>
      </c>
      <c r="H4176" s="4" t="s">
        <v>556</v>
      </c>
      <c r="I4176" s="3" t="s">
        <v>690</v>
      </c>
      <c r="J4176" s="3" t="s">
        <v>304</v>
      </c>
      <c r="K4176" s="4">
        <v>3204404</v>
      </c>
    </row>
    <row r="4177" spans="1:43" x14ac:dyDescent="0.3">
      <c r="B4177" s="44">
        <v>46095</v>
      </c>
      <c r="C4177" s="3" t="s">
        <v>416</v>
      </c>
      <c r="D4177" s="3" t="s">
        <v>66</v>
      </c>
      <c r="E4177" s="42"/>
      <c r="F4177" s="3" t="s">
        <v>703</v>
      </c>
      <c r="G4177" s="3" t="s">
        <v>606</v>
      </c>
      <c r="H4177" s="74" t="s">
        <v>588</v>
      </c>
      <c r="I4177" s="3" t="s">
        <v>696</v>
      </c>
      <c r="J4177" s="3" t="s">
        <v>609</v>
      </c>
      <c r="K4177" s="74">
        <v>3900401</v>
      </c>
    </row>
    <row r="4178" spans="1:43" x14ac:dyDescent="0.3">
      <c r="B4178" s="44">
        <v>46095</v>
      </c>
      <c r="C4178" s="3" t="s">
        <v>416</v>
      </c>
      <c r="D4178" s="3" t="s">
        <v>58</v>
      </c>
      <c r="E4178" s="42"/>
      <c r="F4178" s="3" t="s">
        <v>683</v>
      </c>
      <c r="G4178" s="3" t="s">
        <v>305</v>
      </c>
      <c r="H4178" s="4">
        <v>3202906</v>
      </c>
      <c r="I4178" s="3" t="s">
        <v>698</v>
      </c>
      <c r="J4178" s="3" t="s">
        <v>587</v>
      </c>
      <c r="K4178" s="32" t="s">
        <v>563</v>
      </c>
    </row>
    <row r="4179" spans="1:43" x14ac:dyDescent="0.3">
      <c r="B4179" s="44">
        <v>46095</v>
      </c>
      <c r="C4179" s="3" t="s">
        <v>416</v>
      </c>
      <c r="D4179" s="3" t="s">
        <v>63</v>
      </c>
      <c r="E4179" s="42"/>
      <c r="F4179" s="3" t="s">
        <v>683</v>
      </c>
      <c r="G4179" s="3" t="s">
        <v>368</v>
      </c>
      <c r="H4179" s="74">
        <v>3203009</v>
      </c>
      <c r="I4179" s="104" t="s">
        <v>712</v>
      </c>
      <c r="J4179" s="104" t="s">
        <v>334</v>
      </c>
      <c r="K4179" s="74">
        <v>3198009</v>
      </c>
    </row>
    <row r="4180" spans="1:43" x14ac:dyDescent="0.3">
      <c r="B4180" s="44">
        <v>46095</v>
      </c>
      <c r="C4180" s="3" t="s">
        <v>416</v>
      </c>
      <c r="D4180" s="3" t="s">
        <v>57</v>
      </c>
      <c r="E4180" s="42"/>
      <c r="F4180" s="32" t="s">
        <v>709</v>
      </c>
      <c r="G4180" s="32" t="s">
        <v>268</v>
      </c>
      <c r="H4180" s="15">
        <v>3203103</v>
      </c>
      <c r="I4180" s="73" t="s">
        <v>478</v>
      </c>
      <c r="J4180" s="73" t="s">
        <v>260</v>
      </c>
      <c r="K4180" s="15">
        <v>3205705</v>
      </c>
    </row>
    <row r="4181" spans="1:43" x14ac:dyDescent="0.3">
      <c r="A4181" s="4"/>
      <c r="B4181" s="100">
        <v>46095</v>
      </c>
      <c r="C4181" s="98" t="s">
        <v>553</v>
      </c>
      <c r="D4181" s="4" t="s">
        <v>512</v>
      </c>
      <c r="E4181" s="4"/>
      <c r="F4181" s="73" t="s">
        <v>527</v>
      </c>
      <c r="G4181" s="73" t="s">
        <v>527</v>
      </c>
      <c r="H4181" s="73"/>
      <c r="I4181" s="73" t="s">
        <v>477</v>
      </c>
      <c r="J4181" s="73" t="s">
        <v>477</v>
      </c>
      <c r="K4181" s="15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</row>
    <row r="4182" spans="1:43" x14ac:dyDescent="0.3">
      <c r="B4182" s="44">
        <v>46095</v>
      </c>
      <c r="C4182" s="3" t="s">
        <v>416</v>
      </c>
      <c r="D4182" s="3" t="s">
        <v>488</v>
      </c>
      <c r="E4182" s="42"/>
      <c r="F4182" s="4" t="s">
        <v>684</v>
      </c>
      <c r="G4182" s="4" t="s">
        <v>121</v>
      </c>
      <c r="H4182" s="4">
        <v>3354309</v>
      </c>
      <c r="I4182" s="3" t="s">
        <v>703</v>
      </c>
      <c r="J4182" s="3" t="s">
        <v>560</v>
      </c>
      <c r="K4182" s="4" t="s">
        <v>562</v>
      </c>
    </row>
    <row r="4183" spans="1:43" x14ac:dyDescent="0.3">
      <c r="B4183" s="44">
        <v>46095</v>
      </c>
      <c r="C4183" s="3" t="s">
        <v>416</v>
      </c>
      <c r="D4183" s="3" t="s">
        <v>66</v>
      </c>
      <c r="E4183" s="42"/>
      <c r="F4183" s="3" t="s">
        <v>684</v>
      </c>
      <c r="G4183" s="3" t="s">
        <v>608</v>
      </c>
      <c r="H4183" s="74">
        <v>3819107</v>
      </c>
      <c r="I4183" s="104" t="s">
        <v>659</v>
      </c>
      <c r="J4183" s="104" t="s">
        <v>602</v>
      </c>
      <c r="K4183" s="74">
        <v>4023001</v>
      </c>
    </row>
    <row r="4184" spans="1:43" x14ac:dyDescent="0.3">
      <c r="B4184" s="44">
        <v>46095</v>
      </c>
      <c r="C4184" s="3" t="s">
        <v>416</v>
      </c>
      <c r="D4184" s="3" t="s">
        <v>486</v>
      </c>
      <c r="E4184" s="42"/>
      <c r="F4184" s="4" t="s">
        <v>646</v>
      </c>
      <c r="G4184" s="4" t="s">
        <v>102</v>
      </c>
      <c r="H4184" s="4">
        <v>3125406</v>
      </c>
      <c r="I4184" s="3" t="s">
        <v>673</v>
      </c>
      <c r="J4184" s="3" t="s">
        <v>106</v>
      </c>
      <c r="K4184" s="4">
        <v>3067607</v>
      </c>
    </row>
    <row r="4185" spans="1:43" x14ac:dyDescent="0.3">
      <c r="B4185" s="44">
        <v>46095</v>
      </c>
      <c r="C4185" s="3" t="s">
        <v>416</v>
      </c>
      <c r="D4185" s="3" t="s">
        <v>59</v>
      </c>
      <c r="E4185" s="42"/>
      <c r="F4185" s="4" t="s">
        <v>646</v>
      </c>
      <c r="G4185" s="4" t="s">
        <v>275</v>
      </c>
      <c r="H4185" s="4">
        <v>3202406</v>
      </c>
      <c r="I4185" s="3" t="s">
        <v>656</v>
      </c>
      <c r="J4185" s="3" t="s">
        <v>278</v>
      </c>
      <c r="K4185" s="4">
        <v>3199800</v>
      </c>
    </row>
    <row r="4186" spans="1:43" x14ac:dyDescent="0.3">
      <c r="B4186" s="44">
        <v>46095</v>
      </c>
      <c r="C4186" s="3" t="s">
        <v>416</v>
      </c>
      <c r="D4186" s="3" t="s">
        <v>492</v>
      </c>
      <c r="E4186" s="42"/>
      <c r="F4186" s="4" t="s">
        <v>646</v>
      </c>
      <c r="G4186" s="4" t="s">
        <v>194</v>
      </c>
      <c r="H4186" s="4">
        <v>3354205</v>
      </c>
      <c r="I4186" s="4" t="s">
        <v>673</v>
      </c>
      <c r="J4186" s="4" t="s">
        <v>134</v>
      </c>
      <c r="K4186" s="4">
        <v>3347102</v>
      </c>
    </row>
    <row r="4187" spans="1:43" x14ac:dyDescent="0.3">
      <c r="B4187" s="44">
        <v>46095</v>
      </c>
      <c r="C4187" s="3" t="s">
        <v>416</v>
      </c>
      <c r="D4187" s="3" t="s">
        <v>610</v>
      </c>
      <c r="E4187" s="42"/>
      <c r="F4187" s="3" t="s">
        <v>646</v>
      </c>
      <c r="G4187" s="3" t="s">
        <v>350</v>
      </c>
      <c r="H4187" s="4">
        <v>3202802</v>
      </c>
      <c r="I4187" s="4" t="s">
        <v>685</v>
      </c>
      <c r="J4187" s="4" t="s">
        <v>351</v>
      </c>
      <c r="K4187" s="4">
        <v>3201001</v>
      </c>
    </row>
    <row r="4188" spans="1:43" x14ac:dyDescent="0.3">
      <c r="B4188" s="44">
        <v>46095</v>
      </c>
      <c r="C4188" s="3" t="s">
        <v>416</v>
      </c>
      <c r="D4188" s="4" t="s">
        <v>614</v>
      </c>
      <c r="E4188" s="42"/>
      <c r="F4188" s="3" t="s">
        <v>646</v>
      </c>
      <c r="G4188" s="3" t="s">
        <v>380</v>
      </c>
      <c r="H4188" s="4">
        <v>3202208</v>
      </c>
      <c r="I4188" s="4" t="s">
        <v>699</v>
      </c>
      <c r="J4188" s="4" t="s">
        <v>624</v>
      </c>
      <c r="K4188" s="4">
        <v>3196105</v>
      </c>
    </row>
    <row r="4189" spans="1:43" x14ac:dyDescent="0.3">
      <c r="B4189" s="44">
        <v>46095</v>
      </c>
      <c r="C4189" s="3" t="s">
        <v>416</v>
      </c>
      <c r="D4189" s="3" t="s">
        <v>56</v>
      </c>
      <c r="E4189" s="42"/>
      <c r="F4189" s="4" t="s">
        <v>696</v>
      </c>
      <c r="G4189" s="4" t="s">
        <v>261</v>
      </c>
      <c r="H4189" s="4">
        <v>3202302</v>
      </c>
      <c r="I4189" s="4" t="s">
        <v>661</v>
      </c>
      <c r="J4189" s="4" t="s">
        <v>439</v>
      </c>
      <c r="K4189" s="4">
        <v>3023701</v>
      </c>
    </row>
    <row r="4190" spans="1:43" x14ac:dyDescent="0.3">
      <c r="B4190" s="44">
        <v>46095</v>
      </c>
      <c r="C4190" s="3" t="s">
        <v>416</v>
      </c>
      <c r="D4190" s="3" t="s">
        <v>489</v>
      </c>
      <c r="E4190" s="4"/>
      <c r="F4190" s="3" t="s">
        <v>672</v>
      </c>
      <c r="G4190" s="3" t="s">
        <v>129</v>
      </c>
      <c r="H4190" s="4">
        <v>3067503</v>
      </c>
      <c r="I4190" s="4" t="s">
        <v>712</v>
      </c>
      <c r="J4190" s="4" t="s">
        <v>132</v>
      </c>
      <c r="K4190" s="4">
        <v>3068304</v>
      </c>
    </row>
    <row r="4191" spans="1:43" x14ac:dyDescent="0.3">
      <c r="B4191" s="44">
        <v>46095</v>
      </c>
      <c r="C4191" s="3" t="s">
        <v>416</v>
      </c>
      <c r="D4191" s="3" t="s">
        <v>56</v>
      </c>
      <c r="E4191" s="42"/>
      <c r="F4191" s="106" t="s">
        <v>672</v>
      </c>
      <c r="G4191" s="106" t="s">
        <v>252</v>
      </c>
      <c r="H4191" s="106">
        <v>3070204</v>
      </c>
      <c r="I4191" s="3" t="s">
        <v>471</v>
      </c>
      <c r="J4191" s="3" t="s">
        <v>254</v>
      </c>
      <c r="K4191" s="4">
        <v>3068908</v>
      </c>
    </row>
    <row r="4192" spans="1:43" x14ac:dyDescent="0.3">
      <c r="B4192" s="44">
        <v>46095</v>
      </c>
      <c r="C4192" s="3" t="s">
        <v>416</v>
      </c>
      <c r="D4192" s="3" t="s">
        <v>64</v>
      </c>
      <c r="E4192" s="42">
        <v>4370907</v>
      </c>
      <c r="F4192" s="3" t="s">
        <v>672</v>
      </c>
      <c r="G4192" s="3" t="s">
        <v>316</v>
      </c>
      <c r="H4192" s="4">
        <v>3069105</v>
      </c>
      <c r="I4192" s="4" t="s">
        <v>662</v>
      </c>
      <c r="J4192" s="4" t="s">
        <v>372</v>
      </c>
      <c r="K4192" s="4">
        <v>3207703</v>
      </c>
    </row>
    <row r="4193" spans="2:13" x14ac:dyDescent="0.3">
      <c r="B4193" s="44">
        <v>46095</v>
      </c>
      <c r="C4193" s="3" t="s">
        <v>416</v>
      </c>
      <c r="D4193" s="3" t="s">
        <v>70</v>
      </c>
      <c r="E4193" s="42"/>
      <c r="F4193" s="3" t="s">
        <v>672</v>
      </c>
      <c r="G4193" s="3" t="s">
        <v>401</v>
      </c>
      <c r="H4193" s="4">
        <v>3202000</v>
      </c>
      <c r="I4193" s="3" t="s">
        <v>688</v>
      </c>
      <c r="J4193" s="3" t="s">
        <v>460</v>
      </c>
      <c r="K4193" s="4">
        <v>3194503</v>
      </c>
    </row>
    <row r="4194" spans="2:13" x14ac:dyDescent="0.3">
      <c r="B4194" s="44">
        <v>46095</v>
      </c>
      <c r="C4194" s="3" t="s">
        <v>416</v>
      </c>
      <c r="D4194" s="3" t="s">
        <v>488</v>
      </c>
      <c r="E4194" s="42"/>
      <c r="F4194" s="4" t="s">
        <v>697</v>
      </c>
      <c r="G4194" s="4" t="s">
        <v>122</v>
      </c>
      <c r="H4194" s="4">
        <v>3353800</v>
      </c>
      <c r="I4194" s="4" t="s">
        <v>698</v>
      </c>
      <c r="J4194" s="4" t="s">
        <v>561</v>
      </c>
      <c r="K4194" s="4" t="s">
        <v>563</v>
      </c>
    </row>
    <row r="4195" spans="2:13" x14ac:dyDescent="0.3">
      <c r="B4195" s="44">
        <v>46095</v>
      </c>
      <c r="C4195" s="3" t="s">
        <v>416</v>
      </c>
      <c r="D4195" s="3" t="s">
        <v>57</v>
      </c>
      <c r="E4195" s="42"/>
      <c r="F4195" s="53" t="s">
        <v>694</v>
      </c>
      <c r="G4195" s="53" t="s">
        <v>276</v>
      </c>
      <c r="H4195" s="74">
        <v>3201709</v>
      </c>
      <c r="I4195" s="3" t="s">
        <v>693</v>
      </c>
      <c r="J4195" s="3" t="s">
        <v>258</v>
      </c>
      <c r="K4195" s="4">
        <v>3207109</v>
      </c>
    </row>
    <row r="4196" spans="2:13" x14ac:dyDescent="0.3">
      <c r="B4196" s="44">
        <v>46095</v>
      </c>
      <c r="C4196" s="3" t="s">
        <v>416</v>
      </c>
      <c r="D4196" s="3" t="s">
        <v>494</v>
      </c>
      <c r="E4196" s="42"/>
      <c r="F4196" s="4" t="s">
        <v>694</v>
      </c>
      <c r="G4196" s="4" t="s">
        <v>188</v>
      </c>
      <c r="H4196" s="4">
        <v>3353508</v>
      </c>
      <c r="I4196" s="3" t="s">
        <v>689</v>
      </c>
      <c r="J4196" s="3" t="s">
        <v>189</v>
      </c>
      <c r="K4196" s="4">
        <v>3350209</v>
      </c>
    </row>
    <row r="4197" spans="2:13" x14ac:dyDescent="0.3">
      <c r="B4197" s="44">
        <v>46095</v>
      </c>
      <c r="C4197" s="3" t="s">
        <v>416</v>
      </c>
      <c r="D4197" s="3" t="s">
        <v>62</v>
      </c>
      <c r="E4197" s="42"/>
      <c r="F4197" s="4" t="s">
        <v>694</v>
      </c>
      <c r="G4197" s="4" t="s">
        <v>340</v>
      </c>
      <c r="H4197" s="4">
        <v>3201803</v>
      </c>
      <c r="I4197" s="3" t="s">
        <v>701</v>
      </c>
      <c r="J4197" s="3" t="s">
        <v>360</v>
      </c>
      <c r="K4197" s="4">
        <v>3203801</v>
      </c>
    </row>
    <row r="4198" spans="2:13" x14ac:dyDescent="0.3">
      <c r="B4198" s="44">
        <v>46095</v>
      </c>
      <c r="C4198" s="3" t="s">
        <v>416</v>
      </c>
      <c r="D4198" s="3" t="s">
        <v>494</v>
      </c>
      <c r="E4198" s="42"/>
      <c r="F4198" s="3" t="s">
        <v>694</v>
      </c>
      <c r="G4198" s="3" t="s">
        <v>221</v>
      </c>
      <c r="H4198" s="4">
        <v>3353404</v>
      </c>
      <c r="I4198" s="3" t="s">
        <v>662</v>
      </c>
      <c r="J4198" s="3" t="s">
        <v>218</v>
      </c>
      <c r="K4198" s="4">
        <v>3358201</v>
      </c>
    </row>
    <row r="4199" spans="2:13" x14ac:dyDescent="0.3">
      <c r="B4199" s="44">
        <v>46095</v>
      </c>
      <c r="C4199" s="3" t="s">
        <v>416</v>
      </c>
      <c r="D4199" s="3" t="s">
        <v>69</v>
      </c>
      <c r="E4199" s="42"/>
      <c r="F4199" s="3" t="s">
        <v>694</v>
      </c>
      <c r="G4199" s="3" t="s">
        <v>402</v>
      </c>
      <c r="H4199" s="4">
        <v>3201407</v>
      </c>
      <c r="I4199" s="3" t="s">
        <v>471</v>
      </c>
      <c r="J4199" s="3" t="s">
        <v>364</v>
      </c>
      <c r="K4199" s="4">
        <v>3197000</v>
      </c>
    </row>
    <row r="4200" spans="2:13" x14ac:dyDescent="0.3">
      <c r="B4200" s="44">
        <v>46095</v>
      </c>
      <c r="C4200" s="3" t="s">
        <v>416</v>
      </c>
      <c r="D4200" s="3" t="s">
        <v>62</v>
      </c>
      <c r="E4200" s="42"/>
      <c r="F4200" s="4" t="s">
        <v>677</v>
      </c>
      <c r="G4200" s="4" t="s">
        <v>324</v>
      </c>
      <c r="H4200" s="4">
        <v>3201605</v>
      </c>
      <c r="I4200" s="4" t="s">
        <v>700</v>
      </c>
      <c r="J4200" s="4" t="s">
        <v>442</v>
      </c>
      <c r="K4200" s="4">
        <v>3205007</v>
      </c>
    </row>
    <row r="4201" spans="2:13" x14ac:dyDescent="0.3">
      <c r="B4201" s="44">
        <v>46095</v>
      </c>
      <c r="C4201" s="3" t="s">
        <v>416</v>
      </c>
      <c r="D4201" s="3" t="s">
        <v>59</v>
      </c>
      <c r="E4201" s="42"/>
      <c r="F4201" s="4" t="s">
        <v>655</v>
      </c>
      <c r="G4201" s="4" t="s">
        <v>288</v>
      </c>
      <c r="H4201" s="4">
        <v>3200908</v>
      </c>
      <c r="I4201" s="4" t="s">
        <v>710</v>
      </c>
      <c r="J4201" s="4" t="s">
        <v>279</v>
      </c>
      <c r="K4201" s="4">
        <v>3199706</v>
      </c>
    </row>
    <row r="4202" spans="2:13" x14ac:dyDescent="0.3">
      <c r="B4202" s="44">
        <v>46095</v>
      </c>
      <c r="C4202" s="3" t="s">
        <v>416</v>
      </c>
      <c r="D4202" s="3" t="s">
        <v>65</v>
      </c>
      <c r="E4202" s="42"/>
      <c r="F4202" s="3" t="s">
        <v>655</v>
      </c>
      <c r="G4202" s="3" t="s">
        <v>325</v>
      </c>
      <c r="H4202" s="4">
        <v>3201501</v>
      </c>
      <c r="I4202" s="4" t="s">
        <v>676</v>
      </c>
      <c r="J4202" s="4" t="s">
        <v>356</v>
      </c>
      <c r="K4202" s="4">
        <v>3208608</v>
      </c>
    </row>
    <row r="4203" spans="2:13" x14ac:dyDescent="0.3">
      <c r="B4203" s="44">
        <v>46095</v>
      </c>
      <c r="C4203" s="3" t="s">
        <v>416</v>
      </c>
      <c r="D4203" s="3" t="s">
        <v>56</v>
      </c>
      <c r="E4203" s="42"/>
      <c r="F4203" s="73" t="s">
        <v>474</v>
      </c>
      <c r="G4203" s="73" t="s">
        <v>253</v>
      </c>
      <c r="H4203" s="4">
        <v>3037109</v>
      </c>
      <c r="I4203" s="73" t="s">
        <v>671</v>
      </c>
      <c r="J4203" s="73" t="s">
        <v>247</v>
      </c>
      <c r="K4203" s="4">
        <v>3034102</v>
      </c>
    </row>
    <row r="4204" spans="2:13" x14ac:dyDescent="0.3">
      <c r="B4204" s="44">
        <v>46095</v>
      </c>
      <c r="C4204" s="3" t="s">
        <v>416</v>
      </c>
      <c r="D4204" s="3" t="s">
        <v>486</v>
      </c>
      <c r="E4204" s="42"/>
      <c r="F4204" s="3" t="s">
        <v>474</v>
      </c>
      <c r="G4204" s="3" t="s">
        <v>103</v>
      </c>
      <c r="H4204" s="4">
        <v>3353206</v>
      </c>
      <c r="I4204" s="3" t="s">
        <v>480</v>
      </c>
      <c r="J4204" s="3" t="s">
        <v>406</v>
      </c>
      <c r="K4204" s="4">
        <v>3124501</v>
      </c>
    </row>
    <row r="4205" spans="2:13" x14ac:dyDescent="0.3">
      <c r="B4205" s="44">
        <v>46095</v>
      </c>
      <c r="C4205" s="3" t="s">
        <v>416</v>
      </c>
      <c r="D4205" s="3" t="s">
        <v>590</v>
      </c>
      <c r="E4205" s="42"/>
      <c r="F4205" s="3" t="s">
        <v>474</v>
      </c>
      <c r="G4205" s="3" t="s">
        <v>317</v>
      </c>
      <c r="H4205" s="4">
        <v>3200700</v>
      </c>
      <c r="I4205" s="3" t="s">
        <v>648</v>
      </c>
      <c r="J4205" s="3" t="s">
        <v>449</v>
      </c>
      <c r="K4205" s="4">
        <v>3961500</v>
      </c>
    </row>
    <row r="4206" spans="2:13" x14ac:dyDescent="0.3">
      <c r="B4206" s="44">
        <v>46095</v>
      </c>
      <c r="C4206" s="3" t="s">
        <v>416</v>
      </c>
      <c r="D4206" s="3" t="s">
        <v>489</v>
      </c>
      <c r="E4206" s="4"/>
      <c r="F4206" s="4" t="s">
        <v>474</v>
      </c>
      <c r="G4206" s="4" t="s">
        <v>130</v>
      </c>
      <c r="H4206" s="4">
        <v>3352405</v>
      </c>
      <c r="I4206" s="4" t="s">
        <v>682</v>
      </c>
      <c r="J4206" s="4" t="s">
        <v>564</v>
      </c>
      <c r="K4206" s="4">
        <v>3969804</v>
      </c>
    </row>
    <row r="4207" spans="2:13" x14ac:dyDescent="0.3">
      <c r="B4207" s="44">
        <v>46095</v>
      </c>
      <c r="C4207" s="3" t="s">
        <v>416</v>
      </c>
      <c r="D4207" s="3" t="s">
        <v>496</v>
      </c>
      <c r="E4207" s="42"/>
      <c r="F4207" s="4" t="s">
        <v>474</v>
      </c>
      <c r="G4207" s="4" t="s">
        <v>426</v>
      </c>
      <c r="H4207" s="4">
        <v>3352603</v>
      </c>
      <c r="I4207" s="4" t="s">
        <v>687</v>
      </c>
      <c r="J4207" s="4" t="s">
        <v>207</v>
      </c>
      <c r="K4207" s="4">
        <v>3346801</v>
      </c>
    </row>
    <row r="4208" spans="2:13" x14ac:dyDescent="0.3">
      <c r="B4208" s="44">
        <v>46095</v>
      </c>
      <c r="C4208" s="3" t="s">
        <v>416</v>
      </c>
      <c r="D4208" s="3" t="s">
        <v>499</v>
      </c>
      <c r="E4208" s="42"/>
      <c r="F4208" s="3" t="s">
        <v>474</v>
      </c>
      <c r="G4208" s="3" t="s">
        <v>597</v>
      </c>
      <c r="H4208" s="4">
        <v>3352707</v>
      </c>
      <c r="I4208" s="3" t="s">
        <v>710</v>
      </c>
      <c r="J4208" s="3" t="s">
        <v>230</v>
      </c>
      <c r="K4208" s="4">
        <v>3900609</v>
      </c>
      <c r="M4208" s="51"/>
    </row>
    <row r="4209" spans="2:13" x14ac:dyDescent="0.3">
      <c r="B4209" s="44">
        <v>46095</v>
      </c>
      <c r="C4209" s="3" t="s">
        <v>416</v>
      </c>
      <c r="D4209" s="3" t="s">
        <v>610</v>
      </c>
      <c r="E4209" s="42"/>
      <c r="F4209" s="3" t="s">
        <v>714</v>
      </c>
      <c r="G4209" s="3" t="s">
        <v>352</v>
      </c>
      <c r="H4209" s="4">
        <v>3197208</v>
      </c>
      <c r="I4209" s="4" t="s">
        <v>474</v>
      </c>
      <c r="J4209" s="4" t="s">
        <v>458</v>
      </c>
      <c r="K4209" s="4">
        <v>3200304</v>
      </c>
    </row>
    <row r="4210" spans="2:13" x14ac:dyDescent="0.3">
      <c r="B4210" s="44">
        <v>46095</v>
      </c>
      <c r="C4210" s="3" t="s">
        <v>416</v>
      </c>
      <c r="D4210" s="3" t="s">
        <v>498</v>
      </c>
      <c r="E4210" s="42"/>
      <c r="F4210" s="3" t="s">
        <v>714</v>
      </c>
      <c r="G4210" s="3" t="s">
        <v>222</v>
      </c>
      <c r="H4210" s="4">
        <v>3348507</v>
      </c>
      <c r="I4210" s="3" t="s">
        <v>472</v>
      </c>
      <c r="J4210" s="3" t="s">
        <v>244</v>
      </c>
      <c r="K4210" s="4">
        <v>3357504</v>
      </c>
    </row>
    <row r="4211" spans="2:13" x14ac:dyDescent="0.3">
      <c r="B4211" s="44">
        <v>46095</v>
      </c>
      <c r="C4211" s="3" t="s">
        <v>416</v>
      </c>
      <c r="D4211" s="4" t="s">
        <v>614</v>
      </c>
      <c r="E4211" s="42"/>
      <c r="F4211" s="3" t="s">
        <v>714</v>
      </c>
      <c r="G4211" s="3" t="s">
        <v>454</v>
      </c>
      <c r="H4211" s="4">
        <v>3820300</v>
      </c>
      <c r="I4211" s="4" t="s">
        <v>713</v>
      </c>
      <c r="J4211" s="4" t="s">
        <v>623</v>
      </c>
      <c r="K4211" s="4">
        <v>3819305</v>
      </c>
    </row>
    <row r="4212" spans="2:13" x14ac:dyDescent="0.3">
      <c r="B4212" s="44">
        <v>46095</v>
      </c>
      <c r="C4212" s="3" t="s">
        <v>416</v>
      </c>
      <c r="D4212" s="3" t="s">
        <v>489</v>
      </c>
      <c r="E4212" s="4"/>
      <c r="F4212" s="3" t="s">
        <v>650</v>
      </c>
      <c r="G4212" s="3" t="s">
        <v>163</v>
      </c>
      <c r="H4212" s="4">
        <v>3351802</v>
      </c>
      <c r="I4212" s="4" t="s">
        <v>685</v>
      </c>
      <c r="J4212" s="4" t="s">
        <v>160</v>
      </c>
      <c r="K4212" s="4">
        <v>3353008</v>
      </c>
    </row>
    <row r="4213" spans="2:13" x14ac:dyDescent="0.3">
      <c r="B4213" s="44">
        <v>46095</v>
      </c>
      <c r="C4213" s="3" t="s">
        <v>416</v>
      </c>
      <c r="D4213" s="3" t="s">
        <v>590</v>
      </c>
      <c r="E4213" s="42"/>
      <c r="F4213" s="4" t="s">
        <v>650</v>
      </c>
      <c r="G4213" s="4" t="s">
        <v>277</v>
      </c>
      <c r="H4213" s="4">
        <v>3088400</v>
      </c>
      <c r="I4213" s="3" t="s">
        <v>691</v>
      </c>
      <c r="J4213" s="3" t="s">
        <v>289</v>
      </c>
      <c r="K4213" s="4">
        <v>3068804</v>
      </c>
    </row>
    <row r="4214" spans="2:13" x14ac:dyDescent="0.3">
      <c r="B4214" s="44">
        <v>46095</v>
      </c>
      <c r="C4214" s="3" t="s">
        <v>416</v>
      </c>
      <c r="D4214" s="3" t="s">
        <v>610</v>
      </c>
      <c r="E4214" s="42"/>
      <c r="F4214" s="3" t="s">
        <v>650</v>
      </c>
      <c r="G4214" s="3" t="s">
        <v>353</v>
      </c>
      <c r="H4214" s="4">
        <v>3200200</v>
      </c>
      <c r="I4214" s="4" t="s">
        <v>666</v>
      </c>
      <c r="J4214" s="4" t="s">
        <v>348</v>
      </c>
      <c r="K4214" s="4">
        <v>3205903</v>
      </c>
    </row>
    <row r="4215" spans="2:13" x14ac:dyDescent="0.3">
      <c r="B4215" s="44">
        <v>46095</v>
      </c>
      <c r="C4215" s="3" t="s">
        <v>416</v>
      </c>
      <c r="D4215" s="3" t="s">
        <v>499</v>
      </c>
      <c r="E4215" s="42"/>
      <c r="F4215" s="3" t="s">
        <v>650</v>
      </c>
      <c r="G4215" s="3" t="s">
        <v>571</v>
      </c>
      <c r="H4215" s="4">
        <v>3900505</v>
      </c>
      <c r="I4215" s="3" t="s">
        <v>675</v>
      </c>
      <c r="J4215" s="3" t="s">
        <v>572</v>
      </c>
      <c r="K4215" s="53">
        <v>3350303</v>
      </c>
      <c r="M4215" s="51"/>
    </row>
    <row r="4216" spans="2:13" x14ac:dyDescent="0.3">
      <c r="B4216" s="44">
        <v>46095</v>
      </c>
      <c r="C4216" s="3" t="s">
        <v>416</v>
      </c>
      <c r="D4216" s="3" t="s">
        <v>67</v>
      </c>
      <c r="E4216" s="42"/>
      <c r="F4216" s="4" t="s">
        <v>715</v>
      </c>
      <c r="G4216" s="4" t="s">
        <v>377</v>
      </c>
      <c r="H4216" s="4">
        <v>3200106</v>
      </c>
      <c r="I4216" s="3" t="s">
        <v>708</v>
      </c>
      <c r="J4216" s="3" t="s">
        <v>339</v>
      </c>
      <c r="K4216" s="4">
        <v>3204300</v>
      </c>
    </row>
    <row r="4217" spans="2:13" x14ac:dyDescent="0.3">
      <c r="B4217" s="44">
        <v>46095</v>
      </c>
      <c r="C4217" s="3" t="s">
        <v>416</v>
      </c>
      <c r="D4217" s="3" t="s">
        <v>487</v>
      </c>
      <c r="E4217" s="4"/>
      <c r="F4217" s="4" t="s">
        <v>710</v>
      </c>
      <c r="G4217" s="4" t="s">
        <v>113</v>
      </c>
      <c r="H4217" s="4">
        <v>3352009</v>
      </c>
      <c r="I4217" s="4" t="s">
        <v>692</v>
      </c>
      <c r="J4217" s="4" t="s">
        <v>115</v>
      </c>
      <c r="K4217" s="4">
        <v>3068106</v>
      </c>
    </row>
    <row r="4218" spans="2:13" x14ac:dyDescent="0.3">
      <c r="B4218" s="44">
        <v>46095</v>
      </c>
      <c r="C4218" s="3" t="s">
        <v>416</v>
      </c>
      <c r="D4218" s="3" t="s">
        <v>496</v>
      </c>
      <c r="E4218" s="42"/>
      <c r="F4218" s="4" t="s">
        <v>710</v>
      </c>
      <c r="G4218" s="4" t="s">
        <v>206</v>
      </c>
      <c r="H4218" s="4">
        <v>3352103</v>
      </c>
      <c r="I4218" s="3" t="s">
        <v>650</v>
      </c>
      <c r="J4218" s="3" t="s">
        <v>205</v>
      </c>
      <c r="K4218" s="74">
        <v>3351906</v>
      </c>
    </row>
    <row r="4219" spans="2:13" x14ac:dyDescent="0.3">
      <c r="B4219" s="44">
        <v>46095</v>
      </c>
      <c r="C4219" s="3" t="s">
        <v>416</v>
      </c>
      <c r="D4219" s="4" t="s">
        <v>614</v>
      </c>
      <c r="E4219" s="42"/>
      <c r="F4219" s="3" t="s">
        <v>710</v>
      </c>
      <c r="G4219" s="3" t="s">
        <v>384</v>
      </c>
      <c r="H4219" s="4">
        <v>3199508</v>
      </c>
      <c r="I4219" s="4" t="s">
        <v>710</v>
      </c>
      <c r="J4219" s="4" t="s">
        <v>385</v>
      </c>
      <c r="K4219" s="4">
        <v>3199602</v>
      </c>
    </row>
    <row r="4220" spans="2:13" x14ac:dyDescent="0.3">
      <c r="B4220" s="44">
        <v>46095</v>
      </c>
      <c r="C4220" s="3" t="s">
        <v>416</v>
      </c>
      <c r="D4220" s="3" t="s">
        <v>61</v>
      </c>
      <c r="E4220" s="42"/>
      <c r="F4220" s="4" t="s">
        <v>477</v>
      </c>
      <c r="G4220" s="4" t="s">
        <v>308</v>
      </c>
      <c r="H4220" s="4">
        <v>3199300</v>
      </c>
      <c r="I4220" s="4" t="s">
        <v>720</v>
      </c>
      <c r="J4220" s="4" t="s">
        <v>335</v>
      </c>
      <c r="K4220" s="4">
        <v>3194201</v>
      </c>
    </row>
    <row r="4221" spans="2:13" x14ac:dyDescent="0.3">
      <c r="B4221" s="44">
        <v>46095</v>
      </c>
      <c r="C4221" s="3" t="s">
        <v>416</v>
      </c>
      <c r="D4221" s="3" t="s">
        <v>61</v>
      </c>
      <c r="E4221" s="42"/>
      <c r="F4221" s="4" t="s">
        <v>477</v>
      </c>
      <c r="G4221" s="4" t="s">
        <v>332</v>
      </c>
      <c r="H4221" s="4">
        <v>3199206</v>
      </c>
      <c r="I4221" s="4" t="s">
        <v>478</v>
      </c>
      <c r="J4221" s="4" t="s">
        <v>330</v>
      </c>
      <c r="K4221" s="4">
        <v>3205309</v>
      </c>
    </row>
    <row r="4222" spans="2:13" x14ac:dyDescent="0.3">
      <c r="B4222" s="44">
        <v>46095</v>
      </c>
      <c r="C4222" s="3" t="s">
        <v>416</v>
      </c>
      <c r="D4222" s="3" t="s">
        <v>60</v>
      </c>
      <c r="E4222" s="42"/>
      <c r="F4222" s="3" t="s">
        <v>706</v>
      </c>
      <c r="G4222" s="3" t="s">
        <v>299</v>
      </c>
      <c r="H4222" s="4">
        <v>3199102</v>
      </c>
      <c r="I4222" s="3" t="s">
        <v>707</v>
      </c>
      <c r="J4222" s="3" t="s">
        <v>295</v>
      </c>
      <c r="K4222" s="32">
        <v>3207505</v>
      </c>
    </row>
    <row r="4223" spans="2:13" x14ac:dyDescent="0.3">
      <c r="B4223" s="44">
        <v>46095</v>
      </c>
      <c r="C4223" s="3" t="s">
        <v>416</v>
      </c>
      <c r="D4223" s="3" t="s">
        <v>486</v>
      </c>
      <c r="E4223" s="42"/>
      <c r="F4223" s="4" t="s">
        <v>645</v>
      </c>
      <c r="G4223" s="4" t="s">
        <v>104</v>
      </c>
      <c r="H4223" s="4">
        <v>3036308</v>
      </c>
      <c r="I4223" s="4" t="s">
        <v>652</v>
      </c>
      <c r="J4223" s="4" t="s">
        <v>110</v>
      </c>
      <c r="K4223" s="4">
        <v>3359106</v>
      </c>
    </row>
    <row r="4224" spans="2:13" x14ac:dyDescent="0.3">
      <c r="B4224" s="44">
        <v>46095</v>
      </c>
      <c r="C4224" s="3" t="s">
        <v>416</v>
      </c>
      <c r="D4224" s="3" t="s">
        <v>61</v>
      </c>
      <c r="E4224" s="42"/>
      <c r="F4224" s="4" t="s">
        <v>645</v>
      </c>
      <c r="G4224" s="4" t="s">
        <v>309</v>
      </c>
      <c r="H4224" s="4">
        <v>3082104</v>
      </c>
      <c r="I4224" s="73" t="s">
        <v>680</v>
      </c>
      <c r="J4224" s="73" t="s">
        <v>302</v>
      </c>
      <c r="K4224" s="4">
        <v>3208400</v>
      </c>
    </row>
    <row r="4225" spans="2:13" x14ac:dyDescent="0.3">
      <c r="B4225" s="44">
        <v>46095</v>
      </c>
      <c r="C4225" s="3" t="s">
        <v>416</v>
      </c>
      <c r="D4225" s="3" t="s">
        <v>488</v>
      </c>
      <c r="E4225" s="42"/>
      <c r="F4225" s="4" t="s">
        <v>645</v>
      </c>
      <c r="G4225" s="4" t="s">
        <v>151</v>
      </c>
      <c r="H4225" s="4">
        <v>3351208</v>
      </c>
      <c r="I4225" s="4" t="s">
        <v>695</v>
      </c>
      <c r="J4225" s="4" t="s">
        <v>147</v>
      </c>
      <c r="K4225" s="4">
        <v>3067409</v>
      </c>
    </row>
    <row r="4226" spans="2:13" x14ac:dyDescent="0.3">
      <c r="B4226" s="44">
        <v>46095</v>
      </c>
      <c r="C4226" s="3" t="s">
        <v>416</v>
      </c>
      <c r="D4226" s="3" t="s">
        <v>491</v>
      </c>
      <c r="E4226" s="42"/>
      <c r="F4226" s="4" t="s">
        <v>645</v>
      </c>
      <c r="G4226" s="4" t="s">
        <v>464</v>
      </c>
      <c r="H4226" s="4">
        <v>3351406</v>
      </c>
      <c r="I4226" s="4" t="s">
        <v>680</v>
      </c>
      <c r="J4226" s="4" t="s">
        <v>177</v>
      </c>
      <c r="K4226" s="4">
        <v>3899709</v>
      </c>
    </row>
    <row r="4227" spans="2:13" x14ac:dyDescent="0.3">
      <c r="B4227" s="44">
        <v>46095</v>
      </c>
      <c r="C4227" s="3" t="s">
        <v>416</v>
      </c>
      <c r="D4227" s="3" t="s">
        <v>496</v>
      </c>
      <c r="E4227" s="42"/>
      <c r="F4227" s="4" t="s">
        <v>716</v>
      </c>
      <c r="G4227" s="4" t="s">
        <v>427</v>
      </c>
      <c r="H4227" s="4">
        <v>3351500</v>
      </c>
      <c r="I4227" s="3" t="s">
        <v>675</v>
      </c>
      <c r="J4227" s="3" t="s">
        <v>198</v>
      </c>
      <c r="K4227" s="4">
        <v>3350803</v>
      </c>
    </row>
    <row r="4228" spans="2:13" x14ac:dyDescent="0.3">
      <c r="B4228" s="44">
        <v>46095</v>
      </c>
      <c r="C4228" s="3" t="s">
        <v>416</v>
      </c>
      <c r="D4228" s="3" t="s">
        <v>610</v>
      </c>
      <c r="E4228" s="42"/>
      <c r="F4228" s="3" t="s">
        <v>716</v>
      </c>
      <c r="G4228" s="3" t="s">
        <v>433</v>
      </c>
      <c r="H4228" s="4">
        <v>3198905</v>
      </c>
      <c r="I4228" s="4" t="s">
        <v>685</v>
      </c>
      <c r="J4228" s="4" t="s">
        <v>382</v>
      </c>
      <c r="K4228" s="4">
        <v>3200804</v>
      </c>
    </row>
    <row r="4229" spans="2:13" x14ac:dyDescent="0.3">
      <c r="B4229" s="44">
        <v>46095</v>
      </c>
      <c r="C4229" s="3" t="s">
        <v>416</v>
      </c>
      <c r="D4229" s="3" t="s">
        <v>497</v>
      </c>
      <c r="E4229" s="42"/>
      <c r="F4229" s="3" t="s">
        <v>678</v>
      </c>
      <c r="G4229" s="3" t="s">
        <v>172</v>
      </c>
      <c r="H4229" s="74">
        <v>3350709</v>
      </c>
      <c r="I4229" s="17" t="s">
        <v>657</v>
      </c>
      <c r="J4229" s="17" t="s">
        <v>213</v>
      </c>
      <c r="K4229" s="74">
        <v>3359502</v>
      </c>
    </row>
    <row r="4230" spans="2:13" x14ac:dyDescent="0.3">
      <c r="B4230" s="44">
        <v>46095</v>
      </c>
      <c r="C4230" s="3" t="s">
        <v>416</v>
      </c>
      <c r="D4230" s="3" t="s">
        <v>497</v>
      </c>
      <c r="E4230" s="42"/>
      <c r="F4230" s="17" t="s">
        <v>691</v>
      </c>
      <c r="G4230" s="17" t="s">
        <v>215</v>
      </c>
      <c r="H4230" s="74">
        <v>3350407</v>
      </c>
      <c r="I4230" s="17" t="s">
        <v>653</v>
      </c>
      <c r="J4230" s="17" t="s">
        <v>208</v>
      </c>
      <c r="K4230" s="74">
        <v>3361308</v>
      </c>
    </row>
    <row r="4231" spans="2:13" x14ac:dyDescent="0.3">
      <c r="B4231" s="44">
        <v>46095</v>
      </c>
      <c r="C4231" s="3" t="s">
        <v>416</v>
      </c>
      <c r="D4231" s="3" t="s">
        <v>65</v>
      </c>
      <c r="E4231" s="42"/>
      <c r="F4231" s="15" t="s">
        <v>691</v>
      </c>
      <c r="G4231" s="15" t="s">
        <v>327</v>
      </c>
      <c r="H4231" s="74">
        <v>3198603</v>
      </c>
      <c r="I4231" s="4" t="s">
        <v>663</v>
      </c>
      <c r="J4231" s="4" t="s">
        <v>290</v>
      </c>
      <c r="K4231" s="4">
        <v>3197500</v>
      </c>
    </row>
    <row r="4232" spans="2:13" x14ac:dyDescent="0.3">
      <c r="B4232" s="44">
        <v>46095</v>
      </c>
      <c r="C4232" s="3" t="s">
        <v>416</v>
      </c>
      <c r="D4232" s="3" t="s">
        <v>69</v>
      </c>
      <c r="E4232" s="42"/>
      <c r="F4232" s="3" t="s">
        <v>691</v>
      </c>
      <c r="G4232" s="3" t="s">
        <v>395</v>
      </c>
      <c r="H4232" s="4">
        <v>3197604</v>
      </c>
      <c r="I4232" s="3" t="s">
        <v>694</v>
      </c>
      <c r="J4232" s="3" t="s">
        <v>376</v>
      </c>
      <c r="K4232" s="53">
        <v>3201303</v>
      </c>
    </row>
    <row r="4233" spans="2:13" x14ac:dyDescent="0.3">
      <c r="B4233" s="44">
        <v>46095</v>
      </c>
      <c r="C4233" s="3" t="s">
        <v>416</v>
      </c>
      <c r="D4233" s="3" t="s">
        <v>70</v>
      </c>
      <c r="E4233" s="42"/>
      <c r="F4233" s="3" t="s">
        <v>689</v>
      </c>
      <c r="G4233" s="3" t="s">
        <v>404</v>
      </c>
      <c r="H4233" s="53">
        <v>3196605</v>
      </c>
      <c r="I4233" s="3" t="s">
        <v>717</v>
      </c>
      <c r="J4233" s="3" t="s">
        <v>434</v>
      </c>
      <c r="K4233" s="4">
        <v>3195408</v>
      </c>
    </row>
    <row r="4234" spans="2:13" x14ac:dyDescent="0.3">
      <c r="B4234" s="44">
        <v>46095</v>
      </c>
      <c r="C4234" s="3" t="s">
        <v>416</v>
      </c>
      <c r="D4234" s="3" t="s">
        <v>501</v>
      </c>
      <c r="E4234" s="42"/>
      <c r="F4234" s="3" t="s">
        <v>689</v>
      </c>
      <c r="G4234" s="3" t="s">
        <v>580</v>
      </c>
      <c r="H4234" s="4">
        <v>3350001</v>
      </c>
      <c r="I4234" s="3" t="s">
        <v>708</v>
      </c>
      <c r="J4234" s="3" t="s">
        <v>598</v>
      </c>
      <c r="K4234" s="4">
        <v>3354903</v>
      </c>
      <c r="M4234" s="51"/>
    </row>
    <row r="4235" spans="2:13" x14ac:dyDescent="0.3">
      <c r="B4235" s="44">
        <v>46095</v>
      </c>
      <c r="C4235" s="3" t="s">
        <v>416</v>
      </c>
      <c r="D4235" s="3" t="s">
        <v>490</v>
      </c>
      <c r="E4235" s="4"/>
      <c r="F4235" s="3" t="s">
        <v>654</v>
      </c>
      <c r="G4235" s="3" t="s">
        <v>143</v>
      </c>
      <c r="H4235" s="4">
        <v>3349704</v>
      </c>
      <c r="I4235" s="4" t="s">
        <v>717</v>
      </c>
      <c r="J4235" s="4" t="s">
        <v>425</v>
      </c>
      <c r="K4235" s="4">
        <v>3347206</v>
      </c>
    </row>
    <row r="4236" spans="2:13" x14ac:dyDescent="0.3">
      <c r="B4236" s="44">
        <v>46095</v>
      </c>
      <c r="C4236" s="3" t="s">
        <v>416</v>
      </c>
      <c r="D4236" s="3" t="s">
        <v>497</v>
      </c>
      <c r="E4236" s="42"/>
      <c r="F4236" s="3" t="s">
        <v>654</v>
      </c>
      <c r="G4236" s="3" t="s">
        <v>438</v>
      </c>
      <c r="H4236" s="74">
        <v>3906207</v>
      </c>
      <c r="I4236" s="17" t="s">
        <v>480</v>
      </c>
      <c r="J4236" s="17" t="s">
        <v>428</v>
      </c>
      <c r="K4236" s="74">
        <v>3360309</v>
      </c>
    </row>
    <row r="4237" spans="2:13" x14ac:dyDescent="0.3">
      <c r="B4237" s="44">
        <v>46095</v>
      </c>
      <c r="C4237" s="3" t="s">
        <v>416</v>
      </c>
      <c r="D4237" s="3" t="s">
        <v>58</v>
      </c>
      <c r="E4237" s="42"/>
      <c r="F4237" s="3" t="s">
        <v>712</v>
      </c>
      <c r="G4237" s="3" t="s">
        <v>270</v>
      </c>
      <c r="H4237" s="4">
        <v>3069605</v>
      </c>
      <c r="I4237" s="3" t="s">
        <v>690</v>
      </c>
      <c r="J4237" s="3" t="s">
        <v>303</v>
      </c>
      <c r="K4237" s="4">
        <v>3205101</v>
      </c>
    </row>
    <row r="4238" spans="2:13" x14ac:dyDescent="0.3">
      <c r="B4238" s="44">
        <v>46095</v>
      </c>
      <c r="C4238" s="3" t="s">
        <v>416</v>
      </c>
      <c r="D4238" s="3" t="s">
        <v>495</v>
      </c>
      <c r="E4238" s="42"/>
      <c r="F4238" s="3" t="s">
        <v>712</v>
      </c>
      <c r="G4238" s="3" t="s">
        <v>164</v>
      </c>
      <c r="H4238" s="4">
        <v>3349402</v>
      </c>
      <c r="I4238" s="3" t="s">
        <v>570</v>
      </c>
      <c r="J4238" s="3" t="s">
        <v>570</v>
      </c>
      <c r="K4238" s="4" t="s">
        <v>556</v>
      </c>
    </row>
    <row r="4239" spans="2:13" x14ac:dyDescent="0.3">
      <c r="B4239" s="44">
        <v>46095</v>
      </c>
      <c r="C4239" s="3" t="s">
        <v>416</v>
      </c>
      <c r="D4239" s="3" t="s">
        <v>492</v>
      </c>
      <c r="E4239" s="42"/>
      <c r="F4239" s="4" t="s">
        <v>713</v>
      </c>
      <c r="G4239" s="4" t="s">
        <v>165</v>
      </c>
      <c r="H4239" s="4">
        <v>3349006</v>
      </c>
      <c r="I4239" s="4" t="s">
        <v>670</v>
      </c>
      <c r="J4239" s="4" t="s">
        <v>145</v>
      </c>
      <c r="K4239" s="4">
        <v>3347404</v>
      </c>
    </row>
    <row r="4240" spans="2:13" x14ac:dyDescent="0.3">
      <c r="B4240" s="44">
        <v>46095</v>
      </c>
      <c r="C4240" s="3" t="s">
        <v>416</v>
      </c>
      <c r="D4240" s="3" t="s">
        <v>500</v>
      </c>
      <c r="E4240" s="42"/>
      <c r="F4240" s="3" t="s">
        <v>663</v>
      </c>
      <c r="G4240" s="3" t="s">
        <v>239</v>
      </c>
      <c r="H4240" s="4">
        <v>3348809</v>
      </c>
      <c r="I4240" s="4" t="s">
        <v>672</v>
      </c>
      <c r="J4240" s="4" t="s">
        <v>187</v>
      </c>
      <c r="K4240" s="4">
        <v>3354101</v>
      </c>
    </row>
    <row r="4241" spans="2:14" x14ac:dyDescent="0.3">
      <c r="B4241" s="44">
        <v>46095</v>
      </c>
      <c r="C4241" s="3" t="s">
        <v>416</v>
      </c>
      <c r="D4241" s="3" t="s">
        <v>69</v>
      </c>
      <c r="E4241" s="42"/>
      <c r="F4241" s="3" t="s">
        <v>663</v>
      </c>
      <c r="G4241" s="3" t="s">
        <v>362</v>
      </c>
      <c r="H4241" s="4">
        <v>3197406</v>
      </c>
      <c r="I4241" s="3" t="s">
        <v>681</v>
      </c>
      <c r="J4241" s="3" t="s">
        <v>365</v>
      </c>
      <c r="K4241" s="4">
        <v>3195804</v>
      </c>
    </row>
    <row r="4242" spans="2:14" x14ac:dyDescent="0.3">
      <c r="B4242" s="44">
        <v>46095</v>
      </c>
      <c r="C4242" s="3" t="s">
        <v>416</v>
      </c>
      <c r="D4242" s="3" t="s">
        <v>593</v>
      </c>
      <c r="E4242" s="42"/>
      <c r="F4242" s="3" t="s">
        <v>663</v>
      </c>
      <c r="G4242" s="3" t="s">
        <v>396</v>
      </c>
      <c r="H4242" s="4">
        <v>3197104</v>
      </c>
      <c r="I4242" s="4" t="s">
        <v>653</v>
      </c>
      <c r="J4242" s="4" t="s">
        <v>459</v>
      </c>
      <c r="K4242" s="4">
        <v>3211101</v>
      </c>
    </row>
    <row r="4243" spans="2:14" x14ac:dyDescent="0.3">
      <c r="B4243" s="44">
        <v>46095</v>
      </c>
      <c r="C4243" s="3" t="s">
        <v>416</v>
      </c>
      <c r="D4243" s="3" t="s">
        <v>590</v>
      </c>
      <c r="E4243" s="42"/>
      <c r="F4243" s="4" t="s">
        <v>471</v>
      </c>
      <c r="G4243" s="4" t="s">
        <v>291</v>
      </c>
      <c r="H4243" s="4">
        <v>3196709</v>
      </c>
      <c r="I4243" s="3" t="s">
        <v>671</v>
      </c>
      <c r="J4243" s="3" t="s">
        <v>311</v>
      </c>
      <c r="K4243" s="4">
        <v>3209003</v>
      </c>
    </row>
    <row r="4244" spans="2:14" x14ac:dyDescent="0.3">
      <c r="B4244" s="44">
        <v>46095</v>
      </c>
      <c r="C4244" s="3" t="s">
        <v>416</v>
      </c>
      <c r="D4244" s="3" t="s">
        <v>493</v>
      </c>
      <c r="E4244" s="42"/>
      <c r="F4244" s="3" t="s">
        <v>471</v>
      </c>
      <c r="G4244" s="3" t="s">
        <v>174</v>
      </c>
      <c r="H4244" s="4">
        <v>3348101</v>
      </c>
      <c r="I4244" s="4" t="s">
        <v>701</v>
      </c>
      <c r="J4244" s="4" t="s">
        <v>171</v>
      </c>
      <c r="K4244" s="4">
        <v>3355600</v>
      </c>
    </row>
    <row r="4245" spans="2:14" x14ac:dyDescent="0.3">
      <c r="B4245" s="44">
        <v>46095</v>
      </c>
      <c r="C4245" s="3" t="s">
        <v>416</v>
      </c>
      <c r="D4245" s="3" t="s">
        <v>65</v>
      </c>
      <c r="E4245" s="42"/>
      <c r="F4245" s="3" t="s">
        <v>471</v>
      </c>
      <c r="G4245" s="3" t="s">
        <v>363</v>
      </c>
      <c r="H4245" s="4">
        <v>3196907</v>
      </c>
      <c r="I4245" s="4" t="s">
        <v>656</v>
      </c>
      <c r="J4245" s="4" t="s">
        <v>326</v>
      </c>
      <c r="K4245" s="4">
        <v>3199904</v>
      </c>
    </row>
    <row r="4246" spans="2:14" x14ac:dyDescent="0.3">
      <c r="B4246" s="44">
        <v>46095</v>
      </c>
      <c r="C4246" s="3" t="s">
        <v>416</v>
      </c>
      <c r="D4246" s="3" t="s">
        <v>493</v>
      </c>
      <c r="E4246" s="42"/>
      <c r="F4246" s="3" t="s">
        <v>471</v>
      </c>
      <c r="G4246" s="3" t="s">
        <v>217</v>
      </c>
      <c r="H4246" s="4">
        <v>3348309</v>
      </c>
      <c r="I4246" s="4" t="s">
        <v>471</v>
      </c>
      <c r="J4246" s="4" t="s">
        <v>190</v>
      </c>
      <c r="K4246" s="4">
        <v>3348205</v>
      </c>
    </row>
    <row r="4247" spans="2:14" x14ac:dyDescent="0.3">
      <c r="B4247" s="44">
        <v>46095</v>
      </c>
      <c r="C4247" s="3" t="s">
        <v>416</v>
      </c>
      <c r="D4247" s="3" t="s">
        <v>497</v>
      </c>
      <c r="E4247" s="42"/>
      <c r="F4247" s="15" t="s">
        <v>471</v>
      </c>
      <c r="G4247" s="15" t="s">
        <v>240</v>
      </c>
      <c r="H4247" s="74">
        <v>3348403</v>
      </c>
      <c r="I4247" s="4" t="s">
        <v>654</v>
      </c>
      <c r="J4247" s="4" t="s">
        <v>216</v>
      </c>
      <c r="K4247" s="4">
        <v>3349808</v>
      </c>
    </row>
    <row r="4248" spans="2:14" x14ac:dyDescent="0.3">
      <c r="B4248" s="44">
        <v>46095</v>
      </c>
      <c r="C4248" s="3" t="s">
        <v>416</v>
      </c>
      <c r="D4248" s="3" t="s">
        <v>500</v>
      </c>
      <c r="E4248" s="42"/>
      <c r="F4248" s="3" t="s">
        <v>471</v>
      </c>
      <c r="G4248" s="3" t="s">
        <v>467</v>
      </c>
      <c r="H4248" s="4">
        <v>3819409</v>
      </c>
      <c r="I4248" s="4" t="s">
        <v>676</v>
      </c>
      <c r="J4248" s="4" t="s">
        <v>577</v>
      </c>
      <c r="K4248" s="4" t="s">
        <v>556</v>
      </c>
    </row>
    <row r="4249" spans="2:14" x14ac:dyDescent="0.3">
      <c r="B4249" s="44">
        <v>46095</v>
      </c>
      <c r="C4249" s="3" t="s">
        <v>416</v>
      </c>
      <c r="D4249" s="3" t="s">
        <v>70</v>
      </c>
      <c r="E4249" s="42"/>
      <c r="F4249" s="3" t="s">
        <v>692</v>
      </c>
      <c r="G4249" s="3" t="s">
        <v>378</v>
      </c>
      <c r="H4249" s="4">
        <v>3197802</v>
      </c>
      <c r="I4249" s="3" t="s">
        <v>475</v>
      </c>
      <c r="J4249" s="3" t="s">
        <v>370</v>
      </c>
      <c r="K4249" s="4">
        <v>3211903</v>
      </c>
    </row>
    <row r="4250" spans="2:14" x14ac:dyDescent="0.3">
      <c r="B4250" s="44">
        <v>46095</v>
      </c>
      <c r="C4250" s="3" t="s">
        <v>416</v>
      </c>
      <c r="D4250" s="3" t="s">
        <v>501</v>
      </c>
      <c r="E4250" s="42"/>
      <c r="F4250" s="3" t="s">
        <v>692</v>
      </c>
      <c r="G4250" s="3" t="s">
        <v>582</v>
      </c>
      <c r="H4250" s="53">
        <v>3900901</v>
      </c>
      <c r="I4250" s="3" t="s">
        <v>722</v>
      </c>
      <c r="J4250" s="3" t="s">
        <v>600</v>
      </c>
      <c r="K4250" s="4" t="s">
        <v>556</v>
      </c>
      <c r="M4250" s="3" t="s">
        <v>582</v>
      </c>
      <c r="N4250" s="3" t="s">
        <v>231</v>
      </c>
    </row>
    <row r="4251" spans="2:14" x14ac:dyDescent="0.3">
      <c r="B4251" s="44">
        <v>46095</v>
      </c>
      <c r="C4251" s="3" t="s">
        <v>416</v>
      </c>
      <c r="D4251" s="3" t="s">
        <v>491</v>
      </c>
      <c r="E4251" s="42"/>
      <c r="F4251" s="3" t="s">
        <v>698</v>
      </c>
      <c r="G4251" s="3" t="s">
        <v>567</v>
      </c>
      <c r="H4251" s="4" t="s">
        <v>556</v>
      </c>
      <c r="I4251" s="3" t="s">
        <v>645</v>
      </c>
      <c r="J4251" s="3" t="s">
        <v>152</v>
      </c>
      <c r="K4251" s="4">
        <v>3351302</v>
      </c>
    </row>
    <row r="4252" spans="2:14" x14ac:dyDescent="0.3">
      <c r="B4252" s="44">
        <v>46095</v>
      </c>
      <c r="C4252" s="3" t="s">
        <v>416</v>
      </c>
      <c r="D4252" s="3" t="s">
        <v>60</v>
      </c>
      <c r="E4252" s="42"/>
      <c r="F4252" s="3" t="s">
        <v>698</v>
      </c>
      <c r="G4252" s="3" t="s">
        <v>595</v>
      </c>
      <c r="H4252" s="4" t="s">
        <v>563</v>
      </c>
      <c r="I4252" s="3" t="s">
        <v>668</v>
      </c>
      <c r="J4252" s="3" t="s">
        <v>431</v>
      </c>
      <c r="K4252" s="4">
        <v>3900703</v>
      </c>
    </row>
    <row r="4253" spans="2:14" x14ac:dyDescent="0.3">
      <c r="B4253" s="44">
        <v>46095</v>
      </c>
      <c r="C4253" s="3" t="s">
        <v>416</v>
      </c>
      <c r="D4253" s="3" t="s">
        <v>495</v>
      </c>
      <c r="E4253" s="42"/>
      <c r="F4253" s="3" t="s">
        <v>699</v>
      </c>
      <c r="G4253" s="3" t="s">
        <v>569</v>
      </c>
      <c r="H4253" s="4">
        <v>3125708</v>
      </c>
      <c r="I4253" s="3" t="s">
        <v>646</v>
      </c>
      <c r="J4253" s="3" t="s">
        <v>195</v>
      </c>
      <c r="K4253" s="74">
        <v>3361600</v>
      </c>
    </row>
    <row r="4254" spans="2:14" x14ac:dyDescent="0.3">
      <c r="B4254" s="44">
        <v>46095</v>
      </c>
      <c r="C4254" s="3" t="s">
        <v>416</v>
      </c>
      <c r="D4254" s="3" t="s">
        <v>590</v>
      </c>
      <c r="E4254" s="42"/>
      <c r="F4254" s="4" t="s">
        <v>699</v>
      </c>
      <c r="G4254" s="4" t="s">
        <v>594</v>
      </c>
      <c r="H4254" s="4">
        <v>3196407</v>
      </c>
      <c r="I4254" s="4" t="s">
        <v>479</v>
      </c>
      <c r="J4254" s="4" t="s">
        <v>284</v>
      </c>
      <c r="K4254" s="4">
        <v>3210904</v>
      </c>
    </row>
    <row r="4255" spans="2:14" x14ac:dyDescent="0.3">
      <c r="B4255" s="44">
        <v>46095</v>
      </c>
      <c r="C4255" s="3" t="s">
        <v>416</v>
      </c>
      <c r="D4255" s="3" t="s">
        <v>64</v>
      </c>
      <c r="E4255" s="42">
        <v>4370907</v>
      </c>
      <c r="F4255" s="3" t="s">
        <v>670</v>
      </c>
      <c r="G4255" s="3" t="s">
        <v>343</v>
      </c>
      <c r="H4255" s="4">
        <v>3195606</v>
      </c>
      <c r="I4255" s="4" t="s">
        <v>688</v>
      </c>
      <c r="J4255" s="4" t="s">
        <v>318</v>
      </c>
      <c r="K4255" s="4">
        <v>3037401</v>
      </c>
    </row>
    <row r="4256" spans="2:14" x14ac:dyDescent="0.3">
      <c r="B4256" s="44">
        <v>46095</v>
      </c>
      <c r="C4256" s="3" t="s">
        <v>416</v>
      </c>
      <c r="D4256" s="3" t="s">
        <v>495</v>
      </c>
      <c r="E4256" s="42"/>
      <c r="F4256" s="3" t="s">
        <v>670</v>
      </c>
      <c r="G4256" s="3" t="s">
        <v>224</v>
      </c>
      <c r="H4256" s="4">
        <v>3347008</v>
      </c>
      <c r="I4256" s="3" t="s">
        <v>685</v>
      </c>
      <c r="J4256" s="3" t="s">
        <v>197</v>
      </c>
      <c r="K4256" s="4">
        <v>3353300</v>
      </c>
    </row>
    <row r="4257" spans="2:13" x14ac:dyDescent="0.3">
      <c r="B4257" s="44">
        <v>46095</v>
      </c>
      <c r="C4257" s="3" t="s">
        <v>416</v>
      </c>
      <c r="D4257" s="3" t="s">
        <v>592</v>
      </c>
      <c r="E4257" s="42"/>
      <c r="F4257" s="3" t="s">
        <v>670</v>
      </c>
      <c r="G4257" s="3" t="s">
        <v>636</v>
      </c>
      <c r="H4257" s="74">
        <v>3195502</v>
      </c>
      <c r="I4257" s="3" t="s">
        <v>647</v>
      </c>
      <c r="J4257" s="3" t="s">
        <v>405</v>
      </c>
      <c r="K4257" s="74">
        <v>3901108</v>
      </c>
    </row>
    <row r="4258" spans="2:13" x14ac:dyDescent="0.3">
      <c r="B4258" s="44">
        <v>46095</v>
      </c>
      <c r="C4258" s="3" t="s">
        <v>416</v>
      </c>
      <c r="D4258" s="3" t="s">
        <v>64</v>
      </c>
      <c r="E4258" s="42">
        <v>4370907</v>
      </c>
      <c r="F4258" s="3" t="s">
        <v>673</v>
      </c>
      <c r="G4258" s="3" t="s">
        <v>355</v>
      </c>
      <c r="H4258" s="4">
        <v>3195002</v>
      </c>
      <c r="I4258" s="4" t="s">
        <v>692</v>
      </c>
      <c r="J4258" s="4" t="s">
        <v>342</v>
      </c>
      <c r="K4258" s="4">
        <v>3196501</v>
      </c>
    </row>
    <row r="4259" spans="2:13" x14ac:dyDescent="0.3">
      <c r="B4259" s="44">
        <v>46095</v>
      </c>
      <c r="C4259" s="3" t="s">
        <v>416</v>
      </c>
      <c r="D4259" s="4" t="s">
        <v>614</v>
      </c>
      <c r="E4259" s="42"/>
      <c r="F4259" s="3" t="s">
        <v>673</v>
      </c>
      <c r="G4259" s="3" t="s">
        <v>455</v>
      </c>
      <c r="H4259" s="4">
        <v>3961604</v>
      </c>
      <c r="I4259" s="4" t="s">
        <v>675</v>
      </c>
      <c r="J4259" s="4" t="s">
        <v>403</v>
      </c>
      <c r="K4259" s="4">
        <v>3198509</v>
      </c>
    </row>
    <row r="4260" spans="2:13" x14ac:dyDescent="0.3">
      <c r="B4260" s="44">
        <v>46095</v>
      </c>
      <c r="C4260" s="3" t="s">
        <v>416</v>
      </c>
      <c r="D4260" s="3" t="s">
        <v>495</v>
      </c>
      <c r="E4260" s="42"/>
      <c r="F4260" s="3" t="s">
        <v>673</v>
      </c>
      <c r="G4260" s="3" t="s">
        <v>200</v>
      </c>
      <c r="H4260" s="53">
        <v>3901004</v>
      </c>
      <c r="I4260" s="3" t="s">
        <v>685</v>
      </c>
      <c r="J4260" s="3" t="s">
        <v>196</v>
      </c>
      <c r="K4260" s="4">
        <v>3353102</v>
      </c>
    </row>
    <row r="4261" spans="2:13" x14ac:dyDescent="0.3">
      <c r="B4261" s="44">
        <v>46095</v>
      </c>
      <c r="C4261" s="3" t="s">
        <v>416</v>
      </c>
      <c r="D4261" s="3" t="s">
        <v>498</v>
      </c>
      <c r="E4261" s="42"/>
      <c r="F4261" s="3" t="s">
        <v>717</v>
      </c>
      <c r="G4261" s="3" t="s">
        <v>429</v>
      </c>
      <c r="H4261" s="4">
        <v>3346905</v>
      </c>
      <c r="I4261" s="3" t="s">
        <v>475</v>
      </c>
      <c r="J4261" s="3" t="s">
        <v>184</v>
      </c>
      <c r="K4261" s="53">
        <v>3363004</v>
      </c>
    </row>
    <row r="4262" spans="2:13" x14ac:dyDescent="0.3">
      <c r="B4262" s="44">
        <v>46095</v>
      </c>
      <c r="C4262" s="3" t="s">
        <v>416</v>
      </c>
      <c r="D4262" s="3" t="s">
        <v>67</v>
      </c>
      <c r="E4262" s="42"/>
      <c r="F4262" s="4" t="s">
        <v>717</v>
      </c>
      <c r="G4262" s="4" t="s">
        <v>435</v>
      </c>
      <c r="H4262" s="4">
        <v>3195200</v>
      </c>
      <c r="I4262" s="4" t="s">
        <v>472</v>
      </c>
      <c r="J4262" s="4" t="s">
        <v>338</v>
      </c>
      <c r="K4262" s="4">
        <v>3207307</v>
      </c>
    </row>
    <row r="4263" spans="2:13" x14ac:dyDescent="0.3">
      <c r="B4263" s="44">
        <v>46095</v>
      </c>
      <c r="C4263" s="3" t="s">
        <v>416</v>
      </c>
      <c r="D4263" s="3" t="s">
        <v>501</v>
      </c>
      <c r="E4263" s="42"/>
      <c r="F4263" s="3" t="s">
        <v>717</v>
      </c>
      <c r="G4263" s="3" t="s">
        <v>583</v>
      </c>
      <c r="H4263" s="4">
        <v>4022908</v>
      </c>
      <c r="I4263" s="3" t="s">
        <v>662</v>
      </c>
      <c r="J4263" s="3" t="s">
        <v>243</v>
      </c>
      <c r="K4263" s="4">
        <v>3899907</v>
      </c>
      <c r="M4263" s="51"/>
    </row>
    <row r="4264" spans="2:13" x14ac:dyDescent="0.3">
      <c r="B4264" s="44">
        <v>46095</v>
      </c>
      <c r="C4264" s="3" t="s">
        <v>416</v>
      </c>
      <c r="D4264" s="3" t="s">
        <v>62</v>
      </c>
      <c r="E4264" s="42"/>
      <c r="F4264" s="3" t="s">
        <v>679</v>
      </c>
      <c r="G4264" s="3" t="s">
        <v>292</v>
      </c>
      <c r="H4264" s="4">
        <v>3195304</v>
      </c>
      <c r="I4264" s="3" t="s">
        <v>663</v>
      </c>
      <c r="J4264" s="3" t="s">
        <v>280</v>
      </c>
      <c r="K4264" s="4">
        <v>3198103</v>
      </c>
    </row>
    <row r="4265" spans="2:13" x14ac:dyDescent="0.3">
      <c r="B4265" s="44">
        <v>46095</v>
      </c>
      <c r="C4265" s="3" t="s">
        <v>416</v>
      </c>
      <c r="D4265" s="3" t="s">
        <v>500</v>
      </c>
      <c r="E4265" s="42"/>
      <c r="F4265" s="3" t="s">
        <v>679</v>
      </c>
      <c r="G4265" s="3" t="s">
        <v>466</v>
      </c>
      <c r="H4265" s="4">
        <v>3346707</v>
      </c>
      <c r="I4265" s="4" t="s">
        <v>701</v>
      </c>
      <c r="J4265" s="4" t="s">
        <v>236</v>
      </c>
      <c r="K4265" s="4">
        <v>3355704</v>
      </c>
    </row>
    <row r="4266" spans="2:13" x14ac:dyDescent="0.3">
      <c r="B4266" s="44">
        <v>46095</v>
      </c>
      <c r="C4266" s="3" t="s">
        <v>416</v>
      </c>
      <c r="D4266" s="3" t="s">
        <v>487</v>
      </c>
      <c r="E4266" s="4"/>
      <c r="F4266" s="4" t="s">
        <v>721</v>
      </c>
      <c r="G4266" s="4" t="s">
        <v>124</v>
      </c>
      <c r="H4266" s="4">
        <v>3267501</v>
      </c>
      <c r="I4266" s="4" t="s">
        <v>471</v>
      </c>
      <c r="J4266" s="4" t="s">
        <v>133</v>
      </c>
      <c r="K4266" s="4">
        <v>3348705</v>
      </c>
    </row>
    <row r="4267" spans="2:13" x14ac:dyDescent="0.3">
      <c r="B4267" s="44">
        <v>46095</v>
      </c>
      <c r="C4267" s="3" t="s">
        <v>416</v>
      </c>
      <c r="D4267" s="3" t="s">
        <v>58</v>
      </c>
      <c r="E4267" s="42"/>
      <c r="F4267" s="3" t="s">
        <v>721</v>
      </c>
      <c r="G4267" s="3" t="s">
        <v>271</v>
      </c>
      <c r="H4267" s="4">
        <v>3194701</v>
      </c>
      <c r="I4267" s="3" t="s">
        <v>697</v>
      </c>
      <c r="J4267" s="3" t="s">
        <v>262</v>
      </c>
      <c r="K4267" s="32">
        <v>3055405</v>
      </c>
    </row>
    <row r="4268" spans="2:13" x14ac:dyDescent="0.3">
      <c r="B4268" s="44">
        <v>46095</v>
      </c>
      <c r="C4268" s="3" t="s">
        <v>416</v>
      </c>
      <c r="D4268" s="3" t="s">
        <v>60</v>
      </c>
      <c r="E4268" s="42"/>
      <c r="F4268" s="3" t="s">
        <v>721</v>
      </c>
      <c r="G4268" s="3" t="s">
        <v>300</v>
      </c>
      <c r="H4268" s="4">
        <v>3194805</v>
      </c>
      <c r="I4268" s="3" t="s">
        <v>667</v>
      </c>
      <c r="J4268" s="3" t="s">
        <v>294</v>
      </c>
      <c r="K4268" s="32">
        <v>3209409</v>
      </c>
    </row>
    <row r="4269" spans="2:13" x14ac:dyDescent="0.3">
      <c r="B4269" s="44">
        <v>46095</v>
      </c>
      <c r="C4269" s="3" t="s">
        <v>416</v>
      </c>
      <c r="D4269" s="3" t="s">
        <v>489</v>
      </c>
      <c r="E4269" s="4"/>
      <c r="F4269" s="3" t="s">
        <v>688</v>
      </c>
      <c r="G4269" s="3" t="s">
        <v>10</v>
      </c>
      <c r="H4269" s="4">
        <v>3036204</v>
      </c>
      <c r="I4269" s="3" t="s">
        <v>678</v>
      </c>
      <c r="J4269" s="3" t="s">
        <v>131</v>
      </c>
      <c r="K4269" s="4">
        <v>3350605</v>
      </c>
    </row>
    <row r="4270" spans="2:13" x14ac:dyDescent="0.3">
      <c r="B4270" s="44">
        <v>46095</v>
      </c>
      <c r="C4270" s="3" t="s">
        <v>416</v>
      </c>
      <c r="D4270" s="3" t="s">
        <v>56</v>
      </c>
      <c r="E4270" s="42"/>
      <c r="F4270" s="4" t="s">
        <v>688</v>
      </c>
      <c r="G4270" s="4" t="s">
        <v>264</v>
      </c>
      <c r="H4270" s="4">
        <v>3055603</v>
      </c>
      <c r="I4270" s="3" t="s">
        <v>646</v>
      </c>
      <c r="J4270" s="3" t="s">
        <v>251</v>
      </c>
      <c r="K4270" s="4">
        <v>3036704</v>
      </c>
    </row>
    <row r="4271" spans="2:13" x14ac:dyDescent="0.3">
      <c r="B4271" s="44">
        <v>46095</v>
      </c>
      <c r="C4271" s="3" t="s">
        <v>416</v>
      </c>
      <c r="D4271" s="3" t="s">
        <v>498</v>
      </c>
      <c r="E4271" s="42"/>
      <c r="F4271" s="3" t="s">
        <v>688</v>
      </c>
      <c r="G4271" s="3" t="s">
        <v>146</v>
      </c>
      <c r="H4271" s="53">
        <v>3346405</v>
      </c>
      <c r="I4271" s="3" t="s">
        <v>694</v>
      </c>
      <c r="J4271" s="3" t="s">
        <v>245</v>
      </c>
      <c r="K4271" s="4">
        <v>3352905</v>
      </c>
    </row>
    <row r="4272" spans="2:13" x14ac:dyDescent="0.3">
      <c r="B4272" s="44">
        <v>46095</v>
      </c>
      <c r="C4272" s="3" t="s">
        <v>416</v>
      </c>
      <c r="D4272" s="3" t="s">
        <v>70</v>
      </c>
      <c r="E4272" s="42"/>
      <c r="F4272" s="3" t="s">
        <v>688</v>
      </c>
      <c r="G4272" s="3" t="s">
        <v>379</v>
      </c>
      <c r="H4272" s="4">
        <v>3194409</v>
      </c>
      <c r="I4272" s="3" t="s">
        <v>475</v>
      </c>
      <c r="J4272" s="3" t="s">
        <v>371</v>
      </c>
      <c r="K4272" s="53">
        <v>3212006</v>
      </c>
    </row>
    <row r="4273" spans="1:43" x14ac:dyDescent="0.3">
      <c r="B4273" s="44">
        <v>46095</v>
      </c>
      <c r="C4273" s="3" t="s">
        <v>416</v>
      </c>
      <c r="D4273" s="3" t="s">
        <v>487</v>
      </c>
      <c r="E4273" s="4"/>
      <c r="F4273" s="3" t="s">
        <v>647</v>
      </c>
      <c r="G4273" s="3" t="s">
        <v>116</v>
      </c>
      <c r="H4273" s="4">
        <v>3346009</v>
      </c>
      <c r="I4273" s="4" t="s">
        <v>645</v>
      </c>
      <c r="J4273" s="4" t="s">
        <v>114</v>
      </c>
      <c r="K4273" s="4">
        <v>3351000</v>
      </c>
    </row>
    <row r="4274" spans="1:43" x14ac:dyDescent="0.3">
      <c r="B4274" s="44">
        <v>46095</v>
      </c>
      <c r="C4274" s="3" t="s">
        <v>416</v>
      </c>
      <c r="D4274" s="3" t="s">
        <v>57</v>
      </c>
      <c r="E4274" s="42"/>
      <c r="F4274" s="4" t="s">
        <v>647</v>
      </c>
      <c r="G4274" s="4" t="s">
        <v>282</v>
      </c>
      <c r="H4274" s="4">
        <v>3193900</v>
      </c>
      <c r="I4274" s="32" t="s">
        <v>476</v>
      </c>
      <c r="J4274" s="32" t="s">
        <v>249</v>
      </c>
      <c r="K4274" s="15">
        <v>3038202</v>
      </c>
    </row>
    <row r="4275" spans="1:43" x14ac:dyDescent="0.3">
      <c r="B4275" s="44">
        <v>46095</v>
      </c>
      <c r="C4275" s="3" t="s">
        <v>416</v>
      </c>
      <c r="D4275" s="3" t="s">
        <v>67</v>
      </c>
      <c r="E4275" s="42"/>
      <c r="F4275" s="4" t="s">
        <v>647</v>
      </c>
      <c r="G4275" s="4" t="s">
        <v>345</v>
      </c>
      <c r="H4275" s="4">
        <v>3194003</v>
      </c>
      <c r="I4275" s="4" t="s">
        <v>688</v>
      </c>
      <c r="J4275" s="4" t="s">
        <v>344</v>
      </c>
      <c r="K4275" s="4">
        <v>3194909</v>
      </c>
    </row>
    <row r="4276" spans="1:43" x14ac:dyDescent="0.3">
      <c r="B4276" s="44">
        <v>46095</v>
      </c>
      <c r="C4276" s="3" t="s">
        <v>416</v>
      </c>
      <c r="D4276" s="3" t="s">
        <v>498</v>
      </c>
      <c r="E4276" s="42"/>
      <c r="F4276" s="3" t="s">
        <v>647</v>
      </c>
      <c r="G4276" s="3" t="s">
        <v>225</v>
      </c>
      <c r="H4276" s="4">
        <v>3345802</v>
      </c>
      <c r="I4276" s="3" t="s">
        <v>692</v>
      </c>
      <c r="J4276" s="3" t="s">
        <v>223</v>
      </c>
      <c r="K4276" s="4">
        <v>3348007</v>
      </c>
    </row>
    <row r="4277" spans="1:43" x14ac:dyDescent="0.3">
      <c r="B4277" s="44">
        <v>46095</v>
      </c>
      <c r="C4277" s="3" t="s">
        <v>416</v>
      </c>
      <c r="D4277" s="3" t="s">
        <v>59</v>
      </c>
      <c r="E4277" s="42"/>
      <c r="F4277" s="3" t="s">
        <v>687</v>
      </c>
      <c r="G4277" s="3" t="s">
        <v>283</v>
      </c>
      <c r="H4277" s="4">
        <v>3194107</v>
      </c>
      <c r="I4277" s="3" t="s">
        <v>653</v>
      </c>
      <c r="J4277" s="3" t="s">
        <v>272</v>
      </c>
      <c r="K4277" s="4">
        <v>3211205</v>
      </c>
    </row>
    <row r="4278" spans="1:43" x14ac:dyDescent="0.3">
      <c r="B4278" s="44">
        <v>46095</v>
      </c>
      <c r="C4278" s="3" t="s">
        <v>416</v>
      </c>
      <c r="D4278" s="3" t="s">
        <v>499</v>
      </c>
      <c r="E4278" s="42"/>
      <c r="F4278" s="3" t="s">
        <v>687</v>
      </c>
      <c r="G4278" s="3" t="s">
        <v>231</v>
      </c>
      <c r="H4278" s="4">
        <v>3819503</v>
      </c>
      <c r="I4278" s="3" t="s">
        <v>723</v>
      </c>
      <c r="J4278" s="3" t="s">
        <v>599</v>
      </c>
      <c r="K4278" s="4" t="s">
        <v>556</v>
      </c>
      <c r="M4278" s="3" t="s">
        <v>582</v>
      </c>
      <c r="N4278" s="3" t="s">
        <v>231</v>
      </c>
    </row>
    <row r="4279" spans="1:43" x14ac:dyDescent="0.3">
      <c r="A4279" s="4"/>
      <c r="B4279" s="100">
        <v>46096</v>
      </c>
      <c r="C4279" s="98" t="s">
        <v>553</v>
      </c>
      <c r="D4279" s="4" t="s">
        <v>521</v>
      </c>
      <c r="E4279" s="4"/>
      <c r="F4279" s="73" t="s">
        <v>479</v>
      </c>
      <c r="G4279" s="73" t="s">
        <v>479</v>
      </c>
      <c r="H4279" s="73"/>
      <c r="I4279" s="73" t="s">
        <v>541</v>
      </c>
      <c r="J4279" s="73" t="s">
        <v>541</v>
      </c>
      <c r="K4279" s="15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</row>
    <row r="4280" spans="1:43" x14ac:dyDescent="0.3">
      <c r="A4280" s="4"/>
      <c r="B4280" s="100">
        <v>46096</v>
      </c>
      <c r="C4280" s="98" t="s">
        <v>553</v>
      </c>
      <c r="D4280" s="4" t="s">
        <v>516</v>
      </c>
      <c r="E4280" s="4"/>
      <c r="F4280" s="73" t="s">
        <v>527</v>
      </c>
      <c r="G4280" s="73" t="s">
        <v>527</v>
      </c>
      <c r="H4280" s="73"/>
      <c r="I4280" s="73" t="s">
        <v>476</v>
      </c>
      <c r="J4280" s="73" t="s">
        <v>476</v>
      </c>
      <c r="K4280" s="15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</row>
    <row r="4281" spans="1:43" x14ac:dyDescent="0.3">
      <c r="A4281" s="4"/>
      <c r="B4281" s="100">
        <v>46096</v>
      </c>
      <c r="C4281" s="98" t="s">
        <v>553</v>
      </c>
      <c r="D4281" s="4" t="s">
        <v>521</v>
      </c>
      <c r="E4281" s="4"/>
      <c r="F4281" s="73" t="s">
        <v>536</v>
      </c>
      <c r="G4281" s="73" t="s">
        <v>536</v>
      </c>
      <c r="H4281" s="73"/>
      <c r="I4281" s="73" t="s">
        <v>472</v>
      </c>
      <c r="J4281" s="73" t="s">
        <v>472</v>
      </c>
      <c r="K4281" s="15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</row>
    <row r="4282" spans="1:43" x14ac:dyDescent="0.3">
      <c r="A4282" s="4"/>
      <c r="B4282" s="100">
        <v>46096</v>
      </c>
      <c r="C4282" s="98" t="s">
        <v>553</v>
      </c>
      <c r="D4282" s="4" t="s">
        <v>516</v>
      </c>
      <c r="E4282" s="4"/>
      <c r="F4282" s="73" t="s">
        <v>474</v>
      </c>
      <c r="G4282" s="73" t="s">
        <v>474</v>
      </c>
      <c r="H4282" s="73"/>
      <c r="I4282" s="73" t="s">
        <v>540</v>
      </c>
      <c r="J4282" s="73" t="s">
        <v>540</v>
      </c>
      <c r="K4282" s="15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</row>
    <row r="4283" spans="1:43" x14ac:dyDescent="0.3">
      <c r="A4283" s="4"/>
      <c r="B4283" s="100">
        <v>46096</v>
      </c>
      <c r="C4283" s="98" t="s">
        <v>553</v>
      </c>
      <c r="D4283" s="4" t="s">
        <v>516</v>
      </c>
      <c r="E4283" s="4"/>
      <c r="F4283" s="73" t="s">
        <v>518</v>
      </c>
      <c r="G4283" s="73" t="s">
        <v>518</v>
      </c>
      <c r="H4283" s="73"/>
      <c r="I4283" s="73" t="s">
        <v>533</v>
      </c>
      <c r="J4283" s="73" t="s">
        <v>533</v>
      </c>
      <c r="K4283" s="15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</row>
    <row r="4284" spans="1:43" x14ac:dyDescent="0.3">
      <c r="A4284" s="4"/>
      <c r="B4284" s="100">
        <v>46096</v>
      </c>
      <c r="C4284" s="98" t="s">
        <v>553</v>
      </c>
      <c r="D4284" s="4" t="s">
        <v>521</v>
      </c>
      <c r="E4284" s="4"/>
      <c r="F4284" s="73" t="s">
        <v>471</v>
      </c>
      <c r="G4284" s="73" t="s">
        <v>471</v>
      </c>
      <c r="H4284" s="73"/>
      <c r="I4284" s="73" t="s">
        <v>528</v>
      </c>
      <c r="J4284" s="73" t="s">
        <v>528</v>
      </c>
      <c r="K4284" s="15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</row>
    <row r="4285" spans="1:43" x14ac:dyDescent="0.3">
      <c r="A4285" s="4"/>
      <c r="B4285" s="100">
        <v>46102</v>
      </c>
      <c r="C4285" s="98" t="s">
        <v>553</v>
      </c>
      <c r="D4285" s="4" t="s">
        <v>508</v>
      </c>
      <c r="E4285" s="4"/>
      <c r="F4285" s="73" t="s">
        <v>475</v>
      </c>
      <c r="G4285" s="73" t="s">
        <v>475</v>
      </c>
      <c r="H4285" s="73"/>
      <c r="I4285" s="73" t="s">
        <v>476</v>
      </c>
      <c r="J4285" s="73" t="s">
        <v>476</v>
      </c>
      <c r="K4285" s="15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</row>
    <row r="4286" spans="1:43" x14ac:dyDescent="0.3">
      <c r="B4286" s="44">
        <v>46102</v>
      </c>
      <c r="C4286" s="3" t="s">
        <v>416</v>
      </c>
      <c r="D4286" s="3" t="s">
        <v>487</v>
      </c>
      <c r="E4286" s="4"/>
      <c r="F4286" s="3" t="s">
        <v>475</v>
      </c>
      <c r="G4286" s="3" t="s">
        <v>96</v>
      </c>
      <c r="H4286" s="4">
        <v>3067107</v>
      </c>
      <c r="I4286" s="3" t="s">
        <v>647</v>
      </c>
      <c r="J4286" s="3" t="s">
        <v>116</v>
      </c>
      <c r="K4286" s="4">
        <v>3346009</v>
      </c>
    </row>
    <row r="4287" spans="1:43" x14ac:dyDescent="0.3">
      <c r="B4287" s="44">
        <v>46102</v>
      </c>
      <c r="C4287" s="3" t="s">
        <v>416</v>
      </c>
      <c r="D4287" s="3" t="s">
        <v>494</v>
      </c>
      <c r="E4287" s="42"/>
      <c r="F4287" s="3" t="s">
        <v>475</v>
      </c>
      <c r="G4287" s="3" t="s">
        <v>183</v>
      </c>
      <c r="H4287" s="4">
        <v>3362901</v>
      </c>
      <c r="I4287" s="4" t="s">
        <v>472</v>
      </c>
      <c r="J4287" s="4" t="s">
        <v>185</v>
      </c>
      <c r="K4287" s="4">
        <v>3357806</v>
      </c>
    </row>
    <row r="4288" spans="1:43" x14ac:dyDescent="0.3">
      <c r="B4288" s="44">
        <v>46102</v>
      </c>
      <c r="C4288" s="3" t="s">
        <v>416</v>
      </c>
      <c r="D4288" s="3" t="s">
        <v>498</v>
      </c>
      <c r="E4288" s="42"/>
      <c r="F4288" s="3" t="s">
        <v>475</v>
      </c>
      <c r="G4288" s="3" t="s">
        <v>184</v>
      </c>
      <c r="H4288" s="53">
        <v>3363004</v>
      </c>
      <c r="I4288" s="3" t="s">
        <v>692</v>
      </c>
      <c r="J4288" s="3" t="s">
        <v>223</v>
      </c>
      <c r="K4288" s="4">
        <v>3348007</v>
      </c>
    </row>
    <row r="4289" spans="2:11" x14ac:dyDescent="0.3">
      <c r="B4289" s="44">
        <v>46102</v>
      </c>
      <c r="C4289" s="3" t="s">
        <v>416</v>
      </c>
      <c r="D4289" s="3" t="s">
        <v>70</v>
      </c>
      <c r="E4289" s="42"/>
      <c r="F4289" s="3" t="s">
        <v>475</v>
      </c>
      <c r="G4289" s="3" t="s">
        <v>370</v>
      </c>
      <c r="H4289" s="4">
        <v>3211903</v>
      </c>
      <c r="I4289" s="3" t="s">
        <v>688</v>
      </c>
      <c r="J4289" s="3" t="s">
        <v>460</v>
      </c>
      <c r="K4289" s="4">
        <v>3194503</v>
      </c>
    </row>
    <row r="4290" spans="2:11" x14ac:dyDescent="0.3">
      <c r="B4290" s="44">
        <v>46102</v>
      </c>
      <c r="C4290" s="3" t="s">
        <v>416</v>
      </c>
      <c r="D4290" s="3" t="s">
        <v>70</v>
      </c>
      <c r="E4290" s="42"/>
      <c r="F4290" s="3" t="s">
        <v>475</v>
      </c>
      <c r="G4290" s="3" t="s">
        <v>371</v>
      </c>
      <c r="H4290" s="53">
        <v>3212006</v>
      </c>
      <c r="I4290" s="3" t="s">
        <v>662</v>
      </c>
      <c r="J4290" s="3" t="s">
        <v>399</v>
      </c>
      <c r="K4290" s="4">
        <v>3207401</v>
      </c>
    </row>
    <row r="4291" spans="2:11" x14ac:dyDescent="0.3">
      <c r="B4291" s="44">
        <v>46102</v>
      </c>
      <c r="C4291" s="3" t="s">
        <v>416</v>
      </c>
      <c r="D4291" s="3" t="s">
        <v>592</v>
      </c>
      <c r="E4291" s="42"/>
      <c r="F4291" s="3" t="s">
        <v>475</v>
      </c>
      <c r="G4291" s="3" t="s">
        <v>398</v>
      </c>
      <c r="H4291" s="74">
        <v>3211601</v>
      </c>
      <c r="I4291" s="3" t="s">
        <v>670</v>
      </c>
      <c r="J4291" s="3" t="s">
        <v>636</v>
      </c>
      <c r="K4291" s="74">
        <v>3195502</v>
      </c>
    </row>
    <row r="4292" spans="2:11" x14ac:dyDescent="0.3">
      <c r="B4292" s="44">
        <v>46102</v>
      </c>
      <c r="C4292" s="3" t="s">
        <v>416</v>
      </c>
      <c r="D4292" s="3" t="s">
        <v>60</v>
      </c>
      <c r="E4292" s="42"/>
      <c r="F4292" s="32" t="s">
        <v>705</v>
      </c>
      <c r="G4292" s="32" t="s">
        <v>293</v>
      </c>
      <c r="H4292" s="15">
        <v>3211705</v>
      </c>
      <c r="I4292" s="3" t="s">
        <v>721</v>
      </c>
      <c r="J4292" s="3" t="s">
        <v>300</v>
      </c>
      <c r="K4292" s="32">
        <v>3194805</v>
      </c>
    </row>
    <row r="4293" spans="2:11" x14ac:dyDescent="0.3">
      <c r="B4293" s="44">
        <v>46102</v>
      </c>
      <c r="C4293" s="3" t="s">
        <v>416</v>
      </c>
      <c r="D4293" s="3" t="s">
        <v>590</v>
      </c>
      <c r="E4293" s="42"/>
      <c r="F4293" s="3" t="s">
        <v>648</v>
      </c>
      <c r="G4293" s="3" t="s">
        <v>449</v>
      </c>
      <c r="H4293" s="4">
        <v>3961500</v>
      </c>
      <c r="I4293" s="4" t="s">
        <v>471</v>
      </c>
      <c r="J4293" s="4" t="s">
        <v>291</v>
      </c>
      <c r="K4293" s="4">
        <v>3196709</v>
      </c>
    </row>
    <row r="4294" spans="2:11" x14ac:dyDescent="0.3">
      <c r="B4294" s="44">
        <v>46102</v>
      </c>
      <c r="C4294" s="3" t="s">
        <v>416</v>
      </c>
      <c r="D4294" s="3" t="s">
        <v>492</v>
      </c>
      <c r="E4294" s="42"/>
      <c r="F4294" s="3" t="s">
        <v>649</v>
      </c>
      <c r="G4294" s="3" t="s">
        <v>154</v>
      </c>
      <c r="H4294" s="4">
        <v>3362109</v>
      </c>
      <c r="I4294" s="3" t="s">
        <v>666</v>
      </c>
      <c r="J4294" s="3" t="s">
        <v>158</v>
      </c>
      <c r="K4294" s="4">
        <v>3356901</v>
      </c>
    </row>
    <row r="4295" spans="2:11" x14ac:dyDescent="0.3">
      <c r="B4295" s="44">
        <v>46102</v>
      </c>
      <c r="C4295" s="3" t="s">
        <v>416</v>
      </c>
      <c r="D4295" s="3" t="s">
        <v>68</v>
      </c>
      <c r="E4295" s="42"/>
      <c r="F4295" s="3" t="s">
        <v>649</v>
      </c>
      <c r="G4295" s="3" t="s">
        <v>456</v>
      </c>
      <c r="H4295" s="4">
        <v>3545602</v>
      </c>
      <c r="I4295" s="4" t="s">
        <v>686</v>
      </c>
      <c r="J4295" s="4" t="s">
        <v>626</v>
      </c>
      <c r="K4295" s="4" t="s">
        <v>637</v>
      </c>
    </row>
    <row r="4296" spans="2:11" x14ac:dyDescent="0.3">
      <c r="B4296" s="44">
        <v>46102</v>
      </c>
      <c r="C4296" s="3" t="s">
        <v>416</v>
      </c>
      <c r="D4296" s="3" t="s">
        <v>486</v>
      </c>
      <c r="E4296" s="42"/>
      <c r="F4296" s="4" t="s">
        <v>651</v>
      </c>
      <c r="G4296" s="4" t="s">
        <v>97</v>
      </c>
      <c r="H4296" s="4">
        <v>3362005</v>
      </c>
      <c r="I4296" s="4" t="s">
        <v>645</v>
      </c>
      <c r="J4296" s="4" t="s">
        <v>104</v>
      </c>
      <c r="K4296" s="4">
        <v>3036308</v>
      </c>
    </row>
    <row r="4297" spans="2:11" x14ac:dyDescent="0.3">
      <c r="B4297" s="44">
        <v>46102</v>
      </c>
      <c r="C4297" s="3" t="s">
        <v>416</v>
      </c>
      <c r="D4297" s="3" t="s">
        <v>496</v>
      </c>
      <c r="E4297" s="42"/>
      <c r="F4297" s="3" t="s">
        <v>651</v>
      </c>
      <c r="G4297" s="3" t="s">
        <v>202</v>
      </c>
      <c r="H4297" s="74">
        <v>3361808</v>
      </c>
      <c r="I4297" s="3" t="s">
        <v>652</v>
      </c>
      <c r="J4297" s="3" t="s">
        <v>229</v>
      </c>
      <c r="K4297" s="4">
        <v>3358409</v>
      </c>
    </row>
    <row r="4298" spans="2:11" x14ac:dyDescent="0.3">
      <c r="B4298" s="44">
        <v>46102</v>
      </c>
      <c r="C4298" s="3" t="s">
        <v>416</v>
      </c>
      <c r="D4298" s="3" t="s">
        <v>492</v>
      </c>
      <c r="E4298" s="42"/>
      <c r="F4298" s="3" t="s">
        <v>719</v>
      </c>
      <c r="G4298" s="3" t="s">
        <v>155</v>
      </c>
      <c r="H4298" s="4">
        <v>3361600</v>
      </c>
      <c r="I4298" s="4" t="s">
        <v>648</v>
      </c>
      <c r="J4298" s="4" t="s">
        <v>201</v>
      </c>
      <c r="K4298" s="4">
        <v>3362203</v>
      </c>
    </row>
    <row r="4299" spans="2:11" x14ac:dyDescent="0.3">
      <c r="B4299" s="44">
        <v>46102</v>
      </c>
      <c r="C4299" s="3" t="s">
        <v>416</v>
      </c>
      <c r="D4299" s="3" t="s">
        <v>490</v>
      </c>
      <c r="E4299" s="4"/>
      <c r="F4299" s="3" t="s">
        <v>653</v>
      </c>
      <c r="G4299" s="3" t="s">
        <v>126</v>
      </c>
      <c r="H4299" s="4">
        <v>3361402</v>
      </c>
      <c r="I4299" s="4" t="s">
        <v>660</v>
      </c>
      <c r="J4299" s="4" t="s">
        <v>137</v>
      </c>
      <c r="K4299" s="4">
        <v>3359908</v>
      </c>
    </row>
    <row r="4300" spans="2:11" x14ac:dyDescent="0.3">
      <c r="B4300" s="44">
        <v>46102</v>
      </c>
      <c r="C4300" s="3" t="s">
        <v>416</v>
      </c>
      <c r="D4300" s="3" t="s">
        <v>497</v>
      </c>
      <c r="E4300" s="42"/>
      <c r="F4300" s="17" t="s">
        <v>653</v>
      </c>
      <c r="G4300" s="17" t="s">
        <v>208</v>
      </c>
      <c r="H4300" s="74">
        <v>3361308</v>
      </c>
      <c r="I4300" s="15" t="s">
        <v>471</v>
      </c>
      <c r="J4300" s="15" t="s">
        <v>240</v>
      </c>
      <c r="K4300" s="74">
        <v>3348403</v>
      </c>
    </row>
    <row r="4301" spans="2:11" x14ac:dyDescent="0.3">
      <c r="B4301" s="44">
        <v>46102</v>
      </c>
      <c r="C4301" s="3" t="s">
        <v>416</v>
      </c>
      <c r="D4301" s="3" t="s">
        <v>497</v>
      </c>
      <c r="E4301" s="42"/>
      <c r="F4301" s="17" t="s">
        <v>653</v>
      </c>
      <c r="G4301" s="17" t="s">
        <v>209</v>
      </c>
      <c r="H4301" s="74">
        <v>3360705</v>
      </c>
      <c r="I4301" s="3" t="s">
        <v>654</v>
      </c>
      <c r="J4301" s="3" t="s">
        <v>438</v>
      </c>
      <c r="K4301" s="74">
        <v>3906207</v>
      </c>
    </row>
    <row r="4302" spans="2:11" x14ac:dyDescent="0.3">
      <c r="B4302" s="44">
        <v>46102</v>
      </c>
      <c r="C4302" s="3" t="s">
        <v>416</v>
      </c>
      <c r="D4302" s="3" t="s">
        <v>593</v>
      </c>
      <c r="E4302" s="42"/>
      <c r="F4302" s="3" t="s">
        <v>653</v>
      </c>
      <c r="G4302" s="3" t="s">
        <v>459</v>
      </c>
      <c r="H4302" s="4">
        <v>3211101</v>
      </c>
      <c r="I4302" s="4" t="s">
        <v>693</v>
      </c>
      <c r="J4302" s="4" t="s">
        <v>629</v>
      </c>
      <c r="K4302" s="4">
        <v>3961708</v>
      </c>
    </row>
    <row r="4303" spans="2:11" x14ac:dyDescent="0.3">
      <c r="B4303" s="44">
        <v>46102</v>
      </c>
      <c r="C4303" s="3" t="s">
        <v>416</v>
      </c>
      <c r="D4303" s="3" t="s">
        <v>504</v>
      </c>
      <c r="E4303" s="42"/>
      <c r="F4303" s="3" t="s">
        <v>479</v>
      </c>
      <c r="G4303" s="3" t="s">
        <v>9</v>
      </c>
      <c r="H4303" s="4">
        <v>3033405</v>
      </c>
      <c r="I4303" s="4" t="s">
        <v>694</v>
      </c>
      <c r="J4303" s="4" t="s">
        <v>112</v>
      </c>
      <c r="K4303" s="4">
        <v>3353602</v>
      </c>
    </row>
    <row r="4304" spans="2:11" x14ac:dyDescent="0.3">
      <c r="B4304" s="44">
        <v>46102</v>
      </c>
      <c r="C4304" s="3" t="s">
        <v>416</v>
      </c>
      <c r="D4304" s="3" t="s">
        <v>490</v>
      </c>
      <c r="E4304" s="4"/>
      <c r="F4304" s="3" t="s">
        <v>479</v>
      </c>
      <c r="G4304" s="3" t="s">
        <v>136</v>
      </c>
      <c r="H4304" s="4">
        <v>3360903</v>
      </c>
      <c r="I4304" s="4" t="s">
        <v>475</v>
      </c>
      <c r="J4304" s="4" t="s">
        <v>125</v>
      </c>
      <c r="K4304" s="4">
        <v>3362807</v>
      </c>
    </row>
    <row r="4305" spans="2:14" x14ac:dyDescent="0.3">
      <c r="B4305" s="44">
        <v>46102</v>
      </c>
      <c r="C4305" s="3" t="s">
        <v>416</v>
      </c>
      <c r="D4305" s="3" t="s">
        <v>590</v>
      </c>
      <c r="E4305" s="42"/>
      <c r="F4305" s="3" t="s">
        <v>479</v>
      </c>
      <c r="G4305" s="3" t="s">
        <v>284</v>
      </c>
      <c r="H4305" s="4">
        <v>3210904</v>
      </c>
      <c r="I4305" s="3" t="s">
        <v>657</v>
      </c>
      <c r="J4305" s="3" t="s">
        <v>321</v>
      </c>
      <c r="K4305" s="4">
        <v>3209607</v>
      </c>
    </row>
    <row r="4306" spans="2:14" x14ac:dyDescent="0.3">
      <c r="B4306" s="44">
        <v>46102</v>
      </c>
      <c r="C4306" s="3" t="s">
        <v>416</v>
      </c>
      <c r="D4306" s="3" t="s">
        <v>490</v>
      </c>
      <c r="E4306" s="4"/>
      <c r="F4306" s="3" t="s">
        <v>479</v>
      </c>
      <c r="G4306" s="3" t="s">
        <v>166</v>
      </c>
      <c r="H4306" s="4">
        <v>3361006</v>
      </c>
      <c r="I4306" s="4" t="s">
        <v>691</v>
      </c>
      <c r="J4306" s="4" t="s">
        <v>142</v>
      </c>
      <c r="K4306" s="4">
        <v>3350501</v>
      </c>
    </row>
    <row r="4307" spans="2:14" x14ac:dyDescent="0.3">
      <c r="B4307" s="44">
        <v>46102</v>
      </c>
      <c r="C4307" s="3" t="s">
        <v>416</v>
      </c>
      <c r="D4307" s="3" t="s">
        <v>62</v>
      </c>
      <c r="E4307" s="42"/>
      <c r="F4307" s="3" t="s">
        <v>479</v>
      </c>
      <c r="G4307" s="3" t="s">
        <v>319</v>
      </c>
      <c r="H4307" s="4">
        <v>3210508</v>
      </c>
      <c r="I4307" s="3" t="s">
        <v>677</v>
      </c>
      <c r="J4307" s="3" t="s">
        <v>324</v>
      </c>
      <c r="K4307" s="4">
        <v>3201605</v>
      </c>
    </row>
    <row r="4308" spans="2:14" x14ac:dyDescent="0.3">
      <c r="B4308" s="44">
        <v>46102</v>
      </c>
      <c r="C4308" s="3" t="s">
        <v>416</v>
      </c>
      <c r="D4308" s="3" t="s">
        <v>65</v>
      </c>
      <c r="E4308" s="42"/>
      <c r="F4308" s="3" t="s">
        <v>479</v>
      </c>
      <c r="G4308" s="3" t="s">
        <v>320</v>
      </c>
      <c r="H4308" s="4">
        <v>3210602</v>
      </c>
      <c r="I4308" s="4" t="s">
        <v>655</v>
      </c>
      <c r="J4308" s="4" t="s">
        <v>325</v>
      </c>
      <c r="K4308" s="4">
        <v>3201501</v>
      </c>
    </row>
    <row r="4309" spans="2:14" x14ac:dyDescent="0.3">
      <c r="B4309" s="44">
        <v>46102</v>
      </c>
      <c r="C4309" s="3" t="s">
        <v>416</v>
      </c>
      <c r="D4309" s="3" t="s">
        <v>69</v>
      </c>
      <c r="E4309" s="42"/>
      <c r="F4309" s="3" t="s">
        <v>479</v>
      </c>
      <c r="G4309" s="3" t="s">
        <v>392</v>
      </c>
      <c r="H4309" s="53">
        <v>3210706</v>
      </c>
      <c r="I4309" s="3" t="s">
        <v>691</v>
      </c>
      <c r="J4309" s="3" t="s">
        <v>395</v>
      </c>
      <c r="K4309" s="4">
        <v>3197604</v>
      </c>
    </row>
    <row r="4310" spans="2:14" x14ac:dyDescent="0.3">
      <c r="B4310" s="44">
        <v>46102</v>
      </c>
      <c r="C4310" s="3" t="s">
        <v>416</v>
      </c>
      <c r="D4310" s="3" t="s">
        <v>486</v>
      </c>
      <c r="E4310" s="42"/>
      <c r="F4310" s="3" t="s">
        <v>480</v>
      </c>
      <c r="G4310" s="3" t="s">
        <v>406</v>
      </c>
      <c r="H4310" s="4">
        <v>3124501</v>
      </c>
      <c r="I4310" s="4" t="s">
        <v>652</v>
      </c>
      <c r="J4310" s="4" t="s">
        <v>110</v>
      </c>
      <c r="K4310" s="4">
        <v>3359106</v>
      </c>
    </row>
    <row r="4311" spans="2:14" x14ac:dyDescent="0.3">
      <c r="B4311" s="44">
        <v>46102</v>
      </c>
      <c r="C4311" s="3" t="s">
        <v>416</v>
      </c>
      <c r="D4311" s="3" t="s">
        <v>493</v>
      </c>
      <c r="E4311" s="42"/>
      <c r="F4311" s="3" t="s">
        <v>480</v>
      </c>
      <c r="G4311" s="3" t="s">
        <v>423</v>
      </c>
      <c r="H4311" s="4">
        <v>3360403</v>
      </c>
      <c r="I4311" s="4" t="s">
        <v>471</v>
      </c>
      <c r="J4311" s="4" t="s">
        <v>217</v>
      </c>
      <c r="K4311" s="4">
        <v>3348309</v>
      </c>
    </row>
    <row r="4312" spans="2:14" x14ac:dyDescent="0.3">
      <c r="B4312" s="44">
        <v>46102</v>
      </c>
      <c r="C4312" s="3" t="s">
        <v>416</v>
      </c>
      <c r="D4312" s="3" t="s">
        <v>487</v>
      </c>
      <c r="E4312" s="4"/>
      <c r="F4312" s="4" t="s">
        <v>657</v>
      </c>
      <c r="G4312" s="4" t="s">
        <v>107</v>
      </c>
      <c r="H4312" s="4">
        <v>3068408</v>
      </c>
      <c r="I4312" s="3" t="s">
        <v>695</v>
      </c>
      <c r="J4312" s="3" t="s">
        <v>101</v>
      </c>
      <c r="K4312" s="4">
        <v>3067305</v>
      </c>
    </row>
    <row r="4313" spans="2:14" x14ac:dyDescent="0.3">
      <c r="B4313" s="44">
        <v>46102</v>
      </c>
      <c r="C4313" s="3" t="s">
        <v>416</v>
      </c>
      <c r="D4313" s="3" t="s">
        <v>493</v>
      </c>
      <c r="E4313" s="42"/>
      <c r="F4313" s="3" t="s">
        <v>657</v>
      </c>
      <c r="G4313" s="3" t="s">
        <v>167</v>
      </c>
      <c r="H4313" s="4">
        <v>3359804</v>
      </c>
      <c r="I4313" s="4" t="s">
        <v>676</v>
      </c>
      <c r="J4313" s="4" t="s">
        <v>214</v>
      </c>
      <c r="K4313" s="4">
        <v>3358805</v>
      </c>
    </row>
    <row r="4314" spans="2:14" x14ac:dyDescent="0.3">
      <c r="B4314" s="44">
        <v>46102</v>
      </c>
      <c r="C4314" s="3" t="s">
        <v>416</v>
      </c>
      <c r="D4314" s="3" t="s">
        <v>592</v>
      </c>
      <c r="E4314" s="42"/>
      <c r="F4314" s="3" t="s">
        <v>570</v>
      </c>
      <c r="G4314" s="3" t="s">
        <v>570</v>
      </c>
      <c r="H4314" s="4" t="s">
        <v>556</v>
      </c>
      <c r="I4314" s="3" t="s">
        <v>682</v>
      </c>
      <c r="J4314" s="3" t="s">
        <v>635</v>
      </c>
      <c r="K4314" s="74">
        <v>3969700</v>
      </c>
    </row>
    <row r="4315" spans="2:14" x14ac:dyDescent="0.3">
      <c r="B4315" s="44">
        <v>46102</v>
      </c>
      <c r="C4315" s="3" t="s">
        <v>416</v>
      </c>
      <c r="D4315" s="3" t="s">
        <v>501</v>
      </c>
      <c r="E4315" s="42"/>
      <c r="F4315" s="3" t="s">
        <v>722</v>
      </c>
      <c r="G4315" s="3" t="s">
        <v>600</v>
      </c>
      <c r="H4315" s="4" t="s">
        <v>556</v>
      </c>
      <c r="I4315" s="3" t="s">
        <v>472</v>
      </c>
      <c r="J4315" s="3" t="s">
        <v>578</v>
      </c>
      <c r="K4315" s="4">
        <v>4022700</v>
      </c>
      <c r="M4315" s="3" t="s">
        <v>230</v>
      </c>
      <c r="N4315" s="3" t="s">
        <v>578</v>
      </c>
    </row>
    <row r="4316" spans="2:14" x14ac:dyDescent="0.3">
      <c r="B4316" s="44">
        <v>46102</v>
      </c>
      <c r="C4316" s="3" t="s">
        <v>416</v>
      </c>
      <c r="D4316" s="3" t="s">
        <v>60</v>
      </c>
      <c r="E4316" s="42"/>
      <c r="F4316" s="3" t="s">
        <v>667</v>
      </c>
      <c r="G4316" s="3" t="s">
        <v>444</v>
      </c>
      <c r="H4316" s="4">
        <v>3209909</v>
      </c>
      <c r="I4316" s="3" t="s">
        <v>473</v>
      </c>
      <c r="J4316" s="3" t="s">
        <v>445</v>
      </c>
      <c r="K4316" s="4">
        <v>3204102</v>
      </c>
    </row>
    <row r="4317" spans="2:14" x14ac:dyDescent="0.3">
      <c r="B4317" s="44">
        <v>46102</v>
      </c>
      <c r="C4317" s="3" t="s">
        <v>416</v>
      </c>
      <c r="D4317" s="3" t="s">
        <v>60</v>
      </c>
      <c r="E4317" s="42"/>
      <c r="F4317" s="3" t="s">
        <v>667</v>
      </c>
      <c r="G4317" s="3" t="s">
        <v>294</v>
      </c>
      <c r="H4317" s="4">
        <v>3209409</v>
      </c>
      <c r="I4317" s="3" t="s">
        <v>473</v>
      </c>
      <c r="J4317" s="3" t="s">
        <v>446</v>
      </c>
      <c r="K4317" s="32">
        <v>3204206</v>
      </c>
    </row>
    <row r="4318" spans="2:14" x14ac:dyDescent="0.3">
      <c r="B4318" s="44">
        <v>46102</v>
      </c>
      <c r="C4318" s="3" t="s">
        <v>416</v>
      </c>
      <c r="D4318" s="3" t="s">
        <v>56</v>
      </c>
      <c r="E4318" s="42"/>
      <c r="F4318" s="73" t="s">
        <v>671</v>
      </c>
      <c r="G4318" s="73" t="s">
        <v>247</v>
      </c>
      <c r="H4318" s="4">
        <v>3034102</v>
      </c>
      <c r="I4318" s="4" t="s">
        <v>688</v>
      </c>
      <c r="J4318" s="4" t="s">
        <v>264</v>
      </c>
      <c r="K4318" s="4">
        <v>3055603</v>
      </c>
    </row>
    <row r="4319" spans="2:14" x14ac:dyDescent="0.3">
      <c r="B4319" s="44">
        <v>46102</v>
      </c>
      <c r="C4319" s="3" t="s">
        <v>416</v>
      </c>
      <c r="D4319" s="3" t="s">
        <v>486</v>
      </c>
      <c r="E4319" s="42"/>
      <c r="F4319" s="3" t="s">
        <v>671</v>
      </c>
      <c r="G4319" s="3" t="s">
        <v>108</v>
      </c>
      <c r="H4319" s="4">
        <v>3359700</v>
      </c>
      <c r="I4319" s="4" t="s">
        <v>646</v>
      </c>
      <c r="J4319" s="4" t="s">
        <v>102</v>
      </c>
      <c r="K4319" s="4">
        <v>3125406</v>
      </c>
    </row>
    <row r="4320" spans="2:14" x14ac:dyDescent="0.3">
      <c r="B4320" s="44">
        <v>46102</v>
      </c>
      <c r="C4320" s="3" t="s">
        <v>416</v>
      </c>
      <c r="D4320" s="3" t="s">
        <v>590</v>
      </c>
      <c r="E4320" s="42"/>
      <c r="F4320" s="3" t="s">
        <v>671</v>
      </c>
      <c r="G4320" s="3" t="s">
        <v>311</v>
      </c>
      <c r="H4320" s="4">
        <v>3209003</v>
      </c>
      <c r="I4320" s="3" t="s">
        <v>472</v>
      </c>
      <c r="J4320" s="3" t="s">
        <v>315</v>
      </c>
      <c r="K4320" s="4">
        <v>3455307</v>
      </c>
    </row>
    <row r="4321" spans="2:13" x14ac:dyDescent="0.3">
      <c r="B4321" s="44">
        <v>46102</v>
      </c>
      <c r="C4321" s="3" t="s">
        <v>416</v>
      </c>
      <c r="D4321" s="3" t="s">
        <v>496</v>
      </c>
      <c r="E4321" s="42"/>
      <c r="F4321" s="3" t="s">
        <v>671</v>
      </c>
      <c r="G4321" s="3" t="s">
        <v>203</v>
      </c>
      <c r="H4321" s="4">
        <v>3359304</v>
      </c>
      <c r="I4321" s="4" t="s">
        <v>710</v>
      </c>
      <c r="J4321" s="4" t="s">
        <v>206</v>
      </c>
      <c r="K4321" s="4">
        <v>3352103</v>
      </c>
    </row>
    <row r="4322" spans="2:13" x14ac:dyDescent="0.3">
      <c r="B4322" s="44">
        <v>46102</v>
      </c>
      <c r="C4322" s="3" t="s">
        <v>416</v>
      </c>
      <c r="D4322" s="3" t="s">
        <v>496</v>
      </c>
      <c r="E4322" s="42"/>
      <c r="F4322" s="3" t="s">
        <v>671</v>
      </c>
      <c r="G4322" s="3" t="s">
        <v>227</v>
      </c>
      <c r="H4322" s="4">
        <v>3359408</v>
      </c>
      <c r="I4322" s="4" t="s">
        <v>687</v>
      </c>
      <c r="J4322" s="4" t="s">
        <v>207</v>
      </c>
      <c r="K4322" s="4">
        <v>3346801</v>
      </c>
    </row>
    <row r="4323" spans="2:13" x14ac:dyDescent="0.3">
      <c r="B4323" s="44">
        <v>46102</v>
      </c>
      <c r="C4323" s="3" t="s">
        <v>416</v>
      </c>
      <c r="D4323" s="3" t="s">
        <v>499</v>
      </c>
      <c r="E4323" s="42"/>
      <c r="F4323" s="3" t="s">
        <v>671</v>
      </c>
      <c r="G4323" s="3" t="s">
        <v>228</v>
      </c>
      <c r="H4323" s="53">
        <v>3358607</v>
      </c>
      <c r="I4323" s="3" t="s">
        <v>650</v>
      </c>
      <c r="J4323" s="3" t="s">
        <v>571</v>
      </c>
      <c r="K4323" s="4">
        <v>3900505</v>
      </c>
      <c r="M4323" s="51"/>
    </row>
    <row r="4324" spans="2:13" x14ac:dyDescent="0.3">
      <c r="B4324" s="44">
        <v>46102</v>
      </c>
      <c r="C4324" s="3" t="s">
        <v>416</v>
      </c>
      <c r="D4324" s="3" t="s">
        <v>58</v>
      </c>
      <c r="E4324" s="42"/>
      <c r="F4324" s="3" t="s">
        <v>659</v>
      </c>
      <c r="G4324" s="3" t="s">
        <v>265</v>
      </c>
      <c r="H4324" s="4">
        <v>3208702</v>
      </c>
      <c r="I4324" s="3" t="s">
        <v>703</v>
      </c>
      <c r="J4324" s="3" t="s">
        <v>586</v>
      </c>
      <c r="K4324" s="32" t="s">
        <v>588</v>
      </c>
    </row>
    <row r="4325" spans="2:13" x14ac:dyDescent="0.3">
      <c r="B4325" s="44">
        <v>46102</v>
      </c>
      <c r="C4325" s="3" t="s">
        <v>416</v>
      </c>
      <c r="D4325" s="3" t="s">
        <v>61</v>
      </c>
      <c r="E4325" s="42"/>
      <c r="F4325" s="106" t="s">
        <v>659</v>
      </c>
      <c r="G4325" s="106" t="s">
        <v>367</v>
      </c>
      <c r="H4325" s="106">
        <v>3208806</v>
      </c>
      <c r="I4325" s="3" t="s">
        <v>703</v>
      </c>
      <c r="J4325" s="3" t="s">
        <v>596</v>
      </c>
      <c r="K4325" s="4" t="s">
        <v>556</v>
      </c>
    </row>
    <row r="4326" spans="2:13" x14ac:dyDescent="0.3">
      <c r="B4326" s="44">
        <v>46102</v>
      </c>
      <c r="C4326" s="3" t="s">
        <v>416</v>
      </c>
      <c r="D4326" s="3" t="s">
        <v>66</v>
      </c>
      <c r="E4326" s="42"/>
      <c r="F4326" s="104" t="s">
        <v>659</v>
      </c>
      <c r="G4326" s="104" t="s">
        <v>602</v>
      </c>
      <c r="H4326" s="74">
        <v>4023001</v>
      </c>
      <c r="I4326" s="3" t="s">
        <v>709</v>
      </c>
      <c r="J4326" s="3" t="s">
        <v>607</v>
      </c>
      <c r="K4326" s="4">
        <v>3596309</v>
      </c>
    </row>
    <row r="4327" spans="2:13" x14ac:dyDescent="0.3">
      <c r="B4327" s="44">
        <v>46102</v>
      </c>
      <c r="C4327" s="3" t="s">
        <v>416</v>
      </c>
      <c r="D4327" s="4" t="s">
        <v>614</v>
      </c>
      <c r="E4327" s="42"/>
      <c r="F4327" s="3" t="s">
        <v>674</v>
      </c>
      <c r="G4327" s="3" t="s">
        <v>346</v>
      </c>
      <c r="H4327" s="4">
        <v>3208900</v>
      </c>
      <c r="I4327" s="4" t="s">
        <v>710</v>
      </c>
      <c r="J4327" s="4" t="s">
        <v>384</v>
      </c>
      <c r="K4327" s="4">
        <v>3199508</v>
      </c>
    </row>
    <row r="4328" spans="2:13" x14ac:dyDescent="0.3">
      <c r="B4328" s="44">
        <v>46102</v>
      </c>
      <c r="C4328" s="3" t="s">
        <v>416</v>
      </c>
      <c r="D4328" s="3" t="s">
        <v>590</v>
      </c>
      <c r="E4328" s="42"/>
      <c r="F4328" s="4" t="s">
        <v>676</v>
      </c>
      <c r="G4328" s="4" t="s">
        <v>285</v>
      </c>
      <c r="H4328" s="4">
        <v>3208504</v>
      </c>
      <c r="I4328" s="4" t="s">
        <v>650</v>
      </c>
      <c r="J4328" s="4" t="s">
        <v>277</v>
      </c>
      <c r="K4328" s="4">
        <v>3088400</v>
      </c>
    </row>
    <row r="4329" spans="2:13" x14ac:dyDescent="0.3">
      <c r="B4329" s="44">
        <v>46102</v>
      </c>
      <c r="C4329" s="3" t="s">
        <v>416</v>
      </c>
      <c r="D4329" s="3" t="s">
        <v>62</v>
      </c>
      <c r="E4329" s="42"/>
      <c r="F4329" s="4" t="s">
        <v>676</v>
      </c>
      <c r="G4329" s="4" t="s">
        <v>286</v>
      </c>
      <c r="H4329" s="4">
        <v>3019605</v>
      </c>
      <c r="I4329" s="4" t="s">
        <v>476</v>
      </c>
      <c r="J4329" s="4" t="s">
        <v>323</v>
      </c>
      <c r="K4329" s="4">
        <v>3206506</v>
      </c>
    </row>
    <row r="4330" spans="2:13" x14ac:dyDescent="0.3">
      <c r="B4330" s="44">
        <v>46102</v>
      </c>
      <c r="C4330" s="3" t="s">
        <v>416</v>
      </c>
      <c r="D4330" s="3" t="s">
        <v>500</v>
      </c>
      <c r="E4330" s="42"/>
      <c r="F4330" s="3" t="s">
        <v>676</v>
      </c>
      <c r="G4330" s="3" t="s">
        <v>577</v>
      </c>
      <c r="H4330" s="4" t="s">
        <v>556</v>
      </c>
      <c r="I4330" s="4" t="s">
        <v>701</v>
      </c>
      <c r="J4330" s="4" t="s">
        <v>236</v>
      </c>
      <c r="K4330" s="4">
        <v>3355704</v>
      </c>
    </row>
    <row r="4331" spans="2:13" x14ac:dyDescent="0.3">
      <c r="B4331" s="44">
        <v>46102</v>
      </c>
      <c r="C4331" s="3" t="s">
        <v>416</v>
      </c>
      <c r="D4331" s="3" t="s">
        <v>61</v>
      </c>
      <c r="E4331" s="42"/>
      <c r="F4331" s="73" t="s">
        <v>680</v>
      </c>
      <c r="G4331" s="73" t="s">
        <v>302</v>
      </c>
      <c r="H4331" s="4">
        <v>3208400</v>
      </c>
      <c r="I4331" s="4" t="s">
        <v>658</v>
      </c>
      <c r="J4331" s="4" t="s">
        <v>301</v>
      </c>
      <c r="K4331" s="4">
        <v>3210300</v>
      </c>
    </row>
    <row r="4332" spans="2:13" x14ac:dyDescent="0.3">
      <c r="B4332" s="44">
        <v>46102</v>
      </c>
      <c r="C4332" s="3" t="s">
        <v>416</v>
      </c>
      <c r="D4332" s="3" t="s">
        <v>63</v>
      </c>
      <c r="E4332" s="42"/>
      <c r="F4332" s="3" t="s">
        <v>680</v>
      </c>
      <c r="G4332" s="3" t="s">
        <v>329</v>
      </c>
      <c r="H4332" s="74">
        <v>3208108</v>
      </c>
      <c r="I4332" s="3" t="s">
        <v>658</v>
      </c>
      <c r="J4332" s="3" t="s">
        <v>366</v>
      </c>
      <c r="K4332" s="74">
        <v>3210404</v>
      </c>
    </row>
    <row r="4333" spans="2:13" x14ac:dyDescent="0.3">
      <c r="B4333" s="44">
        <v>46102</v>
      </c>
      <c r="C4333" s="3" t="s">
        <v>416</v>
      </c>
      <c r="D4333" s="3" t="s">
        <v>66</v>
      </c>
      <c r="E4333" s="42"/>
      <c r="F4333" s="104" t="s">
        <v>680</v>
      </c>
      <c r="G4333" s="104" t="s">
        <v>603</v>
      </c>
      <c r="H4333" s="74">
        <v>3945400</v>
      </c>
      <c r="I4333" s="3" t="s">
        <v>684</v>
      </c>
      <c r="J4333" s="3" t="s">
        <v>608</v>
      </c>
      <c r="K4333" s="74">
        <v>3819107</v>
      </c>
    </row>
    <row r="4334" spans="2:13" x14ac:dyDescent="0.3">
      <c r="B4334" s="44">
        <v>46102</v>
      </c>
      <c r="C4334" s="3" t="s">
        <v>416</v>
      </c>
      <c r="D4334" s="3" t="s">
        <v>59</v>
      </c>
      <c r="E4334" s="42"/>
      <c r="F4334" s="3" t="s">
        <v>652</v>
      </c>
      <c r="G4334" s="3" t="s">
        <v>313</v>
      </c>
      <c r="H4334" s="4">
        <v>3207901</v>
      </c>
      <c r="I4334" s="4" t="s">
        <v>661</v>
      </c>
      <c r="J4334" s="4" t="s">
        <v>641</v>
      </c>
      <c r="K4334" s="4">
        <v>3055707</v>
      </c>
    </row>
    <row r="4335" spans="2:13" x14ac:dyDescent="0.3">
      <c r="B4335" s="44">
        <v>46102</v>
      </c>
      <c r="C4335" s="3" t="s">
        <v>416</v>
      </c>
      <c r="D4335" s="3" t="s">
        <v>68</v>
      </c>
      <c r="E4335" s="42"/>
      <c r="F4335" s="3" t="s">
        <v>652</v>
      </c>
      <c r="G4335" s="3" t="s">
        <v>625</v>
      </c>
      <c r="H4335" s="4">
        <v>3899803</v>
      </c>
      <c r="I4335" s="4" t="s">
        <v>570</v>
      </c>
      <c r="J4335" s="4" t="s">
        <v>570</v>
      </c>
      <c r="K4335" s="4" t="s">
        <v>556</v>
      </c>
    </row>
    <row r="4336" spans="2:13" x14ac:dyDescent="0.3">
      <c r="B4336" s="44">
        <v>46102</v>
      </c>
      <c r="C4336" s="3" t="s">
        <v>416</v>
      </c>
      <c r="D4336" s="3" t="s">
        <v>499</v>
      </c>
      <c r="E4336" s="42"/>
      <c r="F4336" s="3" t="s">
        <v>652</v>
      </c>
      <c r="G4336" s="3" t="s">
        <v>573</v>
      </c>
      <c r="H4336" s="4">
        <v>3818400</v>
      </c>
      <c r="I4336" s="3" t="s">
        <v>474</v>
      </c>
      <c r="J4336" s="3" t="s">
        <v>597</v>
      </c>
      <c r="K4336" s="4">
        <v>3352707</v>
      </c>
      <c r="M4336" s="51"/>
    </row>
    <row r="4337" spans="2:13" x14ac:dyDescent="0.3">
      <c r="B4337" s="44">
        <v>46102</v>
      </c>
      <c r="C4337" s="3" t="s">
        <v>416</v>
      </c>
      <c r="D4337" s="3" t="s">
        <v>504</v>
      </c>
      <c r="E4337" s="42"/>
      <c r="F4337" s="3" t="s">
        <v>662</v>
      </c>
      <c r="G4337" s="3" t="s">
        <v>99</v>
      </c>
      <c r="H4337" s="4">
        <v>3125604</v>
      </c>
      <c r="I4337" s="4" t="s">
        <v>671</v>
      </c>
      <c r="J4337" s="4" t="s">
        <v>8</v>
      </c>
      <c r="K4337" s="4">
        <v>3034008</v>
      </c>
    </row>
    <row r="4338" spans="2:13" x14ac:dyDescent="0.3">
      <c r="B4338" s="44">
        <v>46102</v>
      </c>
      <c r="C4338" s="3" t="s">
        <v>416</v>
      </c>
      <c r="D4338" s="3" t="s">
        <v>59</v>
      </c>
      <c r="E4338" s="42"/>
      <c r="F4338" s="3" t="s">
        <v>662</v>
      </c>
      <c r="G4338" s="3" t="s">
        <v>314</v>
      </c>
      <c r="H4338" s="4">
        <v>3208004</v>
      </c>
      <c r="I4338" s="4" t="s">
        <v>655</v>
      </c>
      <c r="J4338" s="4" t="s">
        <v>288</v>
      </c>
      <c r="K4338" s="4">
        <v>3200908</v>
      </c>
    </row>
    <row r="4339" spans="2:13" x14ac:dyDescent="0.3">
      <c r="B4339" s="44">
        <v>46102</v>
      </c>
      <c r="C4339" s="3" t="s">
        <v>416</v>
      </c>
      <c r="D4339" s="3" t="s">
        <v>64</v>
      </c>
      <c r="E4339" s="42">
        <v>4370907</v>
      </c>
      <c r="F4339" s="3" t="s">
        <v>662</v>
      </c>
      <c r="G4339" s="3" t="s">
        <v>372</v>
      </c>
      <c r="H4339" s="4">
        <v>3207703</v>
      </c>
      <c r="I4339" s="4" t="s">
        <v>475</v>
      </c>
      <c r="J4339" s="4" t="s">
        <v>310</v>
      </c>
      <c r="K4339" s="4">
        <v>3212402</v>
      </c>
    </row>
    <row r="4340" spans="2:13" x14ac:dyDescent="0.3">
      <c r="B4340" s="44">
        <v>46102</v>
      </c>
      <c r="C4340" s="3" t="s">
        <v>416</v>
      </c>
      <c r="D4340" s="3" t="s">
        <v>494</v>
      </c>
      <c r="E4340" s="42"/>
      <c r="F4340" s="3" t="s">
        <v>662</v>
      </c>
      <c r="G4340" s="3" t="s">
        <v>218</v>
      </c>
      <c r="H4340" s="4">
        <v>3358201</v>
      </c>
      <c r="I4340" s="3" t="s">
        <v>694</v>
      </c>
      <c r="J4340" s="3" t="s">
        <v>188</v>
      </c>
      <c r="K4340" s="4">
        <v>3353508</v>
      </c>
    </row>
    <row r="4341" spans="2:13" x14ac:dyDescent="0.3">
      <c r="B4341" s="44">
        <v>46102</v>
      </c>
      <c r="C4341" s="3" t="s">
        <v>416</v>
      </c>
      <c r="D4341" s="3" t="s">
        <v>67</v>
      </c>
      <c r="E4341" s="42"/>
      <c r="F4341" s="3" t="s">
        <v>662</v>
      </c>
      <c r="G4341" s="3" t="s">
        <v>373</v>
      </c>
      <c r="H4341" s="4">
        <v>3207807</v>
      </c>
      <c r="I4341" s="4" t="s">
        <v>647</v>
      </c>
      <c r="J4341" s="4" t="s">
        <v>345</v>
      </c>
      <c r="K4341" s="4">
        <v>3194003</v>
      </c>
    </row>
    <row r="4342" spans="2:13" x14ac:dyDescent="0.3">
      <c r="B4342" s="44">
        <v>46102</v>
      </c>
      <c r="C4342" s="3" t="s">
        <v>416</v>
      </c>
      <c r="D4342" s="3" t="s">
        <v>60</v>
      </c>
      <c r="E4342" s="42"/>
      <c r="F4342" s="3" t="s">
        <v>707</v>
      </c>
      <c r="G4342" s="3" t="s">
        <v>295</v>
      </c>
      <c r="H4342" s="4">
        <v>3207505</v>
      </c>
      <c r="I4342" s="3" t="s">
        <v>473</v>
      </c>
      <c r="J4342" s="3" t="s">
        <v>298</v>
      </c>
      <c r="K4342" s="32">
        <v>3817807</v>
      </c>
    </row>
    <row r="4343" spans="2:13" x14ac:dyDescent="0.3">
      <c r="B4343" s="44">
        <v>46102</v>
      </c>
      <c r="C4343" s="3" t="s">
        <v>416</v>
      </c>
      <c r="D4343" s="3" t="s">
        <v>504</v>
      </c>
      <c r="E4343" s="42"/>
      <c r="F4343" s="3" t="s">
        <v>472</v>
      </c>
      <c r="G4343" s="3" t="s">
        <v>11</v>
      </c>
      <c r="H4343" s="4">
        <v>3034800</v>
      </c>
      <c r="I4343" s="3" t="s">
        <v>475</v>
      </c>
      <c r="J4343" s="3" t="s">
        <v>15</v>
      </c>
      <c r="K4343" s="4">
        <v>3029601</v>
      </c>
    </row>
    <row r="4344" spans="2:13" x14ac:dyDescent="0.3">
      <c r="B4344" s="44">
        <v>46102</v>
      </c>
      <c r="C4344" s="3" t="s">
        <v>416</v>
      </c>
      <c r="D4344" s="3" t="s">
        <v>490</v>
      </c>
      <c r="E4344" s="4"/>
      <c r="F4344" s="3" t="s">
        <v>472</v>
      </c>
      <c r="G4344" s="3" t="s">
        <v>140</v>
      </c>
      <c r="H4344" s="4">
        <v>3357900</v>
      </c>
      <c r="I4344" s="4" t="s">
        <v>480</v>
      </c>
      <c r="J4344" s="4" t="s">
        <v>420</v>
      </c>
      <c r="K4344" s="4">
        <v>3360101</v>
      </c>
    </row>
    <row r="4345" spans="2:13" x14ac:dyDescent="0.3">
      <c r="B4345" s="44">
        <v>46102</v>
      </c>
      <c r="C4345" s="3" t="s">
        <v>416</v>
      </c>
      <c r="D4345" s="3" t="s">
        <v>67</v>
      </c>
      <c r="E4345" s="42"/>
      <c r="F4345" s="3" t="s">
        <v>472</v>
      </c>
      <c r="G4345" s="3" t="s">
        <v>338</v>
      </c>
      <c r="H4345" s="4">
        <v>3207307</v>
      </c>
      <c r="I4345" s="4" t="s">
        <v>715</v>
      </c>
      <c r="J4345" s="4" t="s">
        <v>377</v>
      </c>
      <c r="K4345" s="4">
        <v>3200106</v>
      </c>
    </row>
    <row r="4346" spans="2:13" x14ac:dyDescent="0.3">
      <c r="B4346" s="44">
        <v>46102</v>
      </c>
      <c r="C4346" s="3" t="s">
        <v>416</v>
      </c>
      <c r="D4346" s="3" t="s">
        <v>67</v>
      </c>
      <c r="E4346" s="42"/>
      <c r="F4346" s="3" t="s">
        <v>472</v>
      </c>
      <c r="G4346" s="3" t="s">
        <v>374</v>
      </c>
      <c r="H4346" s="4">
        <v>3207203</v>
      </c>
      <c r="I4346" s="4" t="s">
        <v>717</v>
      </c>
      <c r="J4346" s="4" t="s">
        <v>435</v>
      </c>
      <c r="K4346" s="4">
        <v>3195200</v>
      </c>
    </row>
    <row r="4347" spans="2:13" x14ac:dyDescent="0.3">
      <c r="B4347" s="44">
        <v>46102</v>
      </c>
      <c r="C4347" s="3" t="s">
        <v>416</v>
      </c>
      <c r="D4347" s="3" t="s">
        <v>70</v>
      </c>
      <c r="E4347" s="42"/>
      <c r="F4347" s="3" t="s">
        <v>472</v>
      </c>
      <c r="G4347" s="3" t="s">
        <v>400</v>
      </c>
      <c r="H4347" s="4">
        <v>3818608</v>
      </c>
      <c r="I4347" s="3" t="s">
        <v>692</v>
      </c>
      <c r="J4347" s="3" t="s">
        <v>378</v>
      </c>
      <c r="K4347" s="4">
        <v>3197802</v>
      </c>
    </row>
    <row r="4348" spans="2:13" x14ac:dyDescent="0.3">
      <c r="B4348" s="44">
        <v>46102</v>
      </c>
      <c r="C4348" s="3" t="s">
        <v>416</v>
      </c>
      <c r="D4348" s="3" t="s">
        <v>498</v>
      </c>
      <c r="E4348" s="42"/>
      <c r="F4348" s="3" t="s">
        <v>472</v>
      </c>
      <c r="G4348" s="3" t="s">
        <v>244</v>
      </c>
      <c r="H4348" s="4">
        <v>3357504</v>
      </c>
      <c r="I4348" s="3" t="s">
        <v>689</v>
      </c>
      <c r="J4348" s="3" t="s">
        <v>468</v>
      </c>
      <c r="K4348" s="4">
        <v>3349902</v>
      </c>
    </row>
    <row r="4349" spans="2:13" x14ac:dyDescent="0.3">
      <c r="B4349" s="44">
        <v>46102</v>
      </c>
      <c r="C4349" s="3" t="s">
        <v>416</v>
      </c>
      <c r="D4349" s="3" t="s">
        <v>499</v>
      </c>
      <c r="E4349" s="42"/>
      <c r="F4349" s="3" t="s">
        <v>665</v>
      </c>
      <c r="G4349" s="3" t="s">
        <v>461</v>
      </c>
      <c r="H4349" s="4">
        <v>3818702</v>
      </c>
      <c r="I4349" s="3" t="s">
        <v>687</v>
      </c>
      <c r="J4349" s="3" t="s">
        <v>231</v>
      </c>
      <c r="K4349" s="4">
        <v>3819503</v>
      </c>
      <c r="M4349" s="51"/>
    </row>
    <row r="4350" spans="2:13" x14ac:dyDescent="0.3">
      <c r="B4350" s="44">
        <v>46102</v>
      </c>
      <c r="C4350" s="3" t="s">
        <v>416</v>
      </c>
      <c r="D4350" s="3" t="s">
        <v>68</v>
      </c>
      <c r="E4350" s="42"/>
      <c r="F4350" s="3" t="s">
        <v>665</v>
      </c>
      <c r="G4350" s="3" t="s">
        <v>627</v>
      </c>
      <c r="H4350" s="4" t="s">
        <v>638</v>
      </c>
      <c r="I4350" s="4" t="s">
        <v>665</v>
      </c>
      <c r="J4350" s="4" t="s">
        <v>457</v>
      </c>
      <c r="K4350" s="4">
        <v>3818806</v>
      </c>
    </row>
    <row r="4351" spans="2:13" x14ac:dyDescent="0.3">
      <c r="B4351" s="44">
        <v>46102</v>
      </c>
      <c r="C4351" s="3" t="s">
        <v>416</v>
      </c>
      <c r="D4351" s="3" t="s">
        <v>57</v>
      </c>
      <c r="E4351" s="42"/>
      <c r="F4351" s="3" t="s">
        <v>693</v>
      </c>
      <c r="G4351" s="3" t="s">
        <v>258</v>
      </c>
      <c r="H4351" s="4">
        <v>3207109</v>
      </c>
      <c r="I4351" s="32" t="s">
        <v>709</v>
      </c>
      <c r="J4351" s="32" t="s">
        <v>268</v>
      </c>
      <c r="K4351" s="15">
        <v>3203103</v>
      </c>
    </row>
    <row r="4352" spans="2:13" x14ac:dyDescent="0.3">
      <c r="B4352" s="44">
        <v>46102</v>
      </c>
      <c r="C4352" s="3" t="s">
        <v>416</v>
      </c>
      <c r="D4352" s="3" t="s">
        <v>489</v>
      </c>
      <c r="E4352" s="4"/>
      <c r="F4352" s="4" t="s">
        <v>476</v>
      </c>
      <c r="G4352" s="4" t="s">
        <v>128</v>
      </c>
      <c r="H4352" s="4">
        <v>3357202</v>
      </c>
      <c r="I4352" s="3" t="s">
        <v>650</v>
      </c>
      <c r="J4352" s="3" t="s">
        <v>163</v>
      </c>
      <c r="K4352" s="4">
        <v>3351802</v>
      </c>
    </row>
    <row r="4353" spans="2:11" x14ac:dyDescent="0.3">
      <c r="B4353" s="44">
        <v>46102</v>
      </c>
      <c r="C4353" s="3" t="s">
        <v>416</v>
      </c>
      <c r="D4353" s="3" t="s">
        <v>59</v>
      </c>
      <c r="E4353" s="42"/>
      <c r="F4353" s="3" t="s">
        <v>476</v>
      </c>
      <c r="G4353" s="3" t="s">
        <v>274</v>
      </c>
      <c r="H4353" s="4">
        <v>3206902</v>
      </c>
      <c r="I4353" s="4" t="s">
        <v>646</v>
      </c>
      <c r="J4353" s="4" t="s">
        <v>275</v>
      </c>
      <c r="K4353" s="4">
        <v>3202406</v>
      </c>
    </row>
    <row r="4354" spans="2:11" x14ac:dyDescent="0.3">
      <c r="B4354" s="44">
        <v>46102</v>
      </c>
      <c r="C4354" s="3" t="s">
        <v>416</v>
      </c>
      <c r="D4354" s="3" t="s">
        <v>490</v>
      </c>
      <c r="E4354" s="4"/>
      <c r="F4354" s="3" t="s">
        <v>476</v>
      </c>
      <c r="G4354" s="3" t="s">
        <v>168</v>
      </c>
      <c r="H4354" s="4">
        <v>3356505</v>
      </c>
      <c r="I4354" s="4" t="s">
        <v>654</v>
      </c>
      <c r="J4354" s="4" t="s">
        <v>143</v>
      </c>
      <c r="K4354" s="4">
        <v>3349704</v>
      </c>
    </row>
    <row r="4355" spans="2:11" x14ac:dyDescent="0.3">
      <c r="B4355" s="44">
        <v>46102</v>
      </c>
      <c r="C4355" s="3" t="s">
        <v>416</v>
      </c>
      <c r="D4355" s="3" t="s">
        <v>65</v>
      </c>
      <c r="E4355" s="42"/>
      <c r="F4355" s="3" t="s">
        <v>476</v>
      </c>
      <c r="G4355" s="3" t="s">
        <v>358</v>
      </c>
      <c r="H4355" s="4">
        <v>3206402</v>
      </c>
      <c r="I4355" s="15" t="s">
        <v>691</v>
      </c>
      <c r="J4355" s="15" t="s">
        <v>327</v>
      </c>
      <c r="K4355" s="74">
        <v>3198603</v>
      </c>
    </row>
    <row r="4356" spans="2:11" x14ac:dyDescent="0.3">
      <c r="B4356" s="44">
        <v>46102</v>
      </c>
      <c r="C4356" s="3" t="s">
        <v>416</v>
      </c>
      <c r="D4356" s="3" t="s">
        <v>497</v>
      </c>
      <c r="E4356" s="42"/>
      <c r="F4356" s="17" t="s">
        <v>476</v>
      </c>
      <c r="G4356" s="17" t="s">
        <v>234</v>
      </c>
      <c r="H4356" s="74">
        <v>3356807</v>
      </c>
      <c r="I4356" s="3" t="s">
        <v>681</v>
      </c>
      <c r="J4356" s="3" t="s">
        <v>175</v>
      </c>
      <c r="K4356" s="74">
        <v>3347800</v>
      </c>
    </row>
    <row r="4357" spans="2:11" x14ac:dyDescent="0.3">
      <c r="B4357" s="44">
        <v>46102</v>
      </c>
      <c r="C4357" s="3" t="s">
        <v>416</v>
      </c>
      <c r="D4357" s="3" t="s">
        <v>500</v>
      </c>
      <c r="E4357" s="42"/>
      <c r="F4357" s="3" t="s">
        <v>476</v>
      </c>
      <c r="G4357" s="3" t="s">
        <v>575</v>
      </c>
      <c r="H4357" s="4">
        <v>3900005</v>
      </c>
      <c r="I4357" s="4" t="s">
        <v>479</v>
      </c>
      <c r="J4357" s="4" t="s">
        <v>465</v>
      </c>
      <c r="K4357" s="4">
        <v>3962207</v>
      </c>
    </row>
    <row r="4358" spans="2:11" x14ac:dyDescent="0.3">
      <c r="B4358" s="44">
        <v>46102</v>
      </c>
      <c r="C4358" s="3" t="s">
        <v>416</v>
      </c>
      <c r="D4358" s="3" t="s">
        <v>57</v>
      </c>
      <c r="E4358" s="42"/>
      <c r="F4358" s="4" t="s">
        <v>666</v>
      </c>
      <c r="G4358" s="4" t="s">
        <v>259</v>
      </c>
      <c r="H4358" s="4">
        <v>3205809</v>
      </c>
      <c r="I4358" s="4" t="s">
        <v>647</v>
      </c>
      <c r="J4358" s="4" t="s">
        <v>282</v>
      </c>
      <c r="K4358" s="4">
        <v>3193900</v>
      </c>
    </row>
    <row r="4359" spans="2:11" x14ac:dyDescent="0.3">
      <c r="B4359" s="44">
        <v>46102</v>
      </c>
      <c r="C4359" s="3" t="s">
        <v>416</v>
      </c>
      <c r="D4359" s="3" t="s">
        <v>610</v>
      </c>
      <c r="E4359" s="42"/>
      <c r="F4359" s="3" t="s">
        <v>666</v>
      </c>
      <c r="G4359" s="3" t="s">
        <v>348</v>
      </c>
      <c r="H4359" s="4">
        <v>3205903</v>
      </c>
      <c r="I4359" s="4" t="s">
        <v>675</v>
      </c>
      <c r="J4359" s="4" t="s">
        <v>450</v>
      </c>
      <c r="K4359" s="4">
        <v>3198405</v>
      </c>
    </row>
    <row r="4360" spans="2:11" x14ac:dyDescent="0.3">
      <c r="B4360" s="44">
        <v>46102</v>
      </c>
      <c r="C4360" s="3" t="s">
        <v>416</v>
      </c>
      <c r="D4360" s="3" t="s">
        <v>495</v>
      </c>
      <c r="E4360" s="42"/>
      <c r="F4360" s="3" t="s">
        <v>666</v>
      </c>
      <c r="G4360" s="3" t="s">
        <v>192</v>
      </c>
      <c r="H4360" s="53">
        <v>3357004</v>
      </c>
      <c r="I4360" s="3" t="s">
        <v>673</v>
      </c>
      <c r="J4360" s="3" t="s">
        <v>200</v>
      </c>
      <c r="K4360" s="53">
        <v>3901004</v>
      </c>
    </row>
    <row r="4361" spans="2:11" x14ac:dyDescent="0.3">
      <c r="B4361" s="44">
        <v>46102</v>
      </c>
      <c r="C4361" s="3" t="s">
        <v>416</v>
      </c>
      <c r="D4361" s="3" t="s">
        <v>495</v>
      </c>
      <c r="E4361" s="42"/>
      <c r="F4361" s="3" t="s">
        <v>666</v>
      </c>
      <c r="G4361" s="3" t="s">
        <v>193</v>
      </c>
      <c r="H4361" s="4">
        <v>3357108</v>
      </c>
      <c r="I4361" s="3" t="s">
        <v>670</v>
      </c>
      <c r="J4361" s="3" t="s">
        <v>224</v>
      </c>
      <c r="K4361" s="4">
        <v>3347008</v>
      </c>
    </row>
    <row r="4362" spans="2:11" x14ac:dyDescent="0.3">
      <c r="B4362" s="44">
        <v>46102</v>
      </c>
      <c r="C4362" s="3" t="s">
        <v>416</v>
      </c>
      <c r="D4362" s="3" t="s">
        <v>57</v>
      </c>
      <c r="E4362" s="42"/>
      <c r="F4362" s="73" t="s">
        <v>478</v>
      </c>
      <c r="G4362" s="73" t="s">
        <v>260</v>
      </c>
      <c r="H4362" s="15">
        <v>3205705</v>
      </c>
      <c r="I4362" s="4" t="s">
        <v>680</v>
      </c>
      <c r="J4362" s="4" t="s">
        <v>266</v>
      </c>
      <c r="K4362" s="4">
        <v>3208306</v>
      </c>
    </row>
    <row r="4363" spans="2:11" x14ac:dyDescent="0.3">
      <c r="B4363" s="44">
        <v>46102</v>
      </c>
      <c r="C4363" s="3" t="s">
        <v>416</v>
      </c>
      <c r="D4363" s="3" t="s">
        <v>58</v>
      </c>
      <c r="E4363" s="42"/>
      <c r="F4363" s="32" t="s">
        <v>478</v>
      </c>
      <c r="G4363" s="32" t="s">
        <v>267</v>
      </c>
      <c r="H4363" s="15">
        <v>3205205</v>
      </c>
      <c r="I4363" s="3" t="s">
        <v>721</v>
      </c>
      <c r="J4363" s="3" t="s">
        <v>271</v>
      </c>
      <c r="K4363" s="32">
        <v>3194701</v>
      </c>
    </row>
    <row r="4364" spans="2:11" x14ac:dyDescent="0.3">
      <c r="B4364" s="44">
        <v>46102</v>
      </c>
      <c r="C4364" s="3" t="s">
        <v>416</v>
      </c>
      <c r="D4364" s="3" t="s">
        <v>61</v>
      </c>
      <c r="E4364" s="42"/>
      <c r="F4364" s="4" t="s">
        <v>478</v>
      </c>
      <c r="G4364" s="4" t="s">
        <v>330</v>
      </c>
      <c r="H4364" s="4">
        <v>3205309</v>
      </c>
      <c r="I4364" s="4" t="s">
        <v>477</v>
      </c>
      <c r="J4364" s="4" t="s">
        <v>308</v>
      </c>
      <c r="K4364" s="4">
        <v>3199300</v>
      </c>
    </row>
    <row r="4365" spans="2:11" x14ac:dyDescent="0.3">
      <c r="B4365" s="44">
        <v>46102</v>
      </c>
      <c r="C4365" s="3" t="s">
        <v>416</v>
      </c>
      <c r="D4365" s="3" t="s">
        <v>56</v>
      </c>
      <c r="E4365" s="42"/>
      <c r="F4365" s="3" t="s">
        <v>690</v>
      </c>
      <c r="G4365" s="3" t="s">
        <v>250</v>
      </c>
      <c r="H4365" s="4">
        <v>3070100</v>
      </c>
      <c r="I4365" s="73" t="s">
        <v>474</v>
      </c>
      <c r="J4365" s="73" t="s">
        <v>253</v>
      </c>
      <c r="K4365" s="4">
        <v>3037109</v>
      </c>
    </row>
    <row r="4366" spans="2:11" x14ac:dyDescent="0.3">
      <c r="B4366" s="44">
        <v>46102</v>
      </c>
      <c r="C4366" s="3" t="s">
        <v>416</v>
      </c>
      <c r="D4366" s="3" t="s">
        <v>58</v>
      </c>
      <c r="E4366" s="42"/>
      <c r="F4366" s="3" t="s">
        <v>690</v>
      </c>
      <c r="G4366" s="3" t="s">
        <v>303</v>
      </c>
      <c r="H4366" s="4">
        <v>3205101</v>
      </c>
      <c r="I4366" s="3" t="s">
        <v>706</v>
      </c>
      <c r="J4366" s="3" t="s">
        <v>269</v>
      </c>
      <c r="K4366" s="4">
        <v>3069407</v>
      </c>
    </row>
    <row r="4367" spans="2:11" x14ac:dyDescent="0.3">
      <c r="B4367" s="44">
        <v>46102</v>
      </c>
      <c r="C4367" s="3" t="s">
        <v>416</v>
      </c>
      <c r="D4367" s="3" t="s">
        <v>61</v>
      </c>
      <c r="E4367" s="42"/>
      <c r="F4367" s="3" t="s">
        <v>690</v>
      </c>
      <c r="G4367" s="3" t="s">
        <v>304</v>
      </c>
      <c r="H4367" s="4">
        <v>3204404</v>
      </c>
      <c r="I4367" s="3" t="s">
        <v>645</v>
      </c>
      <c r="J4367" s="3" t="s">
        <v>309</v>
      </c>
      <c r="K4367" s="4">
        <v>3082104</v>
      </c>
    </row>
    <row r="4368" spans="2:11" x14ac:dyDescent="0.3">
      <c r="B4368" s="44">
        <v>46102</v>
      </c>
      <c r="C4368" s="3" t="s">
        <v>416</v>
      </c>
      <c r="D4368" s="3" t="s">
        <v>57</v>
      </c>
      <c r="E4368" s="42"/>
      <c r="F4368" s="3" t="s">
        <v>682</v>
      </c>
      <c r="G4368" s="3" t="s">
        <v>584</v>
      </c>
      <c r="H4368" s="4">
        <v>3069303</v>
      </c>
      <c r="I4368" s="74" t="s">
        <v>694</v>
      </c>
      <c r="J4368" s="74" t="s">
        <v>276</v>
      </c>
      <c r="K4368" s="74">
        <v>3201709</v>
      </c>
    </row>
    <row r="4369" spans="1:43" x14ac:dyDescent="0.3">
      <c r="B4369" s="44">
        <v>46102</v>
      </c>
      <c r="C4369" s="3" t="s">
        <v>416</v>
      </c>
      <c r="D4369" s="3" t="s">
        <v>489</v>
      </c>
      <c r="E4369" s="4"/>
      <c r="F4369" s="4" t="s">
        <v>682</v>
      </c>
      <c r="G4369" s="4" t="s">
        <v>564</v>
      </c>
      <c r="H4369" s="4">
        <v>3969804</v>
      </c>
      <c r="I4369" s="3" t="s">
        <v>678</v>
      </c>
      <c r="J4369" s="3" t="s">
        <v>131</v>
      </c>
      <c r="K4369" s="4">
        <v>3350605</v>
      </c>
    </row>
    <row r="4370" spans="1:43" x14ac:dyDescent="0.3">
      <c r="B4370" s="44">
        <v>46102</v>
      </c>
      <c r="C4370" s="3" t="s">
        <v>416</v>
      </c>
      <c r="D4370" s="3" t="s">
        <v>501</v>
      </c>
      <c r="E4370" s="42"/>
      <c r="F4370" s="3" t="s">
        <v>682</v>
      </c>
      <c r="G4370" s="3" t="s">
        <v>579</v>
      </c>
      <c r="H4370" s="53">
        <v>3970007</v>
      </c>
      <c r="I4370" s="3" t="s">
        <v>662</v>
      </c>
      <c r="J4370" s="3" t="s">
        <v>243</v>
      </c>
      <c r="K4370" s="4">
        <v>3899907</v>
      </c>
      <c r="M4370" s="51"/>
    </row>
    <row r="4371" spans="1:43" x14ac:dyDescent="0.3">
      <c r="B4371" s="44">
        <v>46102</v>
      </c>
      <c r="C4371" s="3" t="s">
        <v>416</v>
      </c>
      <c r="D4371" s="3" t="s">
        <v>62</v>
      </c>
      <c r="E4371" s="42"/>
      <c r="F4371" s="3" t="s">
        <v>700</v>
      </c>
      <c r="G4371" s="3" t="s">
        <v>442</v>
      </c>
      <c r="H4371" s="4">
        <v>3205007</v>
      </c>
      <c r="I4371" s="4" t="s">
        <v>679</v>
      </c>
      <c r="J4371" s="4" t="s">
        <v>292</v>
      </c>
      <c r="K4371" s="4">
        <v>3195304</v>
      </c>
    </row>
    <row r="4372" spans="1:43" x14ac:dyDescent="0.3">
      <c r="B4372" s="44">
        <v>46102</v>
      </c>
      <c r="C4372" s="3" t="s">
        <v>416</v>
      </c>
      <c r="D4372" s="3" t="s">
        <v>493</v>
      </c>
      <c r="E4372" s="42"/>
      <c r="F4372" s="3" t="s">
        <v>701</v>
      </c>
      <c r="G4372" s="3" t="s">
        <v>171</v>
      </c>
      <c r="H4372" s="4">
        <v>3355600</v>
      </c>
      <c r="I4372" s="4" t="s">
        <v>479</v>
      </c>
      <c r="J4372" s="4" t="s">
        <v>210</v>
      </c>
      <c r="K4372" s="4">
        <v>3361100</v>
      </c>
    </row>
    <row r="4373" spans="1:43" x14ac:dyDescent="0.3">
      <c r="B4373" s="44">
        <v>46102</v>
      </c>
      <c r="C4373" s="3" t="s">
        <v>416</v>
      </c>
      <c r="D4373" s="3" t="s">
        <v>62</v>
      </c>
      <c r="E4373" s="42"/>
      <c r="F4373" s="3" t="s">
        <v>701</v>
      </c>
      <c r="G4373" s="3" t="s">
        <v>360</v>
      </c>
      <c r="H4373" s="4">
        <v>3203801</v>
      </c>
      <c r="I4373" s="4" t="s">
        <v>663</v>
      </c>
      <c r="J4373" s="4" t="s">
        <v>280</v>
      </c>
      <c r="K4373" s="4">
        <v>3198103</v>
      </c>
    </row>
    <row r="4374" spans="1:43" x14ac:dyDescent="0.3">
      <c r="B4374" s="44">
        <v>46102</v>
      </c>
      <c r="C4374" s="3" t="s">
        <v>416</v>
      </c>
      <c r="D4374" s="3" t="s">
        <v>593</v>
      </c>
      <c r="E4374" s="42"/>
      <c r="F4374" s="3" t="s">
        <v>701</v>
      </c>
      <c r="G4374" s="3" t="s">
        <v>631</v>
      </c>
      <c r="H4374" s="4">
        <v>4023209</v>
      </c>
      <c r="I4374" s="4" t="s">
        <v>676</v>
      </c>
      <c r="J4374" s="4" t="s">
        <v>639</v>
      </c>
      <c r="K4374" s="4">
        <v>3776805</v>
      </c>
    </row>
    <row r="4375" spans="1:43" x14ac:dyDescent="0.3">
      <c r="B4375" s="44">
        <v>46102</v>
      </c>
      <c r="C4375" s="3" t="s">
        <v>416</v>
      </c>
      <c r="D4375" s="3" t="s">
        <v>488</v>
      </c>
      <c r="E4375" s="42"/>
      <c r="F4375" s="3" t="s">
        <v>702</v>
      </c>
      <c r="G4375" s="3" t="s">
        <v>119</v>
      </c>
      <c r="H4375" s="4">
        <v>3067909</v>
      </c>
      <c r="I4375" s="3" t="s">
        <v>680</v>
      </c>
      <c r="J4375" s="3" t="s">
        <v>117</v>
      </c>
      <c r="K4375" s="4">
        <v>3359002</v>
      </c>
    </row>
    <row r="4376" spans="1:43" x14ac:dyDescent="0.3">
      <c r="B4376" s="44">
        <v>46102</v>
      </c>
      <c r="C4376" s="3" t="s">
        <v>416</v>
      </c>
      <c r="D4376" s="3" t="s">
        <v>58</v>
      </c>
      <c r="E4376" s="42"/>
      <c r="F4376" s="3" t="s">
        <v>702</v>
      </c>
      <c r="G4376" s="3" t="s">
        <v>447</v>
      </c>
      <c r="H4376" s="4">
        <v>3055207</v>
      </c>
      <c r="I4376" s="3" t="s">
        <v>704</v>
      </c>
      <c r="J4376" s="3" t="s">
        <v>297</v>
      </c>
      <c r="K4376" s="32">
        <v>3204008</v>
      </c>
    </row>
    <row r="4377" spans="1:43" x14ac:dyDescent="0.3">
      <c r="B4377" s="44">
        <v>46102</v>
      </c>
      <c r="C4377" s="3" t="s">
        <v>416</v>
      </c>
      <c r="D4377" s="3" t="s">
        <v>60</v>
      </c>
      <c r="E4377" s="42"/>
      <c r="F4377" s="3" t="s">
        <v>695</v>
      </c>
      <c r="G4377" s="3" t="s">
        <v>296</v>
      </c>
      <c r="H4377" s="4">
        <v>3203905</v>
      </c>
      <c r="I4377" s="3" t="s">
        <v>668</v>
      </c>
      <c r="J4377" s="3" t="s">
        <v>431</v>
      </c>
      <c r="K4377" s="4">
        <v>3900703</v>
      </c>
    </row>
    <row r="4378" spans="1:43" x14ac:dyDescent="0.3">
      <c r="B4378" s="44">
        <v>46102</v>
      </c>
      <c r="C4378" s="3" t="s">
        <v>416</v>
      </c>
      <c r="D4378" s="3" t="s">
        <v>491</v>
      </c>
      <c r="E4378" s="42"/>
      <c r="F4378" s="3" t="s">
        <v>695</v>
      </c>
      <c r="G4378" s="3" t="s">
        <v>148</v>
      </c>
      <c r="H4378" s="4">
        <v>3355402</v>
      </c>
      <c r="I4378" s="3" t="s">
        <v>698</v>
      </c>
      <c r="J4378" s="3" t="s">
        <v>567</v>
      </c>
      <c r="K4378" s="4" t="s">
        <v>556</v>
      </c>
    </row>
    <row r="4379" spans="1:43" x14ac:dyDescent="0.3">
      <c r="B4379" s="44">
        <v>46102</v>
      </c>
      <c r="C4379" s="3" t="s">
        <v>416</v>
      </c>
      <c r="D4379" s="3" t="s">
        <v>488</v>
      </c>
      <c r="E4379" s="42"/>
      <c r="F4379" s="3" t="s">
        <v>704</v>
      </c>
      <c r="G4379" s="3" t="s">
        <v>120</v>
      </c>
      <c r="H4379" s="4">
        <v>3355506</v>
      </c>
      <c r="I4379" s="4" t="s">
        <v>684</v>
      </c>
      <c r="J4379" s="4" t="s">
        <v>121</v>
      </c>
      <c r="K4379" s="4">
        <v>3354309</v>
      </c>
    </row>
    <row r="4380" spans="1:43" x14ac:dyDescent="0.3">
      <c r="A4380" s="4"/>
      <c r="B4380" s="100">
        <v>46102</v>
      </c>
      <c r="C4380" s="98" t="s">
        <v>553</v>
      </c>
      <c r="D4380" s="4" t="s">
        <v>508</v>
      </c>
      <c r="E4380" s="4"/>
      <c r="F4380" s="73" t="s">
        <v>473</v>
      </c>
      <c r="G4380" s="73" t="s">
        <v>473</v>
      </c>
      <c r="H4380" s="73"/>
      <c r="I4380" s="73" t="s">
        <v>478</v>
      </c>
      <c r="J4380" s="73" t="s">
        <v>478</v>
      </c>
      <c r="K4380" s="7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</row>
    <row r="4381" spans="1:43" x14ac:dyDescent="0.3">
      <c r="B4381" s="44">
        <v>46102</v>
      </c>
      <c r="C4381" s="3" t="s">
        <v>416</v>
      </c>
      <c r="D4381" s="3" t="s">
        <v>67</v>
      </c>
      <c r="E4381" s="42"/>
      <c r="F4381" s="4" t="s">
        <v>708</v>
      </c>
      <c r="G4381" s="4" t="s">
        <v>339</v>
      </c>
      <c r="H4381" s="4">
        <v>3204300</v>
      </c>
      <c r="I4381" s="4" t="s">
        <v>570</v>
      </c>
      <c r="J4381" s="4" t="s">
        <v>570</v>
      </c>
      <c r="K4381" s="4" t="s">
        <v>556</v>
      </c>
    </row>
    <row r="4382" spans="1:43" x14ac:dyDescent="0.3">
      <c r="B4382" s="44">
        <v>46102</v>
      </c>
      <c r="C4382" s="3" t="s">
        <v>416</v>
      </c>
      <c r="D4382" s="3" t="s">
        <v>494</v>
      </c>
      <c r="E4382" s="42"/>
      <c r="F4382" s="3" t="s">
        <v>708</v>
      </c>
      <c r="G4382" s="3" t="s">
        <v>220</v>
      </c>
      <c r="H4382" s="4">
        <v>3354809</v>
      </c>
      <c r="I4382" s="3" t="s">
        <v>694</v>
      </c>
      <c r="J4382" s="3" t="s">
        <v>221</v>
      </c>
      <c r="K4382" s="4">
        <v>3353404</v>
      </c>
    </row>
    <row r="4383" spans="1:43" x14ac:dyDescent="0.3">
      <c r="B4383" s="44">
        <v>46102</v>
      </c>
      <c r="C4383" s="3" t="s">
        <v>416</v>
      </c>
      <c r="D4383" s="3" t="s">
        <v>501</v>
      </c>
      <c r="E4383" s="42"/>
      <c r="F4383" s="3" t="s">
        <v>708</v>
      </c>
      <c r="G4383" s="3" t="s">
        <v>598</v>
      </c>
      <c r="H4383" s="4">
        <v>3354903</v>
      </c>
      <c r="I4383" s="3" t="s">
        <v>689</v>
      </c>
      <c r="J4383" s="3" t="s">
        <v>581</v>
      </c>
      <c r="K4383" s="4">
        <v>4022804</v>
      </c>
      <c r="M4383" s="51"/>
    </row>
    <row r="4384" spans="1:43" x14ac:dyDescent="0.3">
      <c r="B4384" s="44">
        <v>46102</v>
      </c>
      <c r="C4384" s="3" t="s">
        <v>416</v>
      </c>
      <c r="D4384" s="3" t="s">
        <v>488</v>
      </c>
      <c r="E4384" s="42"/>
      <c r="F4384" s="3" t="s">
        <v>703</v>
      </c>
      <c r="G4384" s="3" t="s">
        <v>560</v>
      </c>
      <c r="H4384" s="4" t="s">
        <v>562</v>
      </c>
      <c r="I4384" s="4" t="s">
        <v>697</v>
      </c>
      <c r="J4384" s="4" t="s">
        <v>122</v>
      </c>
      <c r="K4384" s="4">
        <v>3353800</v>
      </c>
    </row>
    <row r="4385" spans="2:11" x14ac:dyDescent="0.3">
      <c r="B4385" s="44">
        <v>46102</v>
      </c>
      <c r="C4385" s="3" t="s">
        <v>416</v>
      </c>
      <c r="D4385" s="3" t="s">
        <v>57</v>
      </c>
      <c r="E4385" s="42"/>
      <c r="F4385" s="15" t="s">
        <v>703</v>
      </c>
      <c r="G4385" s="15" t="s">
        <v>585</v>
      </c>
      <c r="H4385" s="74" t="s">
        <v>556</v>
      </c>
      <c r="I4385" s="3" t="s">
        <v>667</v>
      </c>
      <c r="J4385" s="3" t="s">
        <v>257</v>
      </c>
      <c r="K4385" s="4">
        <v>3209805</v>
      </c>
    </row>
    <row r="4386" spans="2:11" x14ac:dyDescent="0.3">
      <c r="B4386" s="44">
        <v>46102</v>
      </c>
      <c r="C4386" s="3" t="s">
        <v>416</v>
      </c>
      <c r="D4386" s="3" t="s">
        <v>66</v>
      </c>
      <c r="E4386" s="42"/>
      <c r="F4386" s="3" t="s">
        <v>703</v>
      </c>
      <c r="G4386" s="3" t="s">
        <v>606</v>
      </c>
      <c r="H4386" s="74" t="s">
        <v>588</v>
      </c>
      <c r="I4386" s="3" t="s">
        <v>690</v>
      </c>
      <c r="J4386" s="3" t="s">
        <v>605</v>
      </c>
      <c r="K4386" s="74">
        <v>3900109</v>
      </c>
    </row>
    <row r="4387" spans="2:11" x14ac:dyDescent="0.3">
      <c r="B4387" s="44">
        <v>46102</v>
      </c>
      <c r="C4387" s="3" t="s">
        <v>416</v>
      </c>
      <c r="D4387" s="3" t="s">
        <v>487</v>
      </c>
      <c r="E4387" s="4"/>
      <c r="F4387" s="3" t="s">
        <v>709</v>
      </c>
      <c r="G4387" s="3" t="s">
        <v>111</v>
      </c>
      <c r="H4387" s="4">
        <v>3354601</v>
      </c>
      <c r="I4387" s="4" t="s">
        <v>710</v>
      </c>
      <c r="J4387" s="4" t="s">
        <v>113</v>
      </c>
      <c r="K4387" s="4">
        <v>3352009</v>
      </c>
    </row>
    <row r="4388" spans="2:11" x14ac:dyDescent="0.3">
      <c r="B4388" s="44">
        <v>46102</v>
      </c>
      <c r="C4388" s="3" t="s">
        <v>416</v>
      </c>
      <c r="D4388" s="3" t="s">
        <v>491</v>
      </c>
      <c r="E4388" s="42"/>
      <c r="F4388" s="4" t="s">
        <v>709</v>
      </c>
      <c r="G4388" s="4" t="s">
        <v>566</v>
      </c>
      <c r="H4388" s="4">
        <v>3560703</v>
      </c>
      <c r="I4388" s="4" t="s">
        <v>645</v>
      </c>
      <c r="J4388" s="4" t="s">
        <v>464</v>
      </c>
      <c r="K4388" s="4">
        <v>3351406</v>
      </c>
    </row>
    <row r="4389" spans="2:11" x14ac:dyDescent="0.3">
      <c r="B4389" s="44">
        <v>46102</v>
      </c>
      <c r="C4389" s="3" t="s">
        <v>416</v>
      </c>
      <c r="D4389" s="3" t="s">
        <v>61</v>
      </c>
      <c r="E4389" s="42"/>
      <c r="F4389" s="3" t="s">
        <v>684</v>
      </c>
      <c r="G4389" s="3" t="s">
        <v>306</v>
      </c>
      <c r="H4389" s="4">
        <v>3202604</v>
      </c>
      <c r="I4389" s="4" t="s">
        <v>477</v>
      </c>
      <c r="J4389" s="4" t="s">
        <v>332</v>
      </c>
      <c r="K4389" s="4">
        <v>3199206</v>
      </c>
    </row>
    <row r="4390" spans="2:11" x14ac:dyDescent="0.3">
      <c r="B4390" s="44">
        <v>46102</v>
      </c>
      <c r="C4390" s="3" t="s">
        <v>416</v>
      </c>
      <c r="D4390" s="3" t="s">
        <v>491</v>
      </c>
      <c r="E4390" s="42"/>
      <c r="F4390" s="3" t="s">
        <v>684</v>
      </c>
      <c r="G4390" s="3" t="s">
        <v>149</v>
      </c>
      <c r="H4390" s="4">
        <v>3354507</v>
      </c>
      <c r="I4390" s="4" t="s">
        <v>680</v>
      </c>
      <c r="J4390" s="4" t="s">
        <v>177</v>
      </c>
      <c r="K4390" s="4">
        <v>3899709</v>
      </c>
    </row>
    <row r="4391" spans="2:11" x14ac:dyDescent="0.3">
      <c r="B4391" s="44">
        <v>46102</v>
      </c>
      <c r="C4391" s="3" t="s">
        <v>416</v>
      </c>
      <c r="D4391" s="3" t="s">
        <v>63</v>
      </c>
      <c r="E4391" s="42"/>
      <c r="F4391" s="3" t="s">
        <v>684</v>
      </c>
      <c r="G4391" s="3" t="s">
        <v>369</v>
      </c>
      <c r="H4391" s="74">
        <v>3202708</v>
      </c>
      <c r="I4391" s="3" t="s">
        <v>683</v>
      </c>
      <c r="J4391" s="3" t="s">
        <v>368</v>
      </c>
      <c r="K4391" s="74">
        <v>3203009</v>
      </c>
    </row>
    <row r="4392" spans="2:11" x14ac:dyDescent="0.3">
      <c r="B4392" s="44">
        <v>46102</v>
      </c>
      <c r="C4392" s="3" t="s">
        <v>416</v>
      </c>
      <c r="D4392" s="3" t="s">
        <v>491</v>
      </c>
      <c r="E4392" s="42"/>
      <c r="F4392" s="104" t="s">
        <v>684</v>
      </c>
      <c r="G4392" s="104" t="s">
        <v>182</v>
      </c>
      <c r="H4392" s="53">
        <v>3900203</v>
      </c>
      <c r="I4392" s="4" t="s">
        <v>702</v>
      </c>
      <c r="J4392" s="4" t="s">
        <v>180</v>
      </c>
      <c r="K4392" s="4">
        <v>3355308</v>
      </c>
    </row>
    <row r="4393" spans="2:11" x14ac:dyDescent="0.3">
      <c r="B4393" s="44">
        <v>46102</v>
      </c>
      <c r="C4393" s="3" t="s">
        <v>416</v>
      </c>
      <c r="D4393" s="3" t="s">
        <v>56</v>
      </c>
      <c r="E4393" s="42"/>
      <c r="F4393" s="3" t="s">
        <v>646</v>
      </c>
      <c r="G4393" s="3" t="s">
        <v>251</v>
      </c>
      <c r="H4393" s="4">
        <v>3036704</v>
      </c>
      <c r="I4393" s="4" t="s">
        <v>472</v>
      </c>
      <c r="J4393" s="4" t="s">
        <v>248</v>
      </c>
      <c r="K4393" s="4">
        <v>3207609</v>
      </c>
    </row>
    <row r="4394" spans="2:11" x14ac:dyDescent="0.3">
      <c r="B4394" s="44">
        <v>46102</v>
      </c>
      <c r="C4394" s="3" t="s">
        <v>416</v>
      </c>
      <c r="D4394" s="3" t="s">
        <v>492</v>
      </c>
      <c r="E4394" s="42"/>
      <c r="F4394" s="3" t="s">
        <v>646</v>
      </c>
      <c r="G4394" s="3" t="s">
        <v>159</v>
      </c>
      <c r="H4394" s="4">
        <v>3354403</v>
      </c>
      <c r="I4394" s="4" t="s">
        <v>652</v>
      </c>
      <c r="J4394" s="4" t="s">
        <v>157</v>
      </c>
      <c r="K4394" s="4">
        <v>3358503</v>
      </c>
    </row>
    <row r="4395" spans="2:11" x14ac:dyDescent="0.3">
      <c r="B4395" s="44">
        <v>46102</v>
      </c>
      <c r="C4395" s="3" t="s">
        <v>416</v>
      </c>
      <c r="D4395" s="3" t="s">
        <v>64</v>
      </c>
      <c r="E4395" s="42">
        <v>4370907</v>
      </c>
      <c r="F4395" s="3" t="s">
        <v>646</v>
      </c>
      <c r="G4395" s="3" t="s">
        <v>349</v>
      </c>
      <c r="H4395" s="4">
        <v>3202500</v>
      </c>
      <c r="I4395" s="4" t="s">
        <v>669</v>
      </c>
      <c r="J4395" s="4" t="s">
        <v>337</v>
      </c>
      <c r="K4395" s="4">
        <v>3209305</v>
      </c>
    </row>
    <row r="4396" spans="2:11" x14ac:dyDescent="0.3">
      <c r="B4396" s="44">
        <v>46102</v>
      </c>
      <c r="C4396" s="3" t="s">
        <v>416</v>
      </c>
      <c r="D4396" s="3" t="s">
        <v>495</v>
      </c>
      <c r="E4396" s="42"/>
      <c r="F4396" s="3" t="s">
        <v>646</v>
      </c>
      <c r="G4396" s="3" t="s">
        <v>195</v>
      </c>
      <c r="H4396" s="74">
        <v>3361600</v>
      </c>
      <c r="I4396" s="3" t="s">
        <v>682</v>
      </c>
      <c r="J4396" s="3" t="s">
        <v>568</v>
      </c>
      <c r="K4396" s="4">
        <v>3969908</v>
      </c>
    </row>
    <row r="4397" spans="2:11" x14ac:dyDescent="0.3">
      <c r="B4397" s="44">
        <v>46102</v>
      </c>
      <c r="C4397" s="3" t="s">
        <v>416</v>
      </c>
      <c r="D4397" s="3" t="s">
        <v>61</v>
      </c>
      <c r="E4397" s="42"/>
      <c r="F4397" s="3" t="s">
        <v>696</v>
      </c>
      <c r="G4397" s="3" t="s">
        <v>307</v>
      </c>
      <c r="H4397" s="4">
        <v>3201907</v>
      </c>
      <c r="I4397" s="4" t="s">
        <v>720</v>
      </c>
      <c r="J4397" s="4" t="s">
        <v>335</v>
      </c>
      <c r="K4397" s="4">
        <v>3194201</v>
      </c>
    </row>
    <row r="4398" spans="2:11" x14ac:dyDescent="0.3">
      <c r="B4398" s="44">
        <v>46102</v>
      </c>
      <c r="C4398" s="3" t="s">
        <v>416</v>
      </c>
      <c r="D4398" s="3" t="s">
        <v>66</v>
      </c>
      <c r="E4398" s="42"/>
      <c r="F4398" s="3" t="s">
        <v>696</v>
      </c>
      <c r="G4398" s="3" t="s">
        <v>609</v>
      </c>
      <c r="H4398" s="74">
        <v>3900401</v>
      </c>
      <c r="I4398" s="3" t="s">
        <v>478</v>
      </c>
      <c r="J4398" s="3" t="s">
        <v>604</v>
      </c>
      <c r="K4398" s="74">
        <v>3205507</v>
      </c>
    </row>
    <row r="4399" spans="2:11" x14ac:dyDescent="0.3">
      <c r="B4399" s="44">
        <v>46102</v>
      </c>
      <c r="C4399" s="3" t="s">
        <v>416</v>
      </c>
      <c r="D4399" s="3" t="s">
        <v>56</v>
      </c>
      <c r="E4399" s="42"/>
      <c r="F4399" s="106" t="s">
        <v>672</v>
      </c>
      <c r="G4399" s="106" t="s">
        <v>252</v>
      </c>
      <c r="H4399" s="106">
        <v>3070204</v>
      </c>
      <c r="I4399" s="3" t="s">
        <v>475</v>
      </c>
      <c r="J4399" s="3" t="s">
        <v>256</v>
      </c>
      <c r="K4399" s="4">
        <v>3068700</v>
      </c>
    </row>
    <row r="4400" spans="2:11" x14ac:dyDescent="0.3">
      <c r="B4400" s="44">
        <v>46102</v>
      </c>
      <c r="C4400" s="3" t="s">
        <v>416</v>
      </c>
      <c r="D4400" s="3" t="s">
        <v>500</v>
      </c>
      <c r="E4400" s="42"/>
      <c r="F4400" s="3" t="s">
        <v>672</v>
      </c>
      <c r="G4400" s="3" t="s">
        <v>187</v>
      </c>
      <c r="H4400" s="4">
        <v>3354101</v>
      </c>
      <c r="I4400" s="4" t="s">
        <v>679</v>
      </c>
      <c r="J4400" s="4" t="s">
        <v>466</v>
      </c>
      <c r="K4400" s="4">
        <v>3346707</v>
      </c>
    </row>
    <row r="4401" spans="2:11" x14ac:dyDescent="0.3">
      <c r="B4401" s="44">
        <v>46102</v>
      </c>
      <c r="C4401" s="3" t="s">
        <v>416</v>
      </c>
      <c r="D4401" s="3" t="s">
        <v>58</v>
      </c>
      <c r="E4401" s="42"/>
      <c r="F4401" s="3" t="s">
        <v>697</v>
      </c>
      <c r="G4401" s="3" t="s">
        <v>262</v>
      </c>
      <c r="H4401" s="4">
        <v>3055405</v>
      </c>
      <c r="I4401" s="3" t="s">
        <v>683</v>
      </c>
      <c r="J4401" s="3" t="s">
        <v>305</v>
      </c>
      <c r="K4401" s="32">
        <v>3202906</v>
      </c>
    </row>
    <row r="4402" spans="2:11" x14ac:dyDescent="0.3">
      <c r="B4402" s="44">
        <v>46102</v>
      </c>
      <c r="C4402" s="3" t="s">
        <v>416</v>
      </c>
      <c r="D4402" s="3" t="s">
        <v>491</v>
      </c>
      <c r="E4402" s="42"/>
      <c r="F4402" s="3" t="s">
        <v>697</v>
      </c>
      <c r="G4402" s="3" t="s">
        <v>150</v>
      </c>
      <c r="H4402" s="4">
        <v>3353706</v>
      </c>
      <c r="I4402" s="3" t="s">
        <v>478</v>
      </c>
      <c r="J4402" s="3" t="s">
        <v>463</v>
      </c>
      <c r="K4402" s="74">
        <v>3125500</v>
      </c>
    </row>
    <row r="4403" spans="2:11" x14ac:dyDescent="0.3">
      <c r="B4403" s="44">
        <v>46102</v>
      </c>
      <c r="C4403" s="3" t="s">
        <v>416</v>
      </c>
      <c r="D4403" s="3" t="s">
        <v>62</v>
      </c>
      <c r="E4403" s="42"/>
      <c r="F4403" s="3" t="s">
        <v>694</v>
      </c>
      <c r="G4403" s="3" t="s">
        <v>340</v>
      </c>
      <c r="H4403" s="4">
        <v>3201803</v>
      </c>
      <c r="I4403" s="4" t="s">
        <v>660</v>
      </c>
      <c r="J4403" s="4" t="s">
        <v>443</v>
      </c>
      <c r="K4403" s="4">
        <v>3210008</v>
      </c>
    </row>
    <row r="4404" spans="2:11" x14ac:dyDescent="0.3">
      <c r="B4404" s="44">
        <v>46102</v>
      </c>
      <c r="C4404" s="3" t="s">
        <v>416</v>
      </c>
      <c r="D4404" s="3" t="s">
        <v>69</v>
      </c>
      <c r="E4404" s="42"/>
      <c r="F4404" s="3" t="s">
        <v>694</v>
      </c>
      <c r="G4404" s="3" t="s">
        <v>376</v>
      </c>
      <c r="H4404" s="53">
        <v>3201303</v>
      </c>
      <c r="I4404" s="3" t="s">
        <v>471</v>
      </c>
      <c r="J4404" s="3" t="s">
        <v>364</v>
      </c>
      <c r="K4404" s="4">
        <v>3197000</v>
      </c>
    </row>
    <row r="4405" spans="2:11" x14ac:dyDescent="0.3">
      <c r="B4405" s="44">
        <v>46102</v>
      </c>
      <c r="C4405" s="3" t="s">
        <v>416</v>
      </c>
      <c r="D4405" s="3" t="s">
        <v>498</v>
      </c>
      <c r="E4405" s="42"/>
      <c r="F4405" s="3" t="s">
        <v>694</v>
      </c>
      <c r="G4405" s="3" t="s">
        <v>245</v>
      </c>
      <c r="H4405" s="4">
        <v>3352905</v>
      </c>
      <c r="I4405" s="3" t="s">
        <v>472</v>
      </c>
      <c r="J4405" s="3" t="s">
        <v>219</v>
      </c>
      <c r="K4405" s="4">
        <v>3357608</v>
      </c>
    </row>
    <row r="4406" spans="2:11" x14ac:dyDescent="0.3">
      <c r="B4406" s="44">
        <v>46102</v>
      </c>
      <c r="C4406" s="3" t="s">
        <v>416</v>
      </c>
      <c r="D4406" s="3" t="s">
        <v>69</v>
      </c>
      <c r="E4406" s="42"/>
      <c r="F4406" s="3" t="s">
        <v>694</v>
      </c>
      <c r="G4406" s="3" t="s">
        <v>402</v>
      </c>
      <c r="H4406" s="4">
        <v>3201407</v>
      </c>
      <c r="I4406" s="3" t="s">
        <v>663</v>
      </c>
      <c r="J4406" s="3" t="s">
        <v>362</v>
      </c>
      <c r="K4406" s="4">
        <v>3197406</v>
      </c>
    </row>
    <row r="4407" spans="2:11" x14ac:dyDescent="0.3">
      <c r="B4407" s="44">
        <v>46102</v>
      </c>
      <c r="C4407" s="3" t="s">
        <v>416</v>
      </c>
      <c r="D4407" s="3" t="s">
        <v>593</v>
      </c>
      <c r="E4407" s="42"/>
      <c r="F4407" s="3" t="s">
        <v>694</v>
      </c>
      <c r="G4407" s="3" t="s">
        <v>632</v>
      </c>
      <c r="H4407" s="4">
        <v>4023303</v>
      </c>
      <c r="I4407" s="4" t="s">
        <v>476</v>
      </c>
      <c r="J4407" s="4" t="s">
        <v>630</v>
      </c>
      <c r="K4407" s="4">
        <v>3206308</v>
      </c>
    </row>
    <row r="4408" spans="2:11" x14ac:dyDescent="0.3">
      <c r="B4408" s="44">
        <v>46102</v>
      </c>
      <c r="C4408" s="3" t="s">
        <v>416</v>
      </c>
      <c r="D4408" s="3" t="s">
        <v>69</v>
      </c>
      <c r="E4408" s="42"/>
      <c r="F4408" s="3" t="s">
        <v>655</v>
      </c>
      <c r="G4408" s="3" t="s">
        <v>394</v>
      </c>
      <c r="H4408" s="4">
        <v>3201105</v>
      </c>
      <c r="I4408" s="3" t="s">
        <v>657</v>
      </c>
      <c r="J4408" s="3" t="s">
        <v>393</v>
      </c>
      <c r="K4408" s="4">
        <v>3209701</v>
      </c>
    </row>
    <row r="4409" spans="2:11" x14ac:dyDescent="0.3">
      <c r="B4409" s="44">
        <v>46102</v>
      </c>
      <c r="C4409" s="3" t="s">
        <v>416</v>
      </c>
      <c r="D4409" s="3" t="s">
        <v>610</v>
      </c>
      <c r="E4409" s="42"/>
      <c r="F4409" s="3" t="s">
        <v>711</v>
      </c>
      <c r="G4409" s="3" t="s">
        <v>381</v>
      </c>
      <c r="H4409" s="4">
        <v>3201209</v>
      </c>
      <c r="I4409" s="4" t="s">
        <v>716</v>
      </c>
      <c r="J4409" s="4" t="s">
        <v>433</v>
      </c>
      <c r="K4409" s="4">
        <v>3198905</v>
      </c>
    </row>
    <row r="4410" spans="2:11" x14ac:dyDescent="0.3">
      <c r="B4410" s="44">
        <v>46102</v>
      </c>
      <c r="C4410" s="3" t="s">
        <v>416</v>
      </c>
      <c r="D4410" s="3" t="s">
        <v>489</v>
      </c>
      <c r="E4410" s="4"/>
      <c r="F4410" s="4" t="s">
        <v>685</v>
      </c>
      <c r="G4410" s="4" t="s">
        <v>160</v>
      </c>
      <c r="H4410" s="4">
        <v>3353008</v>
      </c>
      <c r="I4410" s="3" t="s">
        <v>688</v>
      </c>
      <c r="J4410" s="3" t="s">
        <v>10</v>
      </c>
      <c r="K4410" s="4">
        <v>3036204</v>
      </c>
    </row>
    <row r="4411" spans="2:11" x14ac:dyDescent="0.3">
      <c r="B4411" s="44">
        <v>46102</v>
      </c>
      <c r="C4411" s="3" t="s">
        <v>416</v>
      </c>
      <c r="D4411" s="3" t="s">
        <v>610</v>
      </c>
      <c r="E4411" s="42"/>
      <c r="F4411" s="3" t="s">
        <v>685</v>
      </c>
      <c r="G4411" s="3" t="s">
        <v>351</v>
      </c>
      <c r="H4411" s="4">
        <v>3201001</v>
      </c>
      <c r="I4411" s="4" t="s">
        <v>652</v>
      </c>
      <c r="J4411" s="4" t="s">
        <v>347</v>
      </c>
      <c r="K4411" s="4">
        <v>3818504</v>
      </c>
    </row>
    <row r="4412" spans="2:11" x14ac:dyDescent="0.3">
      <c r="B4412" s="44">
        <v>46102</v>
      </c>
      <c r="C4412" s="3" t="s">
        <v>416</v>
      </c>
      <c r="D4412" s="3" t="s">
        <v>495</v>
      </c>
      <c r="E4412" s="42"/>
      <c r="F4412" s="3" t="s">
        <v>685</v>
      </c>
      <c r="G4412" s="3" t="s">
        <v>196</v>
      </c>
      <c r="H4412" s="4">
        <v>3353102</v>
      </c>
      <c r="I4412" s="3" t="s">
        <v>712</v>
      </c>
      <c r="J4412" s="3" t="s">
        <v>164</v>
      </c>
      <c r="K4412" s="4">
        <v>3349402</v>
      </c>
    </row>
    <row r="4413" spans="2:11" x14ac:dyDescent="0.3">
      <c r="B4413" s="44">
        <v>46102</v>
      </c>
      <c r="C4413" s="3" t="s">
        <v>416</v>
      </c>
      <c r="D4413" s="3" t="s">
        <v>610</v>
      </c>
      <c r="E4413" s="42"/>
      <c r="F4413" s="3" t="s">
        <v>685</v>
      </c>
      <c r="G4413" s="3" t="s">
        <v>382</v>
      </c>
      <c r="H4413" s="4">
        <v>3200804</v>
      </c>
      <c r="I4413" s="4" t="s">
        <v>714</v>
      </c>
      <c r="J4413" s="4" t="s">
        <v>352</v>
      </c>
      <c r="K4413" s="4">
        <v>3197208</v>
      </c>
    </row>
    <row r="4414" spans="2:11" x14ac:dyDescent="0.3">
      <c r="B4414" s="44">
        <v>46102</v>
      </c>
      <c r="C4414" s="3" t="s">
        <v>416</v>
      </c>
      <c r="D4414" s="3" t="s">
        <v>495</v>
      </c>
      <c r="E4414" s="42"/>
      <c r="F4414" s="3" t="s">
        <v>685</v>
      </c>
      <c r="G4414" s="3" t="s">
        <v>197</v>
      </c>
      <c r="H4414" s="4">
        <v>3353300</v>
      </c>
      <c r="I4414" s="3" t="s">
        <v>699</v>
      </c>
      <c r="J4414" s="3" t="s">
        <v>569</v>
      </c>
      <c r="K4414" s="4">
        <v>3125708</v>
      </c>
    </row>
    <row r="4415" spans="2:11" x14ac:dyDescent="0.3">
      <c r="B4415" s="44">
        <v>46102</v>
      </c>
      <c r="C4415" s="3" t="s">
        <v>416</v>
      </c>
      <c r="D4415" s="3" t="s">
        <v>486</v>
      </c>
      <c r="E4415" s="42"/>
      <c r="F4415" s="3" t="s">
        <v>474</v>
      </c>
      <c r="G4415" s="3" t="s">
        <v>103</v>
      </c>
      <c r="H4415" s="4">
        <v>3353206</v>
      </c>
      <c r="I4415" s="3" t="s">
        <v>676</v>
      </c>
      <c r="J4415" s="3" t="s">
        <v>109</v>
      </c>
      <c r="K4415" s="4">
        <v>3067701</v>
      </c>
    </row>
    <row r="4416" spans="2:11" x14ac:dyDescent="0.3">
      <c r="B4416" s="44">
        <v>46102</v>
      </c>
      <c r="C4416" s="3" t="s">
        <v>416</v>
      </c>
      <c r="D4416" s="3" t="s">
        <v>489</v>
      </c>
      <c r="E4416" s="4"/>
      <c r="F4416" s="4" t="s">
        <v>474</v>
      </c>
      <c r="G4416" s="4" t="s">
        <v>130</v>
      </c>
      <c r="H4416" s="4">
        <v>3352405</v>
      </c>
      <c r="I4416" s="3" t="s">
        <v>672</v>
      </c>
      <c r="J4416" s="3" t="s">
        <v>129</v>
      </c>
      <c r="K4416" s="4">
        <v>3067503</v>
      </c>
    </row>
    <row r="4417" spans="1:43" x14ac:dyDescent="0.3">
      <c r="B4417" s="44">
        <v>46102</v>
      </c>
      <c r="C4417" s="3" t="s">
        <v>416</v>
      </c>
      <c r="D4417" s="3" t="s">
        <v>610</v>
      </c>
      <c r="E4417" s="42"/>
      <c r="F4417" s="3" t="s">
        <v>474</v>
      </c>
      <c r="G4417" s="3" t="s">
        <v>458</v>
      </c>
      <c r="H4417" s="4">
        <v>3200304</v>
      </c>
      <c r="I4417" s="4" t="s">
        <v>646</v>
      </c>
      <c r="J4417" s="4" t="s">
        <v>350</v>
      </c>
      <c r="K4417" s="4">
        <v>3202802</v>
      </c>
    </row>
    <row r="4418" spans="1:43" x14ac:dyDescent="0.3">
      <c r="B4418" s="44">
        <v>46102</v>
      </c>
      <c r="C4418" s="3" t="s">
        <v>416</v>
      </c>
      <c r="D4418" s="3" t="s">
        <v>492</v>
      </c>
      <c r="E4418" s="42"/>
      <c r="F4418" s="3" t="s">
        <v>474</v>
      </c>
      <c r="G4418" s="3" t="s">
        <v>161</v>
      </c>
      <c r="H4418" s="4">
        <v>3352509</v>
      </c>
      <c r="I4418" s="4" t="s">
        <v>670</v>
      </c>
      <c r="J4418" s="4" t="s">
        <v>145</v>
      </c>
      <c r="K4418" s="4">
        <v>3347404</v>
      </c>
    </row>
    <row r="4419" spans="1:43" x14ac:dyDescent="0.3">
      <c r="B4419" s="44">
        <v>46102</v>
      </c>
      <c r="C4419" s="3" t="s">
        <v>416</v>
      </c>
      <c r="D4419" s="3" t="s">
        <v>68</v>
      </c>
      <c r="E4419" s="42"/>
      <c r="F4419" s="3" t="s">
        <v>474</v>
      </c>
      <c r="G4419" s="3" t="s">
        <v>383</v>
      </c>
      <c r="H4419" s="4">
        <v>3200502</v>
      </c>
      <c r="I4419" s="15" t="s">
        <v>664</v>
      </c>
      <c r="J4419" s="15" t="s">
        <v>388</v>
      </c>
      <c r="K4419" s="74">
        <v>3165306</v>
      </c>
    </row>
    <row r="4420" spans="1:43" x14ac:dyDescent="0.3">
      <c r="B4420" s="44">
        <v>46102</v>
      </c>
      <c r="C4420" s="3" t="s">
        <v>416</v>
      </c>
      <c r="D4420" s="3" t="s">
        <v>492</v>
      </c>
      <c r="E4420" s="42"/>
      <c r="F4420" s="3" t="s">
        <v>714</v>
      </c>
      <c r="G4420" s="3" t="s">
        <v>162</v>
      </c>
      <c r="H4420" s="4">
        <v>3348903</v>
      </c>
      <c r="I4420" s="4" t="s">
        <v>646</v>
      </c>
      <c r="J4420" s="4" t="s">
        <v>194</v>
      </c>
      <c r="K4420" s="4">
        <v>3354205</v>
      </c>
    </row>
    <row r="4421" spans="1:43" x14ac:dyDescent="0.3">
      <c r="B4421" s="44">
        <v>46102</v>
      </c>
      <c r="C4421" s="3" t="s">
        <v>416</v>
      </c>
      <c r="D4421" s="3" t="s">
        <v>496</v>
      </c>
      <c r="E4421" s="42"/>
      <c r="F4421" s="3" t="s">
        <v>650</v>
      </c>
      <c r="G4421" s="3" t="s">
        <v>205</v>
      </c>
      <c r="H4421" s="74">
        <v>3351906</v>
      </c>
      <c r="I4421" s="4" t="s">
        <v>474</v>
      </c>
      <c r="J4421" s="4" t="s">
        <v>426</v>
      </c>
      <c r="K4421" s="4">
        <v>3352603</v>
      </c>
    </row>
    <row r="4422" spans="1:43" x14ac:dyDescent="0.3">
      <c r="B4422" s="44">
        <v>46102</v>
      </c>
      <c r="C4422" s="3" t="s">
        <v>416</v>
      </c>
      <c r="D4422" s="3" t="s">
        <v>610</v>
      </c>
      <c r="E4422" s="42"/>
      <c r="F4422" s="3" t="s">
        <v>650</v>
      </c>
      <c r="G4422" s="3" t="s">
        <v>353</v>
      </c>
      <c r="H4422" s="4">
        <v>3200200</v>
      </c>
      <c r="I4422" s="4" t="s">
        <v>682</v>
      </c>
      <c r="J4422" s="4" t="s">
        <v>611</v>
      </c>
      <c r="K4422" s="4">
        <v>3204800</v>
      </c>
    </row>
    <row r="4423" spans="1:43" x14ac:dyDescent="0.3">
      <c r="B4423" s="44">
        <v>46102</v>
      </c>
      <c r="C4423" s="3" t="s">
        <v>416</v>
      </c>
      <c r="D4423" s="3" t="s">
        <v>68</v>
      </c>
      <c r="E4423" s="42"/>
      <c r="F4423" s="3" t="s">
        <v>650</v>
      </c>
      <c r="G4423" s="3" t="s">
        <v>390</v>
      </c>
      <c r="H4423" s="4">
        <v>3544509</v>
      </c>
      <c r="I4423" s="4" t="s">
        <v>651</v>
      </c>
      <c r="J4423" s="4" t="s">
        <v>387</v>
      </c>
      <c r="K4423" s="4">
        <v>3211403</v>
      </c>
    </row>
    <row r="4424" spans="1:43" x14ac:dyDescent="0.3">
      <c r="B4424" s="44">
        <v>46102</v>
      </c>
      <c r="C4424" s="3" t="s">
        <v>416</v>
      </c>
      <c r="D4424" s="3" t="s">
        <v>59</v>
      </c>
      <c r="E4424" s="42"/>
      <c r="F4424" s="3" t="s">
        <v>656</v>
      </c>
      <c r="G4424" s="3" t="s">
        <v>278</v>
      </c>
      <c r="H4424" s="4">
        <v>3199800</v>
      </c>
      <c r="I4424" s="3" t="s">
        <v>687</v>
      </c>
      <c r="J4424" s="3" t="s">
        <v>283</v>
      </c>
      <c r="K4424" s="4">
        <v>3194107</v>
      </c>
    </row>
    <row r="4425" spans="1:43" x14ac:dyDescent="0.3">
      <c r="B4425" s="44">
        <v>46102</v>
      </c>
      <c r="C4425" s="3" t="s">
        <v>416</v>
      </c>
      <c r="D4425" s="3" t="s">
        <v>65</v>
      </c>
      <c r="E4425" s="42"/>
      <c r="F4425" s="3" t="s">
        <v>656</v>
      </c>
      <c r="G4425" s="3" t="s">
        <v>326</v>
      </c>
      <c r="H4425" s="4">
        <v>3199904</v>
      </c>
      <c r="I4425" s="4" t="s">
        <v>676</v>
      </c>
      <c r="J4425" s="4" t="s">
        <v>356</v>
      </c>
      <c r="K4425" s="4">
        <v>3208608</v>
      </c>
    </row>
    <row r="4426" spans="1:43" x14ac:dyDescent="0.3">
      <c r="B4426" s="44">
        <v>46102</v>
      </c>
      <c r="C4426" s="3" t="s">
        <v>416</v>
      </c>
      <c r="D4426" s="3" t="s">
        <v>59</v>
      </c>
      <c r="E4426" s="42"/>
      <c r="F4426" s="4" t="s">
        <v>710</v>
      </c>
      <c r="G4426" s="4" t="s">
        <v>279</v>
      </c>
      <c r="H4426" s="4">
        <v>3199706</v>
      </c>
      <c r="I4426" s="4" t="s">
        <v>479</v>
      </c>
      <c r="J4426" s="4" t="s">
        <v>273</v>
      </c>
      <c r="K4426" s="4">
        <v>3211007</v>
      </c>
    </row>
    <row r="4427" spans="1:43" x14ac:dyDescent="0.3">
      <c r="B4427" s="44">
        <v>46102</v>
      </c>
      <c r="C4427" s="3" t="s">
        <v>416</v>
      </c>
      <c r="D4427" s="3" t="s">
        <v>64</v>
      </c>
      <c r="E4427" s="42">
        <v>4370907</v>
      </c>
      <c r="F4427" s="3" t="s">
        <v>710</v>
      </c>
      <c r="G4427" s="3" t="s">
        <v>354</v>
      </c>
      <c r="H4427" s="4">
        <v>3199404</v>
      </c>
      <c r="I4427" s="4" t="s">
        <v>672</v>
      </c>
      <c r="J4427" s="4" t="s">
        <v>316</v>
      </c>
      <c r="K4427" s="4">
        <v>3069105</v>
      </c>
    </row>
    <row r="4428" spans="1:43" x14ac:dyDescent="0.3">
      <c r="B4428" s="44">
        <v>46102</v>
      </c>
      <c r="C4428" s="3" t="s">
        <v>416</v>
      </c>
      <c r="D4428" s="3" t="s">
        <v>496</v>
      </c>
      <c r="E4428" s="42"/>
      <c r="F4428" s="3" t="s">
        <v>710</v>
      </c>
      <c r="G4428" s="3" t="s">
        <v>462</v>
      </c>
      <c r="H4428" s="4">
        <v>3352207</v>
      </c>
      <c r="I4428" s="3" t="s">
        <v>716</v>
      </c>
      <c r="J4428" s="3" t="s">
        <v>427</v>
      </c>
      <c r="K4428" s="4">
        <v>3351500</v>
      </c>
    </row>
    <row r="4429" spans="1:43" x14ac:dyDescent="0.3">
      <c r="B4429" s="44">
        <v>46102</v>
      </c>
      <c r="C4429" s="3" t="s">
        <v>416</v>
      </c>
      <c r="D4429" s="3" t="s">
        <v>499</v>
      </c>
      <c r="E4429" s="42"/>
      <c r="F4429" s="3" t="s">
        <v>710</v>
      </c>
      <c r="G4429" s="3" t="s">
        <v>230</v>
      </c>
      <c r="H4429" s="4">
        <v>3900609</v>
      </c>
      <c r="I4429" s="3" t="s">
        <v>723</v>
      </c>
      <c r="J4429" s="3" t="s">
        <v>599</v>
      </c>
      <c r="K4429" s="4" t="s">
        <v>556</v>
      </c>
      <c r="M4429" s="3" t="s">
        <v>230</v>
      </c>
      <c r="N4429" s="3" t="s">
        <v>578</v>
      </c>
    </row>
    <row r="4430" spans="1:43" x14ac:dyDescent="0.3">
      <c r="A4430" s="4"/>
      <c r="B4430" s="100">
        <v>46102</v>
      </c>
      <c r="C4430" s="98" t="s">
        <v>553</v>
      </c>
      <c r="D4430" s="4" t="s">
        <v>512</v>
      </c>
      <c r="E4430" s="4"/>
      <c r="F4430" s="73" t="s">
        <v>477</v>
      </c>
      <c r="G4430" s="73" t="s">
        <v>477</v>
      </c>
      <c r="H4430" s="73"/>
      <c r="I4430" s="73" t="s">
        <v>549</v>
      </c>
      <c r="J4430" s="73" t="s">
        <v>549</v>
      </c>
      <c r="K4430" s="15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</row>
    <row r="4431" spans="1:43" x14ac:dyDescent="0.3">
      <c r="B4431" s="44">
        <v>46102</v>
      </c>
      <c r="C4431" s="3" t="s">
        <v>416</v>
      </c>
      <c r="D4431" s="3" t="s">
        <v>504</v>
      </c>
      <c r="E4431" s="42"/>
      <c r="F4431" s="3" t="s">
        <v>645</v>
      </c>
      <c r="G4431" s="3" t="s">
        <v>37</v>
      </c>
      <c r="H4431" s="4">
        <v>3029903</v>
      </c>
      <c r="I4431" s="3" t="s">
        <v>666</v>
      </c>
      <c r="J4431" s="3" t="s">
        <v>12</v>
      </c>
      <c r="K4431" s="4">
        <v>3034206</v>
      </c>
    </row>
    <row r="4432" spans="1:43" x14ac:dyDescent="0.3">
      <c r="B4432" s="44">
        <v>46102</v>
      </c>
      <c r="C4432" s="3" t="s">
        <v>416</v>
      </c>
      <c r="D4432" s="3" t="s">
        <v>57</v>
      </c>
      <c r="E4432" s="42"/>
      <c r="F4432" s="3" t="s">
        <v>645</v>
      </c>
      <c r="G4432" s="3" t="s">
        <v>263</v>
      </c>
      <c r="H4432" s="4">
        <v>3198707</v>
      </c>
      <c r="I4432" s="32" t="s">
        <v>476</v>
      </c>
      <c r="J4432" s="32" t="s">
        <v>249</v>
      </c>
      <c r="K4432" s="15">
        <v>3038202</v>
      </c>
    </row>
    <row r="4433" spans="2:13" x14ac:dyDescent="0.3">
      <c r="B4433" s="44">
        <v>46102</v>
      </c>
      <c r="C4433" s="3" t="s">
        <v>416</v>
      </c>
      <c r="D4433" s="3" t="s">
        <v>487</v>
      </c>
      <c r="E4433" s="4"/>
      <c r="F4433" s="4" t="s">
        <v>645</v>
      </c>
      <c r="G4433" s="4" t="s">
        <v>114</v>
      </c>
      <c r="H4433" s="4">
        <v>3351000</v>
      </c>
      <c r="I4433" s="3" t="s">
        <v>479</v>
      </c>
      <c r="J4433" s="3" t="s">
        <v>127</v>
      </c>
      <c r="K4433" s="4">
        <v>3360809</v>
      </c>
    </row>
    <row r="4434" spans="2:13" x14ac:dyDescent="0.3">
      <c r="B4434" s="44">
        <v>46102</v>
      </c>
      <c r="C4434" s="3" t="s">
        <v>416</v>
      </c>
      <c r="D4434" s="3" t="s">
        <v>63</v>
      </c>
      <c r="E4434" s="42"/>
      <c r="F4434" s="104" t="s">
        <v>645</v>
      </c>
      <c r="G4434" s="104" t="s">
        <v>333</v>
      </c>
      <c r="H4434" s="74">
        <v>3198801</v>
      </c>
      <c r="I4434" s="3" t="s">
        <v>697</v>
      </c>
      <c r="J4434" s="3" t="s">
        <v>448</v>
      </c>
      <c r="K4434" s="4">
        <v>3036808</v>
      </c>
    </row>
    <row r="4435" spans="2:13" x14ac:dyDescent="0.3">
      <c r="B4435" s="44">
        <v>46102</v>
      </c>
      <c r="C4435" s="3" t="s">
        <v>416</v>
      </c>
      <c r="D4435" s="3" t="s">
        <v>488</v>
      </c>
      <c r="E4435" s="42"/>
      <c r="F4435" s="3" t="s">
        <v>645</v>
      </c>
      <c r="G4435" s="3" t="s">
        <v>123</v>
      </c>
      <c r="H4435" s="4">
        <v>3351104</v>
      </c>
      <c r="I4435" s="3" t="s">
        <v>690</v>
      </c>
      <c r="J4435" s="3" t="s">
        <v>118</v>
      </c>
      <c r="K4435" s="4">
        <v>3356005</v>
      </c>
    </row>
    <row r="4436" spans="2:13" x14ac:dyDescent="0.3">
      <c r="B4436" s="44">
        <v>46102</v>
      </c>
      <c r="C4436" s="3" t="s">
        <v>416</v>
      </c>
      <c r="D4436" s="3" t="s">
        <v>491</v>
      </c>
      <c r="E4436" s="42"/>
      <c r="F4436" s="3" t="s">
        <v>645</v>
      </c>
      <c r="G4436" s="3" t="s">
        <v>152</v>
      </c>
      <c r="H4436" s="4">
        <v>3351302</v>
      </c>
      <c r="I4436" s="3" t="s">
        <v>690</v>
      </c>
      <c r="J4436" s="3" t="s">
        <v>179</v>
      </c>
      <c r="K4436" s="4">
        <v>3818900</v>
      </c>
    </row>
    <row r="4437" spans="2:13" x14ac:dyDescent="0.3">
      <c r="B4437" s="44">
        <v>46102</v>
      </c>
      <c r="C4437" s="3" t="s">
        <v>416</v>
      </c>
      <c r="D4437" s="3" t="s">
        <v>65</v>
      </c>
      <c r="E4437" s="42"/>
      <c r="F4437" s="3" t="s">
        <v>678</v>
      </c>
      <c r="G4437" s="3" t="s">
        <v>452</v>
      </c>
      <c r="H4437" s="4">
        <v>3198207</v>
      </c>
      <c r="I4437" s="4" t="s">
        <v>693</v>
      </c>
      <c r="J4437" s="4" t="s">
        <v>357</v>
      </c>
      <c r="K4437" s="4">
        <v>3206704</v>
      </c>
    </row>
    <row r="4438" spans="2:13" x14ac:dyDescent="0.3">
      <c r="B4438" s="44">
        <v>46102</v>
      </c>
      <c r="C4438" s="3" t="s">
        <v>416</v>
      </c>
      <c r="D4438" s="3" t="s">
        <v>497</v>
      </c>
      <c r="E4438" s="42"/>
      <c r="F4438" s="3" t="s">
        <v>678</v>
      </c>
      <c r="G4438" s="3" t="s">
        <v>172</v>
      </c>
      <c r="H4438" s="74">
        <v>3350709</v>
      </c>
      <c r="I4438" s="17" t="s">
        <v>660</v>
      </c>
      <c r="J4438" s="17" t="s">
        <v>212</v>
      </c>
      <c r="K4438" s="74">
        <v>3360007</v>
      </c>
    </row>
    <row r="4439" spans="2:13" x14ac:dyDescent="0.3">
      <c r="B4439" s="44">
        <v>46102</v>
      </c>
      <c r="C4439" s="3" t="s">
        <v>416</v>
      </c>
      <c r="D4439" s="3" t="s">
        <v>496</v>
      </c>
      <c r="E4439" s="42"/>
      <c r="F4439" s="3" t="s">
        <v>675</v>
      </c>
      <c r="G4439" s="3" t="s">
        <v>198</v>
      </c>
      <c r="H4439" s="4">
        <v>3350803</v>
      </c>
      <c r="I4439" s="4" t="s">
        <v>665</v>
      </c>
      <c r="J4439" s="4" t="s">
        <v>204</v>
      </c>
      <c r="K4439" s="4">
        <v>3357400</v>
      </c>
    </row>
    <row r="4440" spans="2:13" x14ac:dyDescent="0.3">
      <c r="B4440" s="44">
        <v>46102</v>
      </c>
      <c r="C4440" s="3" t="s">
        <v>416</v>
      </c>
      <c r="D4440" s="3" t="s">
        <v>499</v>
      </c>
      <c r="E4440" s="42"/>
      <c r="F4440" s="3" t="s">
        <v>675</v>
      </c>
      <c r="G4440" s="3" t="s">
        <v>572</v>
      </c>
      <c r="H4440" s="53">
        <v>3350303</v>
      </c>
      <c r="I4440" s="3" t="s">
        <v>651</v>
      </c>
      <c r="J4440" s="3" t="s">
        <v>226</v>
      </c>
      <c r="K4440" s="4">
        <v>3361902</v>
      </c>
      <c r="M4440" s="51"/>
    </row>
    <row r="4441" spans="2:13" x14ac:dyDescent="0.3">
      <c r="B4441" s="44">
        <v>46102</v>
      </c>
      <c r="C4441" s="3" t="s">
        <v>416</v>
      </c>
      <c r="D4441" s="4" t="s">
        <v>614</v>
      </c>
      <c r="E4441" s="42"/>
      <c r="F4441" s="3" t="s">
        <v>675</v>
      </c>
      <c r="G4441" s="3" t="s">
        <v>403</v>
      </c>
      <c r="H4441" s="4">
        <v>3198509</v>
      </c>
      <c r="I4441" s="4" t="s">
        <v>710</v>
      </c>
      <c r="J4441" s="4" t="s">
        <v>385</v>
      </c>
      <c r="K4441" s="4">
        <v>3199602</v>
      </c>
    </row>
    <row r="4442" spans="2:13" x14ac:dyDescent="0.3">
      <c r="B4442" s="44">
        <v>46102</v>
      </c>
      <c r="C4442" s="3" t="s">
        <v>416</v>
      </c>
      <c r="D4442" s="3" t="s">
        <v>590</v>
      </c>
      <c r="E4442" s="42"/>
      <c r="F4442" s="3" t="s">
        <v>691</v>
      </c>
      <c r="G4442" s="3" t="s">
        <v>289</v>
      </c>
      <c r="H4442" s="4">
        <v>3068804</v>
      </c>
      <c r="I4442" s="4" t="s">
        <v>474</v>
      </c>
      <c r="J4442" s="4" t="s">
        <v>317</v>
      </c>
      <c r="K4442" s="4">
        <v>3200700</v>
      </c>
    </row>
    <row r="4443" spans="2:13" x14ac:dyDescent="0.3">
      <c r="B4443" s="44">
        <v>46102</v>
      </c>
      <c r="C4443" s="3" t="s">
        <v>416</v>
      </c>
      <c r="D4443" s="3" t="s">
        <v>497</v>
      </c>
      <c r="E4443" s="42"/>
      <c r="F4443" s="17" t="s">
        <v>691</v>
      </c>
      <c r="G4443" s="17" t="s">
        <v>215</v>
      </c>
      <c r="H4443" s="74">
        <v>3350407</v>
      </c>
      <c r="I4443" s="17" t="s">
        <v>480</v>
      </c>
      <c r="J4443" s="17" t="s">
        <v>428</v>
      </c>
      <c r="K4443" s="74">
        <v>3360309</v>
      </c>
    </row>
    <row r="4444" spans="2:13" x14ac:dyDescent="0.3">
      <c r="B4444" s="44">
        <v>46102</v>
      </c>
      <c r="C4444" s="3" t="s">
        <v>416</v>
      </c>
      <c r="D4444" s="3" t="s">
        <v>500</v>
      </c>
      <c r="E4444" s="42"/>
      <c r="F4444" s="3" t="s">
        <v>691</v>
      </c>
      <c r="G4444" s="3" t="s">
        <v>238</v>
      </c>
      <c r="H4444" s="4">
        <v>3350105</v>
      </c>
      <c r="I4444" s="4" t="s">
        <v>479</v>
      </c>
      <c r="J4444" s="4" t="s">
        <v>232</v>
      </c>
      <c r="K4444" s="4">
        <v>3360507</v>
      </c>
    </row>
    <row r="4445" spans="2:13" x14ac:dyDescent="0.3">
      <c r="B4445" s="44">
        <v>46102</v>
      </c>
      <c r="C4445" s="3" t="s">
        <v>416</v>
      </c>
      <c r="D4445" s="3" t="s">
        <v>494</v>
      </c>
      <c r="E4445" s="42"/>
      <c r="F4445" s="3" t="s">
        <v>689</v>
      </c>
      <c r="G4445" s="3" t="s">
        <v>189</v>
      </c>
      <c r="H4445" s="4">
        <v>3350209</v>
      </c>
      <c r="I4445" s="4" t="s">
        <v>708</v>
      </c>
      <c r="J4445" s="4" t="s">
        <v>141</v>
      </c>
      <c r="K4445" s="4">
        <v>3125802</v>
      </c>
    </row>
    <row r="4446" spans="2:13" x14ac:dyDescent="0.3">
      <c r="B4446" s="44">
        <v>46102</v>
      </c>
      <c r="C4446" s="3" t="s">
        <v>416</v>
      </c>
      <c r="D4446" s="3" t="s">
        <v>67</v>
      </c>
      <c r="E4446" s="42"/>
      <c r="F4446" s="3" t="s">
        <v>689</v>
      </c>
      <c r="G4446" s="3" t="s">
        <v>341</v>
      </c>
      <c r="H4446" s="4">
        <v>3197708</v>
      </c>
      <c r="I4446" s="4" t="s">
        <v>672</v>
      </c>
      <c r="J4446" s="4" t="s">
        <v>375</v>
      </c>
      <c r="K4446" s="4">
        <v>3069209</v>
      </c>
    </row>
    <row r="4447" spans="2:13" x14ac:dyDescent="0.3">
      <c r="B4447" s="44">
        <v>46102</v>
      </c>
      <c r="C4447" s="3" t="s">
        <v>416</v>
      </c>
      <c r="D4447" s="3" t="s">
        <v>70</v>
      </c>
      <c r="E4447" s="42"/>
      <c r="F4447" s="3" t="s">
        <v>689</v>
      </c>
      <c r="G4447" s="3" t="s">
        <v>404</v>
      </c>
      <c r="H4447" s="53">
        <v>3196605</v>
      </c>
      <c r="I4447" s="3" t="s">
        <v>688</v>
      </c>
      <c r="J4447" s="3" t="s">
        <v>379</v>
      </c>
      <c r="K4447" s="4">
        <v>3194409</v>
      </c>
    </row>
    <row r="4448" spans="2:13" x14ac:dyDescent="0.3">
      <c r="B4448" s="44">
        <v>46102</v>
      </c>
      <c r="C4448" s="3" t="s">
        <v>416</v>
      </c>
      <c r="D4448" s="3" t="s">
        <v>497</v>
      </c>
      <c r="E4448" s="42"/>
      <c r="F4448" s="4" t="s">
        <v>654</v>
      </c>
      <c r="G4448" s="4" t="s">
        <v>216</v>
      </c>
      <c r="H4448" s="4">
        <v>3349808</v>
      </c>
      <c r="I4448" s="17" t="s">
        <v>657</v>
      </c>
      <c r="J4448" s="17" t="s">
        <v>213</v>
      </c>
      <c r="K4448" s="74">
        <v>3359502</v>
      </c>
    </row>
    <row r="4449" spans="2:11" x14ac:dyDescent="0.3">
      <c r="B4449" s="44">
        <v>46102</v>
      </c>
      <c r="C4449" s="3" t="s">
        <v>416</v>
      </c>
      <c r="D4449" s="3" t="s">
        <v>500</v>
      </c>
      <c r="E4449" s="42"/>
      <c r="F4449" s="3" t="s">
        <v>654</v>
      </c>
      <c r="G4449" s="3" t="s">
        <v>576</v>
      </c>
      <c r="H4449" s="4">
        <v>4009003</v>
      </c>
      <c r="I4449" s="4" t="s">
        <v>663</v>
      </c>
      <c r="J4449" s="4" t="s">
        <v>239</v>
      </c>
      <c r="K4449" s="4">
        <v>3348809</v>
      </c>
    </row>
    <row r="4450" spans="2:11" x14ac:dyDescent="0.3">
      <c r="B4450" s="44">
        <v>46102</v>
      </c>
      <c r="C4450" s="3" t="s">
        <v>416</v>
      </c>
      <c r="D4450" s="3" t="s">
        <v>489</v>
      </c>
      <c r="E4450" s="4"/>
      <c r="F4450" s="4" t="s">
        <v>712</v>
      </c>
      <c r="G4450" s="4" t="s">
        <v>132</v>
      </c>
      <c r="H4450" s="4">
        <v>3068304</v>
      </c>
      <c r="I4450" s="3" t="s">
        <v>671</v>
      </c>
      <c r="J4450" s="3" t="s">
        <v>156</v>
      </c>
      <c r="K4450" s="4">
        <v>3359200</v>
      </c>
    </row>
    <row r="4451" spans="2:11" x14ac:dyDescent="0.3">
      <c r="B4451" s="44">
        <v>46102</v>
      </c>
      <c r="C4451" s="3" t="s">
        <v>416</v>
      </c>
      <c r="D4451" s="3" t="s">
        <v>63</v>
      </c>
      <c r="E4451" s="42"/>
      <c r="F4451" s="104" t="s">
        <v>712</v>
      </c>
      <c r="G4451" s="104" t="s">
        <v>334</v>
      </c>
      <c r="H4451" s="74">
        <v>3198009</v>
      </c>
      <c r="I4451" s="3" t="s">
        <v>478</v>
      </c>
      <c r="J4451" s="3" t="s">
        <v>331</v>
      </c>
      <c r="K4451" s="74">
        <v>3205403</v>
      </c>
    </row>
    <row r="4452" spans="2:11" x14ac:dyDescent="0.3">
      <c r="B4452" s="44">
        <v>46102</v>
      </c>
      <c r="C4452" s="3" t="s">
        <v>416</v>
      </c>
      <c r="D4452" s="4" t="s">
        <v>614</v>
      </c>
      <c r="E4452" s="42"/>
      <c r="F4452" s="3" t="s">
        <v>713</v>
      </c>
      <c r="G4452" s="3" t="s">
        <v>386</v>
      </c>
      <c r="H4452" s="4">
        <v>3900807</v>
      </c>
      <c r="I4452" s="4" t="s">
        <v>714</v>
      </c>
      <c r="J4452" s="4" t="s">
        <v>454</v>
      </c>
      <c r="K4452" s="4">
        <v>3820300</v>
      </c>
    </row>
    <row r="4453" spans="2:11" x14ac:dyDescent="0.3">
      <c r="B4453" s="44">
        <v>46102</v>
      </c>
      <c r="C4453" s="3" t="s">
        <v>416</v>
      </c>
      <c r="D4453" s="3" t="s">
        <v>495</v>
      </c>
      <c r="E4453" s="42"/>
      <c r="F4453" s="3" t="s">
        <v>713</v>
      </c>
      <c r="G4453" s="3" t="s">
        <v>199</v>
      </c>
      <c r="H4453" s="4">
        <v>3349100</v>
      </c>
      <c r="I4453" s="3" t="s">
        <v>570</v>
      </c>
      <c r="J4453" s="3" t="s">
        <v>570</v>
      </c>
      <c r="K4453" s="4" t="s">
        <v>556</v>
      </c>
    </row>
    <row r="4454" spans="2:11" x14ac:dyDescent="0.3">
      <c r="B4454" s="44">
        <v>46102</v>
      </c>
      <c r="C4454" s="3" t="s">
        <v>416</v>
      </c>
      <c r="D4454" s="4" t="s">
        <v>614</v>
      </c>
      <c r="E4454" s="42"/>
      <c r="F4454" s="3" t="s">
        <v>713</v>
      </c>
      <c r="G4454" s="3" t="s">
        <v>623</v>
      </c>
      <c r="H4454" s="4">
        <v>3819305</v>
      </c>
      <c r="I4454" s="4" t="s">
        <v>682</v>
      </c>
      <c r="J4454" s="4" t="s">
        <v>622</v>
      </c>
      <c r="K4454" s="4">
        <v>3969502</v>
      </c>
    </row>
    <row r="4455" spans="2:11" x14ac:dyDescent="0.3">
      <c r="B4455" s="44">
        <v>46102</v>
      </c>
      <c r="C4455" s="3" t="s">
        <v>416</v>
      </c>
      <c r="D4455" s="3" t="s">
        <v>487</v>
      </c>
      <c r="E4455" s="4"/>
      <c r="F4455" s="3" t="s">
        <v>663</v>
      </c>
      <c r="G4455" s="3" t="s">
        <v>419</v>
      </c>
      <c r="H4455" s="4">
        <v>3349204</v>
      </c>
      <c r="I4455" s="4" t="s">
        <v>471</v>
      </c>
      <c r="J4455" s="4" t="s">
        <v>133</v>
      </c>
      <c r="K4455" s="4">
        <v>3348705</v>
      </c>
    </row>
    <row r="4456" spans="2:11" x14ac:dyDescent="0.3">
      <c r="B4456" s="44">
        <v>46102</v>
      </c>
      <c r="C4456" s="3" t="s">
        <v>416</v>
      </c>
      <c r="D4456" s="3" t="s">
        <v>493</v>
      </c>
      <c r="E4456" s="42"/>
      <c r="F4456" s="3" t="s">
        <v>663</v>
      </c>
      <c r="G4456" s="3" t="s">
        <v>173</v>
      </c>
      <c r="H4456" s="4">
        <v>3349308</v>
      </c>
      <c r="I4456" s="4" t="s">
        <v>476</v>
      </c>
      <c r="J4456" s="4" t="s">
        <v>170</v>
      </c>
      <c r="K4456" s="4">
        <v>3356703</v>
      </c>
    </row>
    <row r="4457" spans="2:11" x14ac:dyDescent="0.3">
      <c r="B4457" s="44">
        <v>46102</v>
      </c>
      <c r="C4457" s="3" t="s">
        <v>416</v>
      </c>
      <c r="D4457" s="3" t="s">
        <v>65</v>
      </c>
      <c r="E4457" s="42"/>
      <c r="F4457" s="3" t="s">
        <v>663</v>
      </c>
      <c r="G4457" s="3" t="s">
        <v>290</v>
      </c>
      <c r="H4457" s="4">
        <v>3197500</v>
      </c>
      <c r="I4457" s="4" t="s">
        <v>653</v>
      </c>
      <c r="J4457" s="4" t="s">
        <v>451</v>
      </c>
      <c r="K4457" s="4">
        <v>3211309</v>
      </c>
    </row>
    <row r="4458" spans="2:11" x14ac:dyDescent="0.3">
      <c r="B4458" s="44">
        <v>46102</v>
      </c>
      <c r="C4458" s="3" t="s">
        <v>416</v>
      </c>
      <c r="D4458" s="3" t="s">
        <v>593</v>
      </c>
      <c r="E4458" s="42"/>
      <c r="F4458" s="3" t="s">
        <v>663</v>
      </c>
      <c r="G4458" s="3" t="s">
        <v>396</v>
      </c>
      <c r="H4458" s="4">
        <v>3197104</v>
      </c>
      <c r="I4458" s="4" t="s">
        <v>479</v>
      </c>
      <c r="J4458" s="4" t="s">
        <v>628</v>
      </c>
      <c r="K4458" s="4" t="s">
        <v>642</v>
      </c>
    </row>
    <row r="4459" spans="2:11" x14ac:dyDescent="0.3">
      <c r="B4459" s="44">
        <v>46102</v>
      </c>
      <c r="C4459" s="3" t="s">
        <v>416</v>
      </c>
      <c r="D4459" s="3" t="s">
        <v>56</v>
      </c>
      <c r="E4459" s="42"/>
      <c r="F4459" s="4" t="s">
        <v>471</v>
      </c>
      <c r="G4459" s="4" t="s">
        <v>441</v>
      </c>
      <c r="H4459" s="4">
        <v>3023409</v>
      </c>
      <c r="I4459" s="4" t="s">
        <v>696</v>
      </c>
      <c r="J4459" s="4" t="s">
        <v>261</v>
      </c>
      <c r="K4459" s="4">
        <v>3202302</v>
      </c>
    </row>
    <row r="4460" spans="2:11" x14ac:dyDescent="0.3">
      <c r="B4460" s="44">
        <v>46102</v>
      </c>
      <c r="C4460" s="3" t="s">
        <v>416</v>
      </c>
      <c r="D4460" s="3" t="s">
        <v>504</v>
      </c>
      <c r="E4460" s="42"/>
      <c r="F4460" s="3" t="s">
        <v>471</v>
      </c>
      <c r="G4460" s="3" t="s">
        <v>14</v>
      </c>
      <c r="H4460" s="4">
        <v>3348601</v>
      </c>
      <c r="I4460" s="4" t="s">
        <v>480</v>
      </c>
      <c r="J4460" s="4" t="s">
        <v>505</v>
      </c>
      <c r="K4460" s="4">
        <v>3033207</v>
      </c>
    </row>
    <row r="4461" spans="2:11" x14ac:dyDescent="0.3">
      <c r="B4461" s="44">
        <v>46102</v>
      </c>
      <c r="C4461" s="3" t="s">
        <v>416</v>
      </c>
      <c r="D4461" s="3" t="s">
        <v>56</v>
      </c>
      <c r="E4461" s="42"/>
      <c r="F4461" s="3" t="s">
        <v>471</v>
      </c>
      <c r="G4461" s="3" t="s">
        <v>254</v>
      </c>
      <c r="H4461" s="4">
        <v>3068908</v>
      </c>
      <c r="I4461" s="4" t="s">
        <v>661</v>
      </c>
      <c r="J4461" s="4" t="s">
        <v>439</v>
      </c>
      <c r="K4461" s="4">
        <v>3023701</v>
      </c>
    </row>
    <row r="4462" spans="2:11" x14ac:dyDescent="0.3">
      <c r="B4462" s="44">
        <v>46102</v>
      </c>
      <c r="C4462" s="3" t="s">
        <v>416</v>
      </c>
      <c r="D4462" s="3" t="s">
        <v>493</v>
      </c>
      <c r="E4462" s="42"/>
      <c r="F4462" s="3" t="s">
        <v>471</v>
      </c>
      <c r="G4462" s="3" t="s">
        <v>174</v>
      </c>
      <c r="H4462" s="4">
        <v>3348101</v>
      </c>
      <c r="I4462" s="4" t="s">
        <v>479</v>
      </c>
      <c r="J4462" s="4" t="s">
        <v>211</v>
      </c>
      <c r="K4462" s="4">
        <v>3361204</v>
      </c>
    </row>
    <row r="4463" spans="2:11" x14ac:dyDescent="0.3">
      <c r="B4463" s="44">
        <v>46102</v>
      </c>
      <c r="C4463" s="3" t="s">
        <v>416</v>
      </c>
      <c r="D4463" s="3" t="s">
        <v>62</v>
      </c>
      <c r="E4463" s="42"/>
      <c r="F4463" s="3" t="s">
        <v>471</v>
      </c>
      <c r="G4463" s="3" t="s">
        <v>328</v>
      </c>
      <c r="H4463" s="4">
        <v>3196803</v>
      </c>
      <c r="I4463" s="3" t="s">
        <v>476</v>
      </c>
      <c r="J4463" s="3" t="s">
        <v>287</v>
      </c>
      <c r="K4463" s="4">
        <v>3206600</v>
      </c>
    </row>
    <row r="4464" spans="2:11" x14ac:dyDescent="0.3">
      <c r="B4464" s="44">
        <v>46102</v>
      </c>
      <c r="C4464" s="3" t="s">
        <v>416</v>
      </c>
      <c r="D4464" s="3" t="s">
        <v>493</v>
      </c>
      <c r="E4464" s="42"/>
      <c r="F4464" s="3" t="s">
        <v>471</v>
      </c>
      <c r="G4464" s="3" t="s">
        <v>190</v>
      </c>
      <c r="H4464" s="4">
        <v>3348205</v>
      </c>
      <c r="I4464" s="4" t="s">
        <v>476</v>
      </c>
      <c r="J4464" s="4" t="s">
        <v>169</v>
      </c>
      <c r="K4464" s="4">
        <v>3356609</v>
      </c>
    </row>
    <row r="4465" spans="2:13" x14ac:dyDescent="0.3">
      <c r="B4465" s="44">
        <v>46102</v>
      </c>
      <c r="C4465" s="3" t="s">
        <v>416</v>
      </c>
      <c r="D4465" s="3" t="s">
        <v>65</v>
      </c>
      <c r="E4465" s="42"/>
      <c r="F4465" s="3" t="s">
        <v>471</v>
      </c>
      <c r="G4465" s="3" t="s">
        <v>363</v>
      </c>
      <c r="H4465" s="4">
        <v>3196907</v>
      </c>
      <c r="I4465" s="4" t="s">
        <v>718</v>
      </c>
      <c r="J4465" s="4" t="s">
        <v>359</v>
      </c>
      <c r="K4465" s="4">
        <v>3204602</v>
      </c>
    </row>
    <row r="4466" spans="2:13" x14ac:dyDescent="0.3">
      <c r="B4466" s="44">
        <v>46102</v>
      </c>
      <c r="C4466" s="3" t="s">
        <v>416</v>
      </c>
      <c r="D4466" s="3" t="s">
        <v>500</v>
      </c>
      <c r="E4466" s="42"/>
      <c r="F4466" s="3" t="s">
        <v>471</v>
      </c>
      <c r="G4466" s="3" t="s">
        <v>467</v>
      </c>
      <c r="H4466" s="4">
        <v>3819409</v>
      </c>
      <c r="I4466" s="4" t="s">
        <v>657</v>
      </c>
      <c r="J4466" s="4" t="s">
        <v>574</v>
      </c>
      <c r="K4466" s="4">
        <v>3359606</v>
      </c>
    </row>
    <row r="4467" spans="2:13" x14ac:dyDescent="0.3">
      <c r="B4467" s="44">
        <v>46102</v>
      </c>
      <c r="C4467" s="3" t="s">
        <v>416</v>
      </c>
      <c r="D4467" s="3" t="s">
        <v>487</v>
      </c>
      <c r="E4467" s="4"/>
      <c r="F4467" s="4" t="s">
        <v>692</v>
      </c>
      <c r="G4467" s="4" t="s">
        <v>115</v>
      </c>
      <c r="H4467" s="4">
        <v>3068106</v>
      </c>
      <c r="I4467" s="4" t="s">
        <v>721</v>
      </c>
      <c r="J4467" s="4" t="s">
        <v>124</v>
      </c>
      <c r="K4467" s="4">
        <v>3267501</v>
      </c>
    </row>
    <row r="4468" spans="2:13" x14ac:dyDescent="0.3">
      <c r="B4468" s="44">
        <v>46102</v>
      </c>
      <c r="C4468" s="3" t="s">
        <v>416</v>
      </c>
      <c r="D4468" s="3" t="s">
        <v>64</v>
      </c>
      <c r="E4468" s="42">
        <v>4370907</v>
      </c>
      <c r="F4468" s="3" t="s">
        <v>692</v>
      </c>
      <c r="G4468" s="3" t="s">
        <v>342</v>
      </c>
      <c r="H4468" s="4">
        <v>3196501</v>
      </c>
      <c r="I4468" s="4" t="s">
        <v>671</v>
      </c>
      <c r="J4468" s="4" t="s">
        <v>312</v>
      </c>
      <c r="K4468" s="4">
        <v>3209107</v>
      </c>
    </row>
    <row r="4469" spans="2:13" x14ac:dyDescent="0.3">
      <c r="B4469" s="44">
        <v>46102</v>
      </c>
      <c r="C4469" s="3" t="s">
        <v>416</v>
      </c>
      <c r="D4469" s="3" t="s">
        <v>494</v>
      </c>
      <c r="E4469" s="42"/>
      <c r="F4469" s="3" t="s">
        <v>692</v>
      </c>
      <c r="G4469" s="3" t="s">
        <v>144</v>
      </c>
      <c r="H4469" s="4">
        <v>3347904</v>
      </c>
      <c r="I4469" s="4" t="s">
        <v>472</v>
      </c>
      <c r="J4469" s="4" t="s">
        <v>186</v>
      </c>
      <c r="K4469" s="4">
        <v>3357702</v>
      </c>
    </row>
    <row r="4470" spans="2:13" x14ac:dyDescent="0.3">
      <c r="B4470" s="44">
        <v>46102</v>
      </c>
      <c r="C4470" s="3" t="s">
        <v>416</v>
      </c>
      <c r="D4470" s="3" t="s">
        <v>501</v>
      </c>
      <c r="E4470" s="42"/>
      <c r="F4470" s="3" t="s">
        <v>692</v>
      </c>
      <c r="G4470" s="3" t="s">
        <v>582</v>
      </c>
      <c r="H4470" s="53">
        <v>3900901</v>
      </c>
      <c r="I4470" s="3" t="s">
        <v>475</v>
      </c>
      <c r="J4470" s="3" t="s">
        <v>241</v>
      </c>
      <c r="K4470" s="4">
        <v>3362401</v>
      </c>
      <c r="M4470" s="51"/>
    </row>
    <row r="4471" spans="2:13" x14ac:dyDescent="0.3">
      <c r="B4471" s="44">
        <v>46102</v>
      </c>
      <c r="C4471" s="3" t="s">
        <v>416</v>
      </c>
      <c r="D4471" s="3" t="s">
        <v>488</v>
      </c>
      <c r="E4471" s="42"/>
      <c r="F4471" s="4" t="s">
        <v>698</v>
      </c>
      <c r="G4471" s="4" t="s">
        <v>561</v>
      </c>
      <c r="H4471" s="4" t="s">
        <v>563</v>
      </c>
      <c r="I4471" s="4" t="s">
        <v>645</v>
      </c>
      <c r="J4471" s="4" t="s">
        <v>151</v>
      </c>
      <c r="K4471" s="4">
        <v>3351208</v>
      </c>
    </row>
    <row r="4472" spans="2:13" x14ac:dyDescent="0.3">
      <c r="B4472" s="44">
        <v>46102</v>
      </c>
      <c r="C4472" s="3" t="s">
        <v>416</v>
      </c>
      <c r="D4472" s="3" t="s">
        <v>58</v>
      </c>
      <c r="E4472" s="42"/>
      <c r="F4472" s="3" t="s">
        <v>698</v>
      </c>
      <c r="G4472" s="3" t="s">
        <v>587</v>
      </c>
      <c r="H4472" s="4" t="s">
        <v>563</v>
      </c>
      <c r="I4472" s="3" t="s">
        <v>712</v>
      </c>
      <c r="J4472" s="3" t="s">
        <v>270</v>
      </c>
      <c r="K4472" s="4">
        <v>3069605</v>
      </c>
    </row>
    <row r="4473" spans="2:13" x14ac:dyDescent="0.3">
      <c r="B4473" s="44">
        <v>46102</v>
      </c>
      <c r="C4473" s="3" t="s">
        <v>416</v>
      </c>
      <c r="D4473" s="3" t="s">
        <v>60</v>
      </c>
      <c r="E4473" s="42"/>
      <c r="F4473" s="3" t="s">
        <v>698</v>
      </c>
      <c r="G4473" s="3" t="s">
        <v>595</v>
      </c>
      <c r="H4473" s="4" t="s">
        <v>563</v>
      </c>
      <c r="I4473" s="3" t="s">
        <v>706</v>
      </c>
      <c r="J4473" s="3" t="s">
        <v>299</v>
      </c>
      <c r="K4473" s="32">
        <v>3199102</v>
      </c>
    </row>
    <row r="4474" spans="2:13" x14ac:dyDescent="0.3">
      <c r="B4474" s="44">
        <v>46102</v>
      </c>
      <c r="C4474" s="3" t="s">
        <v>416</v>
      </c>
      <c r="D4474" s="3" t="s">
        <v>590</v>
      </c>
      <c r="E4474" s="42"/>
      <c r="F4474" s="3" t="s">
        <v>699</v>
      </c>
      <c r="G4474" s="3" t="s">
        <v>594</v>
      </c>
      <c r="H4474" s="4">
        <v>3196407</v>
      </c>
      <c r="I4474" s="4" t="s">
        <v>693</v>
      </c>
      <c r="J4474" s="4" t="s">
        <v>322</v>
      </c>
      <c r="K4474" s="4">
        <v>3207005</v>
      </c>
    </row>
    <row r="4475" spans="2:13" x14ac:dyDescent="0.3">
      <c r="B4475" s="44">
        <v>46102</v>
      </c>
      <c r="C4475" s="3" t="s">
        <v>416</v>
      </c>
      <c r="D4475" s="4" t="s">
        <v>614</v>
      </c>
      <c r="E4475" s="42"/>
      <c r="F4475" s="3" t="s">
        <v>699</v>
      </c>
      <c r="G4475" s="3" t="s">
        <v>624</v>
      </c>
      <c r="H4475" s="4">
        <v>3196105</v>
      </c>
      <c r="I4475" s="4" t="s">
        <v>666</v>
      </c>
      <c r="J4475" s="4" t="s">
        <v>453</v>
      </c>
      <c r="K4475" s="4">
        <v>3206006</v>
      </c>
    </row>
    <row r="4476" spans="2:13" x14ac:dyDescent="0.3">
      <c r="B4476" s="44">
        <v>46102</v>
      </c>
      <c r="C4476" s="3" t="s">
        <v>416</v>
      </c>
      <c r="D4476" s="3" t="s">
        <v>486</v>
      </c>
      <c r="E4476" s="42"/>
      <c r="F4476" s="3" t="s">
        <v>681</v>
      </c>
      <c r="G4476" s="3" t="s">
        <v>105</v>
      </c>
      <c r="H4476" s="4">
        <v>3035809</v>
      </c>
      <c r="I4476" s="3" t="s">
        <v>682</v>
      </c>
      <c r="J4476" s="3" t="s">
        <v>559</v>
      </c>
      <c r="K4476" s="4">
        <v>3969200</v>
      </c>
    </row>
    <row r="4477" spans="2:13" x14ac:dyDescent="0.3">
      <c r="B4477" s="44">
        <v>46102</v>
      </c>
      <c r="C4477" s="3" t="s">
        <v>416</v>
      </c>
      <c r="D4477" s="3" t="s">
        <v>59</v>
      </c>
      <c r="E4477" s="42"/>
      <c r="F4477" s="3" t="s">
        <v>681</v>
      </c>
      <c r="G4477" s="3" t="s">
        <v>281</v>
      </c>
      <c r="H4477" s="4">
        <v>3195700</v>
      </c>
      <c r="I4477" s="3" t="s">
        <v>653</v>
      </c>
      <c r="J4477" s="3" t="s">
        <v>272</v>
      </c>
      <c r="K4477" s="4">
        <v>3211205</v>
      </c>
    </row>
    <row r="4478" spans="2:13" x14ac:dyDescent="0.3">
      <c r="B4478" s="44">
        <v>46102</v>
      </c>
      <c r="C4478" s="3" t="s">
        <v>416</v>
      </c>
      <c r="D4478" s="3" t="s">
        <v>69</v>
      </c>
      <c r="E4478" s="42"/>
      <c r="F4478" s="3" t="s">
        <v>681</v>
      </c>
      <c r="G4478" s="3" t="s">
        <v>365</v>
      </c>
      <c r="H4478" s="4">
        <v>3195804</v>
      </c>
      <c r="I4478" s="3" t="s">
        <v>656</v>
      </c>
      <c r="J4478" s="3" t="s">
        <v>361</v>
      </c>
      <c r="K4478" s="4">
        <v>3200002</v>
      </c>
    </row>
    <row r="4479" spans="2:13" x14ac:dyDescent="0.3">
      <c r="B4479" s="44">
        <v>46102</v>
      </c>
      <c r="C4479" s="3" t="s">
        <v>416</v>
      </c>
      <c r="D4479" s="3" t="s">
        <v>593</v>
      </c>
      <c r="E4479" s="42"/>
      <c r="F4479" s="3" t="s">
        <v>681</v>
      </c>
      <c r="G4479" s="3" t="s">
        <v>397</v>
      </c>
      <c r="H4479" s="4">
        <v>3195908</v>
      </c>
      <c r="I4479" s="15" t="s">
        <v>570</v>
      </c>
      <c r="J4479" s="15" t="s">
        <v>570</v>
      </c>
      <c r="K4479" s="74" t="s">
        <v>556</v>
      </c>
    </row>
    <row r="4480" spans="2:13" x14ac:dyDescent="0.3">
      <c r="B4480" s="44">
        <v>46102</v>
      </c>
      <c r="C4480" s="3" t="s">
        <v>416</v>
      </c>
      <c r="D4480" s="3" t="s">
        <v>64</v>
      </c>
      <c r="E4480" s="42">
        <v>4370907</v>
      </c>
      <c r="F4480" s="3" t="s">
        <v>670</v>
      </c>
      <c r="G4480" s="3" t="s">
        <v>343</v>
      </c>
      <c r="H4480" s="4">
        <v>3195606</v>
      </c>
      <c r="I4480" s="4" t="s">
        <v>673</v>
      </c>
      <c r="J4480" s="4" t="s">
        <v>355</v>
      </c>
      <c r="K4480" s="4">
        <v>3195002</v>
      </c>
    </row>
    <row r="4481" spans="1:43" x14ac:dyDescent="0.3">
      <c r="B4481" s="44">
        <v>46102</v>
      </c>
      <c r="C4481" s="3" t="s">
        <v>416</v>
      </c>
      <c r="D4481" s="3" t="s">
        <v>486</v>
      </c>
      <c r="E4481" s="42"/>
      <c r="F4481" s="3" t="s">
        <v>673</v>
      </c>
      <c r="G4481" s="3" t="s">
        <v>106</v>
      </c>
      <c r="H4481" s="4">
        <v>3067607</v>
      </c>
      <c r="I4481" s="4" t="s">
        <v>680</v>
      </c>
      <c r="J4481" s="4" t="s">
        <v>98</v>
      </c>
      <c r="K4481" s="4">
        <v>3358909</v>
      </c>
    </row>
    <row r="4482" spans="1:43" x14ac:dyDescent="0.3">
      <c r="B4482" s="44">
        <v>46102</v>
      </c>
      <c r="C4482" s="3" t="s">
        <v>416</v>
      </c>
      <c r="D4482" s="3" t="s">
        <v>492</v>
      </c>
      <c r="E4482" s="42"/>
      <c r="F4482" s="4" t="s">
        <v>673</v>
      </c>
      <c r="G4482" s="4" t="s">
        <v>134</v>
      </c>
      <c r="H4482" s="4">
        <v>3347102</v>
      </c>
      <c r="I4482" s="4" t="s">
        <v>713</v>
      </c>
      <c r="J4482" s="4" t="s">
        <v>165</v>
      </c>
      <c r="K4482" s="4">
        <v>3349006</v>
      </c>
    </row>
    <row r="4483" spans="1:43" x14ac:dyDescent="0.3">
      <c r="B4483" s="44">
        <v>46102</v>
      </c>
      <c r="C4483" s="3" t="s">
        <v>416</v>
      </c>
      <c r="D4483" s="4" t="s">
        <v>614</v>
      </c>
      <c r="E4483" s="42"/>
      <c r="F4483" s="3" t="s">
        <v>673</v>
      </c>
      <c r="G4483" s="3" t="s">
        <v>455</v>
      </c>
      <c r="H4483" s="4">
        <v>3961604</v>
      </c>
      <c r="I4483" s="4" t="s">
        <v>646</v>
      </c>
      <c r="J4483" s="4" t="s">
        <v>380</v>
      </c>
      <c r="K4483" s="4">
        <v>3202208</v>
      </c>
    </row>
    <row r="4484" spans="1:43" x14ac:dyDescent="0.3">
      <c r="B4484" s="44">
        <v>46102</v>
      </c>
      <c r="C4484" s="3" t="s">
        <v>416</v>
      </c>
      <c r="D4484" s="3" t="s">
        <v>490</v>
      </c>
      <c r="E4484" s="4"/>
      <c r="F4484" s="3" t="s">
        <v>717</v>
      </c>
      <c r="G4484" s="3" t="s">
        <v>425</v>
      </c>
      <c r="H4484" s="4">
        <v>3347206</v>
      </c>
      <c r="I4484" s="4" t="s">
        <v>676</v>
      </c>
      <c r="J4484" s="4" t="s">
        <v>138</v>
      </c>
      <c r="K4484" s="4">
        <v>3067805</v>
      </c>
    </row>
    <row r="4485" spans="1:43" x14ac:dyDescent="0.3">
      <c r="B4485" s="44">
        <v>46102</v>
      </c>
      <c r="C4485" s="3" t="s">
        <v>416</v>
      </c>
      <c r="D4485" s="3" t="s">
        <v>70</v>
      </c>
      <c r="E4485" s="42"/>
      <c r="F4485" s="3" t="s">
        <v>717</v>
      </c>
      <c r="G4485" s="3" t="s">
        <v>434</v>
      </c>
      <c r="H4485" s="4">
        <v>3195408</v>
      </c>
      <c r="I4485" s="3" t="s">
        <v>672</v>
      </c>
      <c r="J4485" s="3" t="s">
        <v>401</v>
      </c>
      <c r="K4485" s="4">
        <v>3202000</v>
      </c>
    </row>
    <row r="4486" spans="1:43" x14ac:dyDescent="0.3">
      <c r="B4486" s="44">
        <v>46102</v>
      </c>
      <c r="C4486" s="3" t="s">
        <v>416</v>
      </c>
      <c r="D4486" s="3" t="s">
        <v>501</v>
      </c>
      <c r="E4486" s="42"/>
      <c r="F4486" s="3" t="s">
        <v>717</v>
      </c>
      <c r="G4486" s="3" t="s">
        <v>583</v>
      </c>
      <c r="H4486" s="4">
        <v>4022908</v>
      </c>
      <c r="I4486" s="3" t="s">
        <v>689</v>
      </c>
      <c r="J4486" s="3" t="s">
        <v>580</v>
      </c>
      <c r="K4486" s="4">
        <v>3350001</v>
      </c>
      <c r="M4486" s="51"/>
    </row>
    <row r="4487" spans="1:43" x14ac:dyDescent="0.3">
      <c r="A4487" s="4"/>
      <c r="B4487" s="100">
        <v>46102</v>
      </c>
      <c r="C4487" s="98" t="s">
        <v>553</v>
      </c>
      <c r="D4487" s="4" t="s">
        <v>508</v>
      </c>
      <c r="E4487" s="4"/>
      <c r="F4487" s="73" t="s">
        <v>511</v>
      </c>
      <c r="G4487" s="73" t="s">
        <v>511</v>
      </c>
      <c r="H4487" s="73"/>
      <c r="I4487" s="73" t="s">
        <v>554</v>
      </c>
      <c r="J4487" s="73" t="s">
        <v>9</v>
      </c>
      <c r="K4487" s="15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</row>
    <row r="4488" spans="1:43" x14ac:dyDescent="0.3">
      <c r="B4488" s="44">
        <v>46102</v>
      </c>
      <c r="C4488" s="3" t="s">
        <v>416</v>
      </c>
      <c r="D4488" s="3" t="s">
        <v>489</v>
      </c>
      <c r="E4488" s="4"/>
      <c r="F4488" s="4" t="s">
        <v>679</v>
      </c>
      <c r="G4488" s="4" t="s">
        <v>135</v>
      </c>
      <c r="H4488" s="4">
        <v>3346603</v>
      </c>
      <c r="I4488" s="3" t="s">
        <v>662</v>
      </c>
      <c r="J4488" s="3" t="s">
        <v>139</v>
      </c>
      <c r="K4488" s="4">
        <v>3358305</v>
      </c>
    </row>
    <row r="4489" spans="1:43" x14ac:dyDescent="0.3">
      <c r="B4489" s="44">
        <v>46102</v>
      </c>
      <c r="C4489" s="3" t="s">
        <v>416</v>
      </c>
      <c r="D4489" s="3" t="s">
        <v>593</v>
      </c>
      <c r="E4489" s="42"/>
      <c r="F4489" s="3" t="s">
        <v>679</v>
      </c>
      <c r="G4489" s="3" t="s">
        <v>633</v>
      </c>
      <c r="H4489" s="4">
        <v>3194607</v>
      </c>
      <c r="I4489" s="4" t="s">
        <v>661</v>
      </c>
      <c r="J4489" s="4" t="s">
        <v>640</v>
      </c>
      <c r="K4489" s="4">
        <v>3210102</v>
      </c>
    </row>
    <row r="4490" spans="1:43" x14ac:dyDescent="0.3">
      <c r="B4490" s="44">
        <v>46102</v>
      </c>
      <c r="C4490" s="3" t="s">
        <v>416</v>
      </c>
      <c r="D4490" s="3" t="s">
        <v>498</v>
      </c>
      <c r="E4490" s="42"/>
      <c r="F4490" s="3" t="s">
        <v>688</v>
      </c>
      <c r="G4490" s="3" t="s">
        <v>146</v>
      </c>
      <c r="H4490" s="53">
        <v>3346405</v>
      </c>
      <c r="I4490" s="3" t="s">
        <v>717</v>
      </c>
      <c r="J4490" s="3" t="s">
        <v>429</v>
      </c>
      <c r="K4490" s="4">
        <v>3346905</v>
      </c>
    </row>
    <row r="4491" spans="1:43" x14ac:dyDescent="0.3">
      <c r="B4491" s="44">
        <v>46102</v>
      </c>
      <c r="C4491" s="3" t="s">
        <v>416</v>
      </c>
      <c r="D4491" s="3" t="s">
        <v>64</v>
      </c>
      <c r="E4491" s="42">
        <v>4370907</v>
      </c>
      <c r="F4491" s="3" t="s">
        <v>688</v>
      </c>
      <c r="G4491" s="3" t="s">
        <v>318</v>
      </c>
      <c r="H4491" s="4">
        <v>3037401</v>
      </c>
      <c r="I4491" s="4" t="s">
        <v>717</v>
      </c>
      <c r="J4491" s="4" t="s">
        <v>432</v>
      </c>
      <c r="K4491" s="4">
        <v>3195106</v>
      </c>
    </row>
    <row r="4492" spans="1:43" x14ac:dyDescent="0.3">
      <c r="B4492" s="44">
        <v>46102</v>
      </c>
      <c r="C4492" s="3" t="s">
        <v>416</v>
      </c>
      <c r="D4492" s="3" t="s">
        <v>67</v>
      </c>
      <c r="E4492" s="42"/>
      <c r="F4492" s="3" t="s">
        <v>688</v>
      </c>
      <c r="G4492" s="3" t="s">
        <v>344</v>
      </c>
      <c r="H4492" s="4">
        <v>3194909</v>
      </c>
      <c r="I4492" s="3" t="s">
        <v>475</v>
      </c>
      <c r="J4492" s="3" t="s">
        <v>336</v>
      </c>
      <c r="K4492" s="4">
        <v>3211809</v>
      </c>
    </row>
    <row r="4493" spans="1:43" x14ac:dyDescent="0.3">
      <c r="B4493" s="44">
        <v>46102</v>
      </c>
      <c r="C4493" s="3" t="s">
        <v>416</v>
      </c>
      <c r="D4493" s="3" t="s">
        <v>504</v>
      </c>
      <c r="E4493" s="42"/>
      <c r="F4493" s="4" t="s">
        <v>720</v>
      </c>
      <c r="G4493" s="4" t="s">
        <v>13</v>
      </c>
      <c r="H4493" s="4">
        <v>3125906</v>
      </c>
      <c r="I4493" s="4" t="s">
        <v>476</v>
      </c>
      <c r="J4493" s="4" t="s">
        <v>100</v>
      </c>
      <c r="K4493" s="4">
        <v>3125302</v>
      </c>
    </row>
    <row r="4494" spans="1:43" x14ac:dyDescent="0.3">
      <c r="B4494" s="44">
        <v>46102</v>
      </c>
      <c r="C4494" s="3" t="s">
        <v>416</v>
      </c>
      <c r="D4494" s="3" t="s">
        <v>488</v>
      </c>
      <c r="E4494" s="42"/>
      <c r="F4494" s="3" t="s">
        <v>720</v>
      </c>
      <c r="G4494" s="3" t="s">
        <v>153</v>
      </c>
      <c r="H4494" s="4">
        <v>3033405</v>
      </c>
      <c r="I4494" s="4" t="s">
        <v>695</v>
      </c>
      <c r="J4494" s="4" t="s">
        <v>147</v>
      </c>
      <c r="K4494" s="4">
        <v>3067409</v>
      </c>
    </row>
    <row r="4495" spans="1:43" x14ac:dyDescent="0.3">
      <c r="B4495" s="44">
        <v>46102</v>
      </c>
      <c r="C4495" s="3" t="s">
        <v>416</v>
      </c>
      <c r="D4495" s="3" t="s">
        <v>494</v>
      </c>
      <c r="E4495" s="42"/>
      <c r="F4495" s="4" t="s">
        <v>647</v>
      </c>
      <c r="G4495" s="4" t="s">
        <v>191</v>
      </c>
      <c r="H4495" s="4">
        <v>3345708</v>
      </c>
      <c r="I4495" s="4" t="s">
        <v>662</v>
      </c>
      <c r="J4495" s="4" t="s">
        <v>242</v>
      </c>
      <c r="K4495" s="4">
        <v>3358107</v>
      </c>
    </row>
    <row r="4496" spans="1:43" x14ac:dyDescent="0.3">
      <c r="B4496" s="44">
        <v>46102</v>
      </c>
      <c r="C4496" s="3" t="s">
        <v>416</v>
      </c>
      <c r="D4496" s="3" t="s">
        <v>498</v>
      </c>
      <c r="E4496" s="42"/>
      <c r="F4496" s="3" t="s">
        <v>647</v>
      </c>
      <c r="G4496" s="3" t="s">
        <v>225</v>
      </c>
      <c r="H4496" s="4">
        <v>3345802</v>
      </c>
      <c r="I4496" s="3" t="s">
        <v>714</v>
      </c>
      <c r="J4496" s="3" t="s">
        <v>222</v>
      </c>
      <c r="K4496" s="4">
        <v>3348507</v>
      </c>
    </row>
    <row r="4497" spans="1:43" x14ac:dyDescent="0.3">
      <c r="B4497" s="44">
        <v>46102</v>
      </c>
      <c r="C4497" s="3" t="s">
        <v>416</v>
      </c>
      <c r="D4497" s="3" t="s">
        <v>592</v>
      </c>
      <c r="E4497" s="42"/>
      <c r="F4497" s="3" t="s">
        <v>647</v>
      </c>
      <c r="G4497" s="3" t="s">
        <v>405</v>
      </c>
      <c r="H4497" s="74">
        <v>3901108</v>
      </c>
      <c r="I4497" s="3" t="s">
        <v>662</v>
      </c>
      <c r="J4497" s="3" t="s">
        <v>634</v>
      </c>
      <c r="K4497" s="74">
        <v>4023105</v>
      </c>
    </row>
    <row r="4498" spans="1:43" x14ac:dyDescent="0.3">
      <c r="B4498" s="44">
        <v>46102</v>
      </c>
      <c r="C4498" s="3" t="s">
        <v>416</v>
      </c>
      <c r="D4498" s="3" t="s">
        <v>68</v>
      </c>
      <c r="E4498" s="42"/>
      <c r="F4498" s="3" t="s">
        <v>687</v>
      </c>
      <c r="G4498" s="3" t="s">
        <v>391</v>
      </c>
      <c r="H4498" s="4">
        <v>3193806</v>
      </c>
      <c r="I4498" s="4" t="s">
        <v>671</v>
      </c>
      <c r="J4498" s="4" t="s">
        <v>389</v>
      </c>
      <c r="K4498" s="4">
        <v>3209201</v>
      </c>
    </row>
    <row r="4499" spans="1:43" x14ac:dyDescent="0.3">
      <c r="A4499" s="4"/>
      <c r="B4499" s="100">
        <v>46103</v>
      </c>
      <c r="C4499" s="98" t="s">
        <v>553</v>
      </c>
      <c r="D4499" s="4" t="s">
        <v>521</v>
      </c>
      <c r="E4499" s="4"/>
      <c r="F4499" s="73" t="s">
        <v>522</v>
      </c>
      <c r="G4499" s="73" t="s">
        <v>522</v>
      </c>
      <c r="H4499" s="73"/>
      <c r="I4499" s="73" t="s">
        <v>471</v>
      </c>
      <c r="J4499" s="73" t="s">
        <v>471</v>
      </c>
      <c r="K4499" s="7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</row>
    <row r="4500" spans="1:43" x14ac:dyDescent="0.3">
      <c r="A4500" s="4"/>
      <c r="B4500" s="100">
        <v>46103</v>
      </c>
      <c r="C4500" s="98" t="s">
        <v>553</v>
      </c>
      <c r="D4500" s="4" t="s">
        <v>521</v>
      </c>
      <c r="E4500" s="4"/>
      <c r="F4500" s="73" t="s">
        <v>472</v>
      </c>
      <c r="G4500" s="73" t="s">
        <v>472</v>
      </c>
      <c r="H4500" s="73"/>
      <c r="I4500" s="73" t="s">
        <v>479</v>
      </c>
      <c r="J4500" s="73" t="s">
        <v>479</v>
      </c>
      <c r="K4500" s="15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</row>
    <row r="4501" spans="1:43" x14ac:dyDescent="0.3">
      <c r="A4501" s="4"/>
      <c r="B4501" s="100">
        <v>46103</v>
      </c>
      <c r="C4501" s="98" t="s">
        <v>553</v>
      </c>
      <c r="D4501" s="4" t="s">
        <v>516</v>
      </c>
      <c r="E4501" s="4"/>
      <c r="F4501" s="73" t="s">
        <v>476</v>
      </c>
      <c r="G4501" s="73" t="s">
        <v>476</v>
      </c>
      <c r="H4501" s="73"/>
      <c r="I4501" s="73" t="s">
        <v>474</v>
      </c>
      <c r="J4501" s="73" t="s">
        <v>474</v>
      </c>
      <c r="K4501" s="15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</row>
    <row r="4502" spans="1:43" x14ac:dyDescent="0.3">
      <c r="A4502" s="4"/>
      <c r="B4502" s="100">
        <v>46103</v>
      </c>
      <c r="C4502" s="98" t="s">
        <v>553</v>
      </c>
      <c r="D4502" s="4" t="s">
        <v>516</v>
      </c>
      <c r="E4502" s="4"/>
      <c r="F4502" s="73" t="s">
        <v>518</v>
      </c>
      <c r="G4502" s="73" t="s">
        <v>518</v>
      </c>
      <c r="H4502" s="73"/>
      <c r="I4502" s="73" t="s">
        <v>540</v>
      </c>
      <c r="J4502" s="73" t="s">
        <v>540</v>
      </c>
      <c r="K4502" s="15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</row>
    <row r="4503" spans="1:43" x14ac:dyDescent="0.3">
      <c r="A4503" s="4"/>
      <c r="B4503" s="100">
        <v>46109</v>
      </c>
      <c r="C4503" s="98" t="s">
        <v>553</v>
      </c>
      <c r="D4503" s="4" t="s">
        <v>508</v>
      </c>
      <c r="E4503" s="4"/>
      <c r="F4503" s="73" t="s">
        <v>475</v>
      </c>
      <c r="G4503" s="73" t="s">
        <v>475</v>
      </c>
      <c r="H4503" s="73"/>
      <c r="I4503" s="73" t="s">
        <v>510</v>
      </c>
      <c r="J4503" s="73" t="s">
        <v>510</v>
      </c>
      <c r="K4503" s="15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</row>
    <row r="4504" spans="1:43" x14ac:dyDescent="0.3">
      <c r="B4504" s="44">
        <v>46109</v>
      </c>
      <c r="C4504" s="3" t="s">
        <v>416</v>
      </c>
      <c r="D4504" s="3" t="s">
        <v>504</v>
      </c>
      <c r="E4504" s="42"/>
      <c r="F4504" s="3" t="s">
        <v>475</v>
      </c>
      <c r="G4504" s="3" t="s">
        <v>15</v>
      </c>
      <c r="H4504" s="4">
        <v>3029601</v>
      </c>
      <c r="I4504" s="3" t="s">
        <v>479</v>
      </c>
      <c r="J4504" s="3" t="s">
        <v>9</v>
      </c>
      <c r="K4504" s="4">
        <v>3033405</v>
      </c>
    </row>
    <row r="4505" spans="1:43" x14ac:dyDescent="0.3">
      <c r="B4505" s="44">
        <v>46109</v>
      </c>
      <c r="C4505" s="3" t="s">
        <v>416</v>
      </c>
      <c r="D4505" s="3" t="s">
        <v>56</v>
      </c>
      <c r="E4505" s="42"/>
      <c r="F4505" s="3" t="s">
        <v>475</v>
      </c>
      <c r="G4505" s="3" t="s">
        <v>256</v>
      </c>
      <c r="H4505" s="4">
        <v>3068700</v>
      </c>
      <c r="I4505" s="3" t="s">
        <v>471</v>
      </c>
      <c r="J4505" s="3" t="s">
        <v>254</v>
      </c>
      <c r="K4505" s="4">
        <v>3068908</v>
      </c>
    </row>
    <row r="4506" spans="1:43" x14ac:dyDescent="0.3">
      <c r="B4506" s="44">
        <v>46109</v>
      </c>
      <c r="C4506" s="3" t="s">
        <v>416</v>
      </c>
      <c r="D4506" s="3" t="s">
        <v>490</v>
      </c>
      <c r="E4506" s="4"/>
      <c r="F4506" s="3" t="s">
        <v>475</v>
      </c>
      <c r="G4506" s="3" t="s">
        <v>125</v>
      </c>
      <c r="H4506" s="4">
        <v>3362807</v>
      </c>
      <c r="I4506" s="4" t="s">
        <v>717</v>
      </c>
      <c r="J4506" s="4" t="s">
        <v>425</v>
      </c>
      <c r="K4506" s="4">
        <v>3347206</v>
      </c>
    </row>
    <row r="4507" spans="1:43" x14ac:dyDescent="0.3">
      <c r="B4507" s="44">
        <v>46109</v>
      </c>
      <c r="C4507" s="3" t="s">
        <v>416</v>
      </c>
      <c r="D4507" s="3" t="s">
        <v>64</v>
      </c>
      <c r="E4507" s="42">
        <v>4370907</v>
      </c>
      <c r="F4507" s="3" t="s">
        <v>475</v>
      </c>
      <c r="G4507" s="3" t="s">
        <v>310</v>
      </c>
      <c r="H4507" s="4">
        <v>3212402</v>
      </c>
      <c r="I4507" s="4" t="s">
        <v>710</v>
      </c>
      <c r="J4507" s="4" t="s">
        <v>354</v>
      </c>
      <c r="K4507" s="4">
        <v>3199404</v>
      </c>
    </row>
    <row r="4508" spans="1:43" x14ac:dyDescent="0.3">
      <c r="B4508" s="44">
        <v>46109</v>
      </c>
      <c r="C4508" s="3" t="s">
        <v>416</v>
      </c>
      <c r="D4508" s="3" t="s">
        <v>67</v>
      </c>
      <c r="E4508" s="42"/>
      <c r="F4508" s="4" t="s">
        <v>475</v>
      </c>
      <c r="G4508" s="4" t="s">
        <v>336</v>
      </c>
      <c r="H4508" s="4">
        <v>3211809</v>
      </c>
      <c r="I4508" s="3" t="s">
        <v>662</v>
      </c>
      <c r="J4508" s="3" t="s">
        <v>373</v>
      </c>
      <c r="K4508" s="4">
        <v>3207807</v>
      </c>
    </row>
    <row r="4509" spans="1:43" x14ac:dyDescent="0.3">
      <c r="B4509" s="44">
        <v>46109</v>
      </c>
      <c r="C4509" s="3" t="s">
        <v>416</v>
      </c>
      <c r="D4509" s="3" t="s">
        <v>70</v>
      </c>
      <c r="E4509" s="42"/>
      <c r="F4509" s="3" t="s">
        <v>475</v>
      </c>
      <c r="G4509" s="3" t="s">
        <v>370</v>
      </c>
      <c r="H4509" s="4">
        <v>3211903</v>
      </c>
      <c r="I4509" s="3" t="s">
        <v>472</v>
      </c>
      <c r="J4509" s="3" t="s">
        <v>400</v>
      </c>
      <c r="K4509" s="4">
        <v>3818608</v>
      </c>
    </row>
    <row r="4510" spans="1:43" x14ac:dyDescent="0.3">
      <c r="B4510" s="44">
        <v>46109</v>
      </c>
      <c r="C4510" s="3" t="s">
        <v>416</v>
      </c>
      <c r="D4510" s="3" t="s">
        <v>492</v>
      </c>
      <c r="E4510" s="42"/>
      <c r="F4510" s="4" t="s">
        <v>648</v>
      </c>
      <c r="G4510" s="4" t="s">
        <v>201</v>
      </c>
      <c r="H4510" s="4">
        <v>3362203</v>
      </c>
      <c r="I4510" s="3" t="s">
        <v>646</v>
      </c>
      <c r="J4510" s="3" t="s">
        <v>159</v>
      </c>
      <c r="K4510" s="4">
        <v>3354403</v>
      </c>
    </row>
    <row r="4511" spans="1:43" x14ac:dyDescent="0.3">
      <c r="B4511" s="44">
        <v>46109</v>
      </c>
      <c r="C4511" s="3" t="s">
        <v>416</v>
      </c>
      <c r="D4511" s="3" t="s">
        <v>68</v>
      </c>
      <c r="E4511" s="42"/>
      <c r="F4511" s="3" t="s">
        <v>651</v>
      </c>
      <c r="G4511" s="3" t="s">
        <v>387</v>
      </c>
      <c r="H4511" s="4">
        <v>3211403</v>
      </c>
      <c r="I4511" s="4" t="s">
        <v>649</v>
      </c>
      <c r="J4511" s="4" t="s">
        <v>456</v>
      </c>
      <c r="K4511" s="4">
        <v>3545602</v>
      </c>
    </row>
    <row r="4512" spans="1:43" x14ac:dyDescent="0.3">
      <c r="B4512" s="44">
        <v>46109</v>
      </c>
      <c r="C4512" s="3" t="s">
        <v>416</v>
      </c>
      <c r="D4512" s="3" t="s">
        <v>499</v>
      </c>
      <c r="E4512" s="42"/>
      <c r="F4512" s="3" t="s">
        <v>651</v>
      </c>
      <c r="G4512" s="3" t="s">
        <v>226</v>
      </c>
      <c r="H4512" s="4">
        <v>3361902</v>
      </c>
      <c r="I4512" s="3" t="s">
        <v>671</v>
      </c>
      <c r="J4512" s="3" t="s">
        <v>228</v>
      </c>
      <c r="K4512" s="53">
        <v>3358607</v>
      </c>
      <c r="M4512" s="51"/>
    </row>
    <row r="4513" spans="2:11" x14ac:dyDescent="0.3">
      <c r="B4513" s="44">
        <v>46109</v>
      </c>
      <c r="C4513" s="3" t="s">
        <v>416</v>
      </c>
      <c r="D4513" s="3" t="s">
        <v>59</v>
      </c>
      <c r="E4513" s="42"/>
      <c r="F4513" s="4" t="s">
        <v>653</v>
      </c>
      <c r="G4513" s="4" t="s">
        <v>272</v>
      </c>
      <c r="H4513" s="4">
        <v>3211205</v>
      </c>
      <c r="I4513" s="3" t="s">
        <v>656</v>
      </c>
      <c r="J4513" s="3" t="s">
        <v>278</v>
      </c>
      <c r="K4513" s="4">
        <v>3199800</v>
      </c>
    </row>
    <row r="4514" spans="2:11" x14ac:dyDescent="0.3">
      <c r="B4514" s="44">
        <v>46109</v>
      </c>
      <c r="C4514" s="3" t="s">
        <v>416</v>
      </c>
      <c r="D4514" s="3" t="s">
        <v>65</v>
      </c>
      <c r="E4514" s="42"/>
      <c r="F4514" s="3" t="s">
        <v>653</v>
      </c>
      <c r="G4514" s="3" t="s">
        <v>451</v>
      </c>
      <c r="H4514" s="4">
        <v>3211309</v>
      </c>
      <c r="I4514" s="4" t="s">
        <v>476</v>
      </c>
      <c r="J4514" s="4" t="s">
        <v>358</v>
      </c>
      <c r="K4514" s="4">
        <v>3206402</v>
      </c>
    </row>
    <row r="4515" spans="2:11" x14ac:dyDescent="0.3">
      <c r="B4515" s="44">
        <v>46109</v>
      </c>
      <c r="C4515" s="3" t="s">
        <v>416</v>
      </c>
      <c r="D4515" s="3" t="s">
        <v>487</v>
      </c>
      <c r="E4515" s="4"/>
      <c r="F4515" s="3" t="s">
        <v>479</v>
      </c>
      <c r="G4515" s="3" t="s">
        <v>127</v>
      </c>
      <c r="H4515" s="4">
        <v>3360809</v>
      </c>
      <c r="I4515" s="3" t="s">
        <v>475</v>
      </c>
      <c r="J4515" s="3" t="s">
        <v>96</v>
      </c>
      <c r="K4515" s="4">
        <v>3067107</v>
      </c>
    </row>
    <row r="4516" spans="2:11" x14ac:dyDescent="0.3">
      <c r="B4516" s="44">
        <v>46109</v>
      </c>
      <c r="C4516" s="3" t="s">
        <v>416</v>
      </c>
      <c r="D4516" s="3" t="s">
        <v>59</v>
      </c>
      <c r="E4516" s="42"/>
      <c r="F4516" s="4" t="s">
        <v>479</v>
      </c>
      <c r="G4516" s="4" t="s">
        <v>273</v>
      </c>
      <c r="H4516" s="4">
        <v>3211007</v>
      </c>
      <c r="I4516" s="3" t="s">
        <v>662</v>
      </c>
      <c r="J4516" s="3" t="s">
        <v>314</v>
      </c>
      <c r="K4516" s="4">
        <v>3208004</v>
      </c>
    </row>
    <row r="4517" spans="2:11" x14ac:dyDescent="0.3">
      <c r="B4517" s="44">
        <v>46109</v>
      </c>
      <c r="C4517" s="3" t="s">
        <v>416</v>
      </c>
      <c r="D4517" s="3" t="s">
        <v>493</v>
      </c>
      <c r="E4517" s="42"/>
      <c r="F4517" s="3" t="s">
        <v>479</v>
      </c>
      <c r="G4517" s="3" t="s">
        <v>210</v>
      </c>
      <c r="H4517" s="4">
        <v>3361100</v>
      </c>
      <c r="I4517" s="4" t="s">
        <v>663</v>
      </c>
      <c r="J4517" s="4" t="s">
        <v>173</v>
      </c>
      <c r="K4517" s="4">
        <v>3349308</v>
      </c>
    </row>
    <row r="4518" spans="2:11" x14ac:dyDescent="0.3">
      <c r="B4518" s="44">
        <v>46109</v>
      </c>
      <c r="C4518" s="3" t="s">
        <v>416</v>
      </c>
      <c r="D4518" s="3" t="s">
        <v>493</v>
      </c>
      <c r="E4518" s="42"/>
      <c r="F4518" s="3" t="s">
        <v>479</v>
      </c>
      <c r="G4518" s="3" t="s">
        <v>211</v>
      </c>
      <c r="H4518" s="4">
        <v>3361204</v>
      </c>
      <c r="I4518" s="4" t="s">
        <v>701</v>
      </c>
      <c r="J4518" s="4" t="s">
        <v>171</v>
      </c>
      <c r="K4518" s="4">
        <v>3355600</v>
      </c>
    </row>
    <row r="4519" spans="2:11" x14ac:dyDescent="0.3">
      <c r="B4519" s="44">
        <v>46109</v>
      </c>
      <c r="C4519" s="3" t="s">
        <v>416</v>
      </c>
      <c r="D4519" s="3" t="s">
        <v>500</v>
      </c>
      <c r="E4519" s="42"/>
      <c r="F4519" s="3" t="s">
        <v>479</v>
      </c>
      <c r="G4519" s="3" t="s">
        <v>232</v>
      </c>
      <c r="H4519" s="4">
        <v>3360507</v>
      </c>
      <c r="I4519" s="4" t="s">
        <v>471</v>
      </c>
      <c r="J4519" s="4" t="s">
        <v>467</v>
      </c>
      <c r="K4519" s="4">
        <v>3819409</v>
      </c>
    </row>
    <row r="4520" spans="2:11" x14ac:dyDescent="0.3">
      <c r="B4520" s="44">
        <v>46109</v>
      </c>
      <c r="C4520" s="3" t="s">
        <v>416</v>
      </c>
      <c r="D4520" s="3" t="s">
        <v>500</v>
      </c>
      <c r="E4520" s="42"/>
      <c r="F4520" s="3" t="s">
        <v>479</v>
      </c>
      <c r="G4520" s="3" t="s">
        <v>465</v>
      </c>
      <c r="H4520" s="4">
        <v>3962207</v>
      </c>
      <c r="I4520" s="4" t="s">
        <v>691</v>
      </c>
      <c r="J4520" s="4" t="s">
        <v>238</v>
      </c>
      <c r="K4520" s="4">
        <v>3350105</v>
      </c>
    </row>
    <row r="4521" spans="2:11" x14ac:dyDescent="0.3">
      <c r="B4521" s="44">
        <v>46109</v>
      </c>
      <c r="C4521" s="3" t="s">
        <v>416</v>
      </c>
      <c r="D4521" s="3" t="s">
        <v>593</v>
      </c>
      <c r="E4521" s="42"/>
      <c r="F4521" s="3" t="s">
        <v>479</v>
      </c>
      <c r="G4521" s="3" t="s">
        <v>628</v>
      </c>
      <c r="H4521" s="4" t="s">
        <v>642</v>
      </c>
      <c r="I4521" s="4" t="s">
        <v>653</v>
      </c>
      <c r="J4521" s="4" t="s">
        <v>459</v>
      </c>
      <c r="K4521" s="4">
        <v>3211101</v>
      </c>
    </row>
    <row r="4522" spans="2:11" x14ac:dyDescent="0.3">
      <c r="B4522" s="44">
        <v>46109</v>
      </c>
      <c r="C4522" s="3" t="s">
        <v>416</v>
      </c>
      <c r="D4522" s="3" t="s">
        <v>61</v>
      </c>
      <c r="E4522" s="42"/>
      <c r="F4522" s="4" t="s">
        <v>658</v>
      </c>
      <c r="G4522" s="4" t="s">
        <v>301</v>
      </c>
      <c r="H4522" s="4">
        <v>3210300</v>
      </c>
      <c r="I4522" s="3" t="s">
        <v>690</v>
      </c>
      <c r="J4522" s="3" t="s">
        <v>304</v>
      </c>
      <c r="K4522" s="4">
        <v>3204404</v>
      </c>
    </row>
    <row r="4523" spans="2:11" x14ac:dyDescent="0.3">
      <c r="B4523" s="44">
        <v>46109</v>
      </c>
      <c r="C4523" s="3" t="s">
        <v>416</v>
      </c>
      <c r="D4523" s="3" t="s">
        <v>504</v>
      </c>
      <c r="E4523" s="42"/>
      <c r="F4523" s="4" t="s">
        <v>480</v>
      </c>
      <c r="G4523" s="4" t="s">
        <v>505</v>
      </c>
      <c r="H4523" s="4">
        <v>3033207</v>
      </c>
      <c r="I4523" s="3" t="s">
        <v>645</v>
      </c>
      <c r="J4523" s="3" t="s">
        <v>37</v>
      </c>
      <c r="K4523" s="4">
        <v>3029903</v>
      </c>
    </row>
    <row r="4524" spans="2:11" x14ac:dyDescent="0.3">
      <c r="B4524" s="44">
        <v>46109</v>
      </c>
      <c r="C4524" s="3" t="s">
        <v>416</v>
      </c>
      <c r="D4524" s="3" t="s">
        <v>490</v>
      </c>
      <c r="E4524" s="4"/>
      <c r="F4524" s="3" t="s">
        <v>480</v>
      </c>
      <c r="G4524" s="3" t="s">
        <v>420</v>
      </c>
      <c r="H4524" s="4">
        <v>3360101</v>
      </c>
      <c r="I4524" s="4" t="s">
        <v>653</v>
      </c>
      <c r="J4524" s="4" t="s">
        <v>126</v>
      </c>
      <c r="K4524" s="4">
        <v>3361402</v>
      </c>
    </row>
    <row r="4525" spans="2:11" x14ac:dyDescent="0.3">
      <c r="B4525" s="44">
        <v>46109</v>
      </c>
      <c r="C4525" s="3" t="s">
        <v>416</v>
      </c>
      <c r="D4525" s="3" t="s">
        <v>497</v>
      </c>
      <c r="E4525" s="42"/>
      <c r="F4525" s="17" t="s">
        <v>480</v>
      </c>
      <c r="G4525" s="17" t="s">
        <v>428</v>
      </c>
      <c r="H4525" s="74">
        <v>3360309</v>
      </c>
      <c r="I4525" s="3" t="s">
        <v>654</v>
      </c>
      <c r="J4525" s="3" t="s">
        <v>216</v>
      </c>
      <c r="K4525" s="4">
        <v>3349808</v>
      </c>
    </row>
    <row r="4526" spans="2:11" x14ac:dyDescent="0.3">
      <c r="B4526" s="44">
        <v>46109</v>
      </c>
      <c r="C4526" s="3" t="s">
        <v>416</v>
      </c>
      <c r="D4526" s="3" t="s">
        <v>56</v>
      </c>
      <c r="E4526" s="42"/>
      <c r="F4526" s="4" t="s">
        <v>661</v>
      </c>
      <c r="G4526" s="4" t="s">
        <v>439</v>
      </c>
      <c r="H4526" s="4">
        <v>3023701</v>
      </c>
      <c r="I4526" s="4" t="s">
        <v>471</v>
      </c>
      <c r="J4526" s="4" t="s">
        <v>441</v>
      </c>
      <c r="K4526" s="4">
        <v>3023409</v>
      </c>
    </row>
    <row r="4527" spans="2:11" x14ac:dyDescent="0.3">
      <c r="B4527" s="44">
        <v>46109</v>
      </c>
      <c r="C4527" s="3" t="s">
        <v>416</v>
      </c>
      <c r="D4527" s="3" t="s">
        <v>59</v>
      </c>
      <c r="E4527" s="42"/>
      <c r="F4527" s="4" t="s">
        <v>661</v>
      </c>
      <c r="G4527" s="4" t="s">
        <v>641</v>
      </c>
      <c r="H4527" s="4">
        <v>3055707</v>
      </c>
      <c r="I4527" s="4" t="s">
        <v>710</v>
      </c>
      <c r="J4527" s="4" t="s">
        <v>279</v>
      </c>
      <c r="K4527" s="4">
        <v>3199706</v>
      </c>
    </row>
    <row r="4528" spans="2:11" x14ac:dyDescent="0.3">
      <c r="B4528" s="44">
        <v>46109</v>
      </c>
      <c r="C4528" s="3" t="s">
        <v>416</v>
      </c>
      <c r="D4528" s="3" t="s">
        <v>593</v>
      </c>
      <c r="E4528" s="42"/>
      <c r="F4528" s="3" t="s">
        <v>661</v>
      </c>
      <c r="G4528" s="3" t="s">
        <v>640</v>
      </c>
      <c r="H4528" s="4">
        <v>3210102</v>
      </c>
      <c r="I4528" s="4" t="s">
        <v>681</v>
      </c>
      <c r="J4528" s="4" t="s">
        <v>397</v>
      </c>
      <c r="K4528" s="4">
        <v>3195908</v>
      </c>
    </row>
    <row r="4529" spans="2:14" x14ac:dyDescent="0.3">
      <c r="B4529" s="44">
        <v>46109</v>
      </c>
      <c r="C4529" s="3" t="s">
        <v>416</v>
      </c>
      <c r="D4529" s="3" t="s">
        <v>68</v>
      </c>
      <c r="E4529" s="42"/>
      <c r="F4529" s="15" t="s">
        <v>664</v>
      </c>
      <c r="G4529" s="15" t="s">
        <v>388</v>
      </c>
      <c r="H4529" s="74">
        <v>3165306</v>
      </c>
      <c r="I4529" s="4" t="s">
        <v>665</v>
      </c>
      <c r="J4529" s="4" t="s">
        <v>627</v>
      </c>
      <c r="K4529" s="4" t="s">
        <v>638</v>
      </c>
    </row>
    <row r="4530" spans="2:14" x14ac:dyDescent="0.3">
      <c r="B4530" s="44">
        <v>46109</v>
      </c>
      <c r="C4530" s="3" t="s">
        <v>416</v>
      </c>
      <c r="D4530" s="3" t="s">
        <v>490</v>
      </c>
      <c r="E4530" s="4"/>
      <c r="F4530" s="3" t="s">
        <v>660</v>
      </c>
      <c r="G4530" s="3" t="s">
        <v>137</v>
      </c>
      <c r="H4530" s="4">
        <v>3359908</v>
      </c>
      <c r="I4530" s="4" t="s">
        <v>479</v>
      </c>
      <c r="J4530" s="4" t="s">
        <v>166</v>
      </c>
      <c r="K4530" s="4">
        <v>3361006</v>
      </c>
    </row>
    <row r="4531" spans="2:14" x14ac:dyDescent="0.3">
      <c r="B4531" s="44">
        <v>46109</v>
      </c>
      <c r="C4531" s="3" t="s">
        <v>416</v>
      </c>
      <c r="D4531" s="3" t="s">
        <v>62</v>
      </c>
      <c r="E4531" s="42"/>
      <c r="F4531" s="4" t="s">
        <v>660</v>
      </c>
      <c r="G4531" s="4" t="s">
        <v>443</v>
      </c>
      <c r="H4531" s="4">
        <v>3210008</v>
      </c>
      <c r="I4531" s="4" t="s">
        <v>701</v>
      </c>
      <c r="J4531" s="4" t="s">
        <v>360</v>
      </c>
      <c r="K4531" s="4">
        <v>3203801</v>
      </c>
    </row>
    <row r="4532" spans="2:14" x14ac:dyDescent="0.3">
      <c r="B4532" s="44">
        <v>46109</v>
      </c>
      <c r="C4532" s="3" t="s">
        <v>416</v>
      </c>
      <c r="D4532" s="3" t="s">
        <v>497</v>
      </c>
      <c r="E4532" s="42"/>
      <c r="F4532" s="17" t="s">
        <v>660</v>
      </c>
      <c r="G4532" s="17" t="s">
        <v>212</v>
      </c>
      <c r="H4532" s="74">
        <v>3360007</v>
      </c>
      <c r="I4532" s="17" t="s">
        <v>476</v>
      </c>
      <c r="J4532" s="17" t="s">
        <v>234</v>
      </c>
      <c r="K4532" s="74">
        <v>3356807</v>
      </c>
    </row>
    <row r="4533" spans="2:14" x14ac:dyDescent="0.3">
      <c r="B4533" s="44">
        <v>46109</v>
      </c>
      <c r="C4533" s="3" t="s">
        <v>416</v>
      </c>
      <c r="D4533" s="3" t="s">
        <v>590</v>
      </c>
      <c r="E4533" s="42"/>
      <c r="F4533" s="4" t="s">
        <v>657</v>
      </c>
      <c r="G4533" s="4" t="s">
        <v>321</v>
      </c>
      <c r="H4533" s="4">
        <v>3209607</v>
      </c>
      <c r="I4533" s="3" t="s">
        <v>671</v>
      </c>
      <c r="J4533" s="3" t="s">
        <v>311</v>
      </c>
      <c r="K4533" s="4">
        <v>3209003</v>
      </c>
    </row>
    <row r="4534" spans="2:14" x14ac:dyDescent="0.3">
      <c r="B4534" s="44">
        <v>46109</v>
      </c>
      <c r="C4534" s="3" t="s">
        <v>416</v>
      </c>
      <c r="D4534" s="3" t="s">
        <v>69</v>
      </c>
      <c r="E4534" s="42"/>
      <c r="F4534" s="3" t="s">
        <v>657</v>
      </c>
      <c r="G4534" s="3" t="s">
        <v>393</v>
      </c>
      <c r="H4534" s="4">
        <v>3209701</v>
      </c>
      <c r="I4534" s="3" t="s">
        <v>691</v>
      </c>
      <c r="J4534" s="3" t="s">
        <v>395</v>
      </c>
      <c r="K4534" s="4">
        <v>3197604</v>
      </c>
    </row>
    <row r="4535" spans="2:14" x14ac:dyDescent="0.3">
      <c r="B4535" s="44">
        <v>46109</v>
      </c>
      <c r="C4535" s="3" t="s">
        <v>416</v>
      </c>
      <c r="D4535" s="3" t="s">
        <v>497</v>
      </c>
      <c r="E4535" s="42"/>
      <c r="F4535" s="17" t="s">
        <v>657</v>
      </c>
      <c r="G4535" s="17" t="s">
        <v>213</v>
      </c>
      <c r="H4535" s="74">
        <v>3359502</v>
      </c>
      <c r="I4535" s="17" t="s">
        <v>653</v>
      </c>
      <c r="J4535" s="17" t="s">
        <v>208</v>
      </c>
      <c r="K4535" s="74">
        <v>3361308</v>
      </c>
    </row>
    <row r="4536" spans="2:14" x14ac:dyDescent="0.3">
      <c r="B4536" s="44">
        <v>46109</v>
      </c>
      <c r="C4536" s="3" t="s">
        <v>416</v>
      </c>
      <c r="D4536" s="3" t="s">
        <v>500</v>
      </c>
      <c r="E4536" s="42"/>
      <c r="F4536" s="3" t="s">
        <v>657</v>
      </c>
      <c r="G4536" s="3" t="s">
        <v>574</v>
      </c>
      <c r="H4536" s="4">
        <v>3359606</v>
      </c>
      <c r="I4536" s="4" t="s">
        <v>676</v>
      </c>
      <c r="J4536" s="4" t="s">
        <v>577</v>
      </c>
      <c r="K4536" s="4" t="s">
        <v>556</v>
      </c>
    </row>
    <row r="4537" spans="2:14" x14ac:dyDescent="0.3">
      <c r="B4537" s="44">
        <v>46109</v>
      </c>
      <c r="C4537" s="3" t="s">
        <v>416</v>
      </c>
      <c r="D4537" s="3" t="s">
        <v>495</v>
      </c>
      <c r="E4537" s="42"/>
      <c r="F4537" s="3" t="s">
        <v>570</v>
      </c>
      <c r="G4537" s="3" t="s">
        <v>570</v>
      </c>
      <c r="H4537" s="4" t="s">
        <v>556</v>
      </c>
      <c r="I4537" s="3" t="s">
        <v>685</v>
      </c>
      <c r="J4537" s="3" t="s">
        <v>196</v>
      </c>
      <c r="K4537" s="4">
        <v>3353102</v>
      </c>
    </row>
    <row r="4538" spans="2:14" x14ac:dyDescent="0.3">
      <c r="B4538" s="44">
        <v>46109</v>
      </c>
      <c r="C4538" s="3" t="s">
        <v>416</v>
      </c>
      <c r="D4538" s="3" t="s">
        <v>67</v>
      </c>
      <c r="E4538" s="42"/>
      <c r="F4538" s="4" t="s">
        <v>570</v>
      </c>
      <c r="G4538" s="4" t="s">
        <v>570</v>
      </c>
      <c r="H4538" s="4" t="s">
        <v>556</v>
      </c>
      <c r="I4538" s="4" t="s">
        <v>472</v>
      </c>
      <c r="J4538" s="4" t="s">
        <v>338</v>
      </c>
      <c r="K4538" s="4">
        <v>3207307</v>
      </c>
    </row>
    <row r="4539" spans="2:14" x14ac:dyDescent="0.3">
      <c r="B4539" s="44">
        <v>46109</v>
      </c>
      <c r="C4539" s="3" t="s">
        <v>416</v>
      </c>
      <c r="D4539" s="3" t="s">
        <v>68</v>
      </c>
      <c r="E4539" s="42"/>
      <c r="F4539" s="3" t="s">
        <v>570</v>
      </c>
      <c r="G4539" s="3" t="s">
        <v>570</v>
      </c>
      <c r="H4539" s="4" t="s">
        <v>556</v>
      </c>
      <c r="I4539" s="4" t="s">
        <v>687</v>
      </c>
      <c r="J4539" s="4" t="s">
        <v>391</v>
      </c>
      <c r="K4539" s="4">
        <v>3193806</v>
      </c>
    </row>
    <row r="4540" spans="2:14" x14ac:dyDescent="0.3">
      <c r="B4540" s="44">
        <v>46109</v>
      </c>
      <c r="C4540" s="3" t="s">
        <v>416</v>
      </c>
      <c r="D4540" s="3" t="s">
        <v>593</v>
      </c>
      <c r="E4540" s="42"/>
      <c r="F4540" s="15" t="s">
        <v>570</v>
      </c>
      <c r="G4540" s="15" t="s">
        <v>570</v>
      </c>
      <c r="H4540" s="74" t="s">
        <v>556</v>
      </c>
      <c r="I4540" s="4" t="s">
        <v>663</v>
      </c>
      <c r="J4540" s="4" t="s">
        <v>396</v>
      </c>
      <c r="K4540" s="4">
        <v>3197104</v>
      </c>
    </row>
    <row r="4541" spans="2:14" x14ac:dyDescent="0.3">
      <c r="B4541" s="44">
        <v>46109</v>
      </c>
      <c r="C4541" s="3" t="s">
        <v>416</v>
      </c>
      <c r="D4541" s="3" t="s">
        <v>499</v>
      </c>
      <c r="E4541" s="42"/>
      <c r="F4541" s="3" t="s">
        <v>723</v>
      </c>
      <c r="G4541" s="3" t="s">
        <v>599</v>
      </c>
      <c r="H4541" s="4" t="s">
        <v>556</v>
      </c>
      <c r="I4541" s="3" t="s">
        <v>665</v>
      </c>
      <c r="J4541" s="3" t="s">
        <v>461</v>
      </c>
      <c r="K4541" s="4">
        <v>3818702</v>
      </c>
      <c r="M4541" s="3" t="s">
        <v>581</v>
      </c>
      <c r="N4541" s="3" t="s">
        <v>461</v>
      </c>
    </row>
    <row r="4542" spans="2:14" x14ac:dyDescent="0.3">
      <c r="B4542" s="44">
        <v>46109</v>
      </c>
      <c r="C4542" s="3" t="s">
        <v>416</v>
      </c>
      <c r="D4542" s="3" t="s">
        <v>57</v>
      </c>
      <c r="E4542" s="42"/>
      <c r="F4542" s="3" t="s">
        <v>667</v>
      </c>
      <c r="G4542" s="3" t="s">
        <v>257</v>
      </c>
      <c r="H4542" s="4">
        <v>3209805</v>
      </c>
      <c r="I4542" s="3" t="s">
        <v>645</v>
      </c>
      <c r="J4542" s="3" t="s">
        <v>263</v>
      </c>
      <c r="K4542" s="4">
        <v>3198707</v>
      </c>
    </row>
    <row r="4543" spans="2:14" x14ac:dyDescent="0.3">
      <c r="B4543" s="44">
        <v>46109</v>
      </c>
      <c r="C4543" s="3" t="s">
        <v>416</v>
      </c>
      <c r="D4543" s="3" t="s">
        <v>64</v>
      </c>
      <c r="E4543" s="42">
        <v>4370907</v>
      </c>
      <c r="F4543" s="3" t="s">
        <v>669</v>
      </c>
      <c r="G4543" s="3" t="s">
        <v>337</v>
      </c>
      <c r="H4543" s="4">
        <v>3209305</v>
      </c>
      <c r="I4543" s="4" t="s">
        <v>692</v>
      </c>
      <c r="J4543" s="4" t="s">
        <v>342</v>
      </c>
      <c r="K4543" s="4">
        <v>3196501</v>
      </c>
    </row>
    <row r="4544" spans="2:14" x14ac:dyDescent="0.3">
      <c r="B4544" s="44">
        <v>46109</v>
      </c>
      <c r="C4544" s="3" t="s">
        <v>416</v>
      </c>
      <c r="D4544" s="3" t="s">
        <v>504</v>
      </c>
      <c r="E4544" s="42"/>
      <c r="F4544" s="4" t="s">
        <v>671</v>
      </c>
      <c r="G4544" s="4" t="s">
        <v>8</v>
      </c>
      <c r="H4544" s="4">
        <v>3034008</v>
      </c>
      <c r="I4544" s="3" t="s">
        <v>471</v>
      </c>
      <c r="J4544" s="3" t="s">
        <v>14</v>
      </c>
      <c r="K4544" s="4">
        <v>3348601</v>
      </c>
    </row>
    <row r="4545" spans="2:11" x14ac:dyDescent="0.3">
      <c r="B4545" s="44">
        <v>46109</v>
      </c>
      <c r="C4545" s="3" t="s">
        <v>416</v>
      </c>
      <c r="D4545" s="3" t="s">
        <v>489</v>
      </c>
      <c r="E4545" s="4"/>
      <c r="F4545" s="3" t="s">
        <v>671</v>
      </c>
      <c r="G4545" s="3" t="s">
        <v>156</v>
      </c>
      <c r="H4545" s="4">
        <v>3359200</v>
      </c>
      <c r="I4545" s="4" t="s">
        <v>474</v>
      </c>
      <c r="J4545" s="4" t="s">
        <v>130</v>
      </c>
      <c r="K4545" s="4">
        <v>3352405</v>
      </c>
    </row>
    <row r="4546" spans="2:11" x14ac:dyDescent="0.3">
      <c r="B4546" s="44">
        <v>46109</v>
      </c>
      <c r="C4546" s="3" t="s">
        <v>416</v>
      </c>
      <c r="D4546" s="3" t="s">
        <v>64</v>
      </c>
      <c r="E4546" s="42">
        <v>4370907</v>
      </c>
      <c r="F4546" s="3" t="s">
        <v>671</v>
      </c>
      <c r="G4546" s="3" t="s">
        <v>312</v>
      </c>
      <c r="H4546" s="4">
        <v>3209107</v>
      </c>
      <c r="I4546" s="4" t="s">
        <v>670</v>
      </c>
      <c r="J4546" s="4" t="s">
        <v>343</v>
      </c>
      <c r="K4546" s="4">
        <v>3195606</v>
      </c>
    </row>
    <row r="4547" spans="2:11" x14ac:dyDescent="0.3">
      <c r="B4547" s="44">
        <v>46109</v>
      </c>
      <c r="C4547" s="3" t="s">
        <v>416</v>
      </c>
      <c r="D4547" s="3" t="s">
        <v>68</v>
      </c>
      <c r="E4547" s="42"/>
      <c r="F4547" s="3" t="s">
        <v>671</v>
      </c>
      <c r="G4547" s="3" t="s">
        <v>389</v>
      </c>
      <c r="H4547" s="4">
        <v>3209201</v>
      </c>
      <c r="I4547" s="4" t="s">
        <v>474</v>
      </c>
      <c r="J4547" s="4" t="s">
        <v>383</v>
      </c>
      <c r="K4547" s="4">
        <v>3200502</v>
      </c>
    </row>
    <row r="4548" spans="2:11" x14ac:dyDescent="0.3">
      <c r="B4548" s="44">
        <v>46109</v>
      </c>
      <c r="C4548" s="3" t="s">
        <v>416</v>
      </c>
      <c r="D4548" s="3" t="s">
        <v>486</v>
      </c>
      <c r="E4548" s="42"/>
      <c r="F4548" s="3" t="s">
        <v>676</v>
      </c>
      <c r="G4548" s="3" t="s">
        <v>109</v>
      </c>
      <c r="H4548" s="4">
        <v>3067701</v>
      </c>
      <c r="I4548" s="3" t="s">
        <v>480</v>
      </c>
      <c r="J4548" s="3" t="s">
        <v>406</v>
      </c>
      <c r="K4548" s="4">
        <v>3124501</v>
      </c>
    </row>
    <row r="4549" spans="2:11" x14ac:dyDescent="0.3">
      <c r="B4549" s="44">
        <v>46109</v>
      </c>
      <c r="C4549" s="3" t="s">
        <v>416</v>
      </c>
      <c r="D4549" s="3" t="s">
        <v>490</v>
      </c>
      <c r="E4549" s="4"/>
      <c r="F4549" s="3" t="s">
        <v>676</v>
      </c>
      <c r="G4549" s="3" t="s">
        <v>138</v>
      </c>
      <c r="H4549" s="4">
        <v>3067805</v>
      </c>
      <c r="I4549" s="4" t="s">
        <v>476</v>
      </c>
      <c r="J4549" s="4" t="s">
        <v>168</v>
      </c>
      <c r="K4549" s="4">
        <v>3356505</v>
      </c>
    </row>
    <row r="4550" spans="2:11" x14ac:dyDescent="0.3">
      <c r="B4550" s="44">
        <v>46109</v>
      </c>
      <c r="C4550" s="3" t="s">
        <v>416</v>
      </c>
      <c r="D4550" s="3" t="s">
        <v>493</v>
      </c>
      <c r="E4550" s="42"/>
      <c r="F4550" s="3" t="s">
        <v>676</v>
      </c>
      <c r="G4550" s="3" t="s">
        <v>214</v>
      </c>
      <c r="H4550" s="4">
        <v>3358805</v>
      </c>
      <c r="I4550" s="4" t="s">
        <v>471</v>
      </c>
      <c r="J4550" s="4" t="s">
        <v>174</v>
      </c>
      <c r="K4550" s="4">
        <v>3348101</v>
      </c>
    </row>
    <row r="4551" spans="2:11" x14ac:dyDescent="0.3">
      <c r="B4551" s="44">
        <v>46109</v>
      </c>
      <c r="C4551" s="3" t="s">
        <v>416</v>
      </c>
      <c r="D4551" s="3" t="s">
        <v>65</v>
      </c>
      <c r="E4551" s="42"/>
      <c r="F4551" s="3" t="s">
        <v>676</v>
      </c>
      <c r="G4551" s="3" t="s">
        <v>356</v>
      </c>
      <c r="H4551" s="4">
        <v>3208608</v>
      </c>
      <c r="I4551" s="4" t="s">
        <v>479</v>
      </c>
      <c r="J4551" s="4" t="s">
        <v>320</v>
      </c>
      <c r="K4551" s="4">
        <v>3210602</v>
      </c>
    </row>
    <row r="4552" spans="2:11" x14ac:dyDescent="0.3">
      <c r="B4552" s="44">
        <v>46109</v>
      </c>
      <c r="C4552" s="3" t="s">
        <v>416</v>
      </c>
      <c r="D4552" s="3" t="s">
        <v>593</v>
      </c>
      <c r="E4552" s="42"/>
      <c r="F4552" s="3" t="s">
        <v>676</v>
      </c>
      <c r="G4552" s="3" t="s">
        <v>639</v>
      </c>
      <c r="H4552" s="4">
        <v>3776805</v>
      </c>
      <c r="I4552" s="4" t="s">
        <v>694</v>
      </c>
      <c r="J4552" s="4" t="s">
        <v>632</v>
      </c>
      <c r="K4552" s="4">
        <v>4023303</v>
      </c>
    </row>
    <row r="4553" spans="2:11" x14ac:dyDescent="0.3">
      <c r="B4553" s="44">
        <v>46109</v>
      </c>
      <c r="C4553" s="3" t="s">
        <v>416</v>
      </c>
      <c r="D4553" s="3" t="s">
        <v>486</v>
      </c>
      <c r="E4553" s="42"/>
      <c r="F4553" s="4" t="s">
        <v>680</v>
      </c>
      <c r="G4553" s="4" t="s">
        <v>98</v>
      </c>
      <c r="H4553" s="4">
        <v>3358909</v>
      </c>
      <c r="I4553" s="3" t="s">
        <v>671</v>
      </c>
      <c r="J4553" s="3" t="s">
        <v>108</v>
      </c>
      <c r="K4553" s="4">
        <v>3359700</v>
      </c>
    </row>
    <row r="4554" spans="2:11" x14ac:dyDescent="0.3">
      <c r="B4554" s="44">
        <v>46109</v>
      </c>
      <c r="C4554" s="3" t="s">
        <v>416</v>
      </c>
      <c r="D4554" s="3" t="s">
        <v>57</v>
      </c>
      <c r="E4554" s="42"/>
      <c r="F4554" s="4" t="s">
        <v>680</v>
      </c>
      <c r="G4554" s="4" t="s">
        <v>266</v>
      </c>
      <c r="H4554" s="4">
        <v>3208306</v>
      </c>
      <c r="I4554" s="3" t="s">
        <v>693</v>
      </c>
      <c r="J4554" s="3" t="s">
        <v>258</v>
      </c>
      <c r="K4554" s="4">
        <v>3207109</v>
      </c>
    </row>
    <row r="4555" spans="2:11" x14ac:dyDescent="0.3">
      <c r="B4555" s="44">
        <v>46109</v>
      </c>
      <c r="C4555" s="3" t="s">
        <v>416</v>
      </c>
      <c r="D4555" s="3" t="s">
        <v>488</v>
      </c>
      <c r="E4555" s="42"/>
      <c r="F4555" s="3" t="s">
        <v>680</v>
      </c>
      <c r="G4555" s="3" t="s">
        <v>117</v>
      </c>
      <c r="H4555" s="4">
        <v>3359002</v>
      </c>
      <c r="I4555" s="3" t="s">
        <v>720</v>
      </c>
      <c r="J4555" s="3" t="s">
        <v>153</v>
      </c>
      <c r="K4555" s="4">
        <v>3033405</v>
      </c>
    </row>
    <row r="4556" spans="2:11" x14ac:dyDescent="0.3">
      <c r="B4556" s="44">
        <v>46109</v>
      </c>
      <c r="C4556" s="3" t="s">
        <v>416</v>
      </c>
      <c r="D4556" s="3" t="s">
        <v>491</v>
      </c>
      <c r="E4556" s="42"/>
      <c r="F4556" s="4" t="s">
        <v>680</v>
      </c>
      <c r="G4556" s="4" t="s">
        <v>177</v>
      </c>
      <c r="H4556" s="4">
        <v>3899709</v>
      </c>
      <c r="I4556" s="4" t="s">
        <v>709</v>
      </c>
      <c r="J4556" s="4" t="s">
        <v>566</v>
      </c>
      <c r="K4556" s="4">
        <v>3560703</v>
      </c>
    </row>
    <row r="4557" spans="2:11" x14ac:dyDescent="0.3">
      <c r="B4557" s="44">
        <v>46109</v>
      </c>
      <c r="C4557" s="3" t="s">
        <v>416</v>
      </c>
      <c r="D4557" s="3" t="s">
        <v>66</v>
      </c>
      <c r="E4557" s="42"/>
      <c r="F4557" s="104" t="s">
        <v>680</v>
      </c>
      <c r="G4557" s="104" t="s">
        <v>603</v>
      </c>
      <c r="H4557" s="74">
        <v>3945400</v>
      </c>
      <c r="I4557" s="104" t="s">
        <v>659</v>
      </c>
      <c r="J4557" s="104" t="s">
        <v>602</v>
      </c>
      <c r="K4557" s="74">
        <v>4023001</v>
      </c>
    </row>
    <row r="4558" spans="2:11" x14ac:dyDescent="0.3">
      <c r="B4558" s="44">
        <v>46109</v>
      </c>
      <c r="C4558" s="3" t="s">
        <v>416</v>
      </c>
      <c r="D4558" s="3" t="s">
        <v>486</v>
      </c>
      <c r="E4558" s="42"/>
      <c r="F4558" s="4" t="s">
        <v>652</v>
      </c>
      <c r="G4558" s="4" t="s">
        <v>110</v>
      </c>
      <c r="H4558" s="4">
        <v>3359106</v>
      </c>
      <c r="I4558" s="4" t="s">
        <v>651</v>
      </c>
      <c r="J4558" s="4" t="s">
        <v>97</v>
      </c>
      <c r="K4558" s="4">
        <v>3362005</v>
      </c>
    </row>
    <row r="4559" spans="2:11" x14ac:dyDescent="0.3">
      <c r="B4559" s="44">
        <v>46109</v>
      </c>
      <c r="C4559" s="3" t="s">
        <v>416</v>
      </c>
      <c r="D4559" s="3" t="s">
        <v>492</v>
      </c>
      <c r="E4559" s="42"/>
      <c r="F4559" s="4" t="s">
        <v>652</v>
      </c>
      <c r="G4559" s="4" t="s">
        <v>157</v>
      </c>
      <c r="H4559" s="4">
        <v>3358503</v>
      </c>
      <c r="I4559" s="3" t="s">
        <v>649</v>
      </c>
      <c r="J4559" s="3" t="s">
        <v>154</v>
      </c>
      <c r="K4559" s="4">
        <v>3362109</v>
      </c>
    </row>
    <row r="4560" spans="2:11" x14ac:dyDescent="0.3">
      <c r="B4560" s="44">
        <v>46109</v>
      </c>
      <c r="C4560" s="3" t="s">
        <v>416</v>
      </c>
      <c r="D4560" s="3" t="s">
        <v>610</v>
      </c>
      <c r="E4560" s="42"/>
      <c r="F4560" s="3" t="s">
        <v>652</v>
      </c>
      <c r="G4560" s="3" t="s">
        <v>347</v>
      </c>
      <c r="H4560" s="4">
        <v>3818504</v>
      </c>
      <c r="I4560" s="4" t="s">
        <v>474</v>
      </c>
      <c r="J4560" s="4" t="s">
        <v>458</v>
      </c>
      <c r="K4560" s="4">
        <v>3200304</v>
      </c>
    </row>
    <row r="4561" spans="2:13" x14ac:dyDescent="0.3">
      <c r="B4561" s="44">
        <v>46109</v>
      </c>
      <c r="C4561" s="3" t="s">
        <v>416</v>
      </c>
      <c r="D4561" s="3" t="s">
        <v>496</v>
      </c>
      <c r="E4561" s="42"/>
      <c r="F4561" s="3" t="s">
        <v>652</v>
      </c>
      <c r="G4561" s="3" t="s">
        <v>229</v>
      </c>
      <c r="H4561" s="4">
        <v>3358409</v>
      </c>
      <c r="I4561" s="3" t="s">
        <v>671</v>
      </c>
      <c r="J4561" s="3" t="s">
        <v>227</v>
      </c>
      <c r="K4561" s="4">
        <v>3359408</v>
      </c>
    </row>
    <row r="4562" spans="2:13" x14ac:dyDescent="0.3">
      <c r="B4562" s="44">
        <v>46109</v>
      </c>
      <c r="C4562" s="3" t="s">
        <v>416</v>
      </c>
      <c r="D4562" s="3" t="s">
        <v>68</v>
      </c>
      <c r="E4562" s="42"/>
      <c r="F4562" s="3" t="s">
        <v>686</v>
      </c>
      <c r="G4562" s="3" t="s">
        <v>626</v>
      </c>
      <c r="H4562" s="4" t="s">
        <v>637</v>
      </c>
      <c r="I4562" s="4" t="s">
        <v>652</v>
      </c>
      <c r="J4562" s="4" t="s">
        <v>625</v>
      </c>
      <c r="K4562" s="4">
        <v>3899803</v>
      </c>
    </row>
    <row r="4563" spans="2:13" x14ac:dyDescent="0.3">
      <c r="B4563" s="44">
        <v>46109</v>
      </c>
      <c r="C4563" s="3" t="s">
        <v>416</v>
      </c>
      <c r="D4563" s="3" t="s">
        <v>489</v>
      </c>
      <c r="E4563" s="4"/>
      <c r="F4563" s="3" t="s">
        <v>662</v>
      </c>
      <c r="G4563" s="3" t="s">
        <v>139</v>
      </c>
      <c r="H4563" s="4">
        <v>3358305</v>
      </c>
      <c r="I4563" s="4" t="s">
        <v>712</v>
      </c>
      <c r="J4563" s="4" t="s">
        <v>132</v>
      </c>
      <c r="K4563" s="4">
        <v>3068304</v>
      </c>
    </row>
    <row r="4564" spans="2:13" x14ac:dyDescent="0.3">
      <c r="B4564" s="44">
        <v>46109</v>
      </c>
      <c r="C4564" s="3" t="s">
        <v>416</v>
      </c>
      <c r="D4564" s="3" t="s">
        <v>494</v>
      </c>
      <c r="E4564" s="42"/>
      <c r="F4564" s="4" t="s">
        <v>662</v>
      </c>
      <c r="G4564" s="4" t="s">
        <v>242</v>
      </c>
      <c r="H4564" s="4">
        <v>3358107</v>
      </c>
      <c r="I4564" s="3" t="s">
        <v>692</v>
      </c>
      <c r="J4564" s="3" t="s">
        <v>144</v>
      </c>
      <c r="K4564" s="4">
        <v>3347904</v>
      </c>
    </row>
    <row r="4565" spans="2:13" x14ac:dyDescent="0.3">
      <c r="B4565" s="44">
        <v>46109</v>
      </c>
      <c r="C4565" s="3" t="s">
        <v>416</v>
      </c>
      <c r="D4565" s="3" t="s">
        <v>70</v>
      </c>
      <c r="E4565" s="42"/>
      <c r="F4565" s="3" t="s">
        <v>662</v>
      </c>
      <c r="G4565" s="3" t="s">
        <v>399</v>
      </c>
      <c r="H4565" s="4">
        <v>3207401</v>
      </c>
      <c r="I4565" s="3" t="s">
        <v>689</v>
      </c>
      <c r="J4565" s="3" t="s">
        <v>404</v>
      </c>
      <c r="K4565" s="53">
        <v>3196605</v>
      </c>
    </row>
    <row r="4566" spans="2:13" x14ac:dyDescent="0.3">
      <c r="B4566" s="44">
        <v>46109</v>
      </c>
      <c r="C4566" s="3" t="s">
        <v>416</v>
      </c>
      <c r="D4566" s="3" t="s">
        <v>501</v>
      </c>
      <c r="E4566" s="42"/>
      <c r="F4566" s="3" t="s">
        <v>662</v>
      </c>
      <c r="G4566" s="3" t="s">
        <v>243</v>
      </c>
      <c r="H4566" s="4">
        <v>3899907</v>
      </c>
      <c r="I4566" s="3" t="s">
        <v>692</v>
      </c>
      <c r="J4566" s="3" t="s">
        <v>582</v>
      </c>
      <c r="K4566" s="53">
        <v>3900901</v>
      </c>
      <c r="M4566" s="51"/>
    </row>
    <row r="4567" spans="2:13" x14ac:dyDescent="0.3">
      <c r="B4567" s="44">
        <v>46109</v>
      </c>
      <c r="C4567" s="3" t="s">
        <v>416</v>
      </c>
      <c r="D4567" s="3" t="s">
        <v>56</v>
      </c>
      <c r="E4567" s="42"/>
      <c r="F4567" s="4" t="s">
        <v>472</v>
      </c>
      <c r="G4567" s="4" t="s">
        <v>248</v>
      </c>
      <c r="H4567" s="4">
        <v>3207609</v>
      </c>
      <c r="I4567" s="73" t="s">
        <v>671</v>
      </c>
      <c r="J4567" s="73" t="s">
        <v>247</v>
      </c>
      <c r="K4567" s="4">
        <v>3034102</v>
      </c>
    </row>
    <row r="4568" spans="2:13" x14ac:dyDescent="0.3">
      <c r="B4568" s="44">
        <v>46109</v>
      </c>
      <c r="C4568" s="3" t="s">
        <v>416</v>
      </c>
      <c r="D4568" s="3" t="s">
        <v>590</v>
      </c>
      <c r="E4568" s="42"/>
      <c r="F4568" s="3" t="s">
        <v>472</v>
      </c>
      <c r="G4568" s="3" t="s">
        <v>315</v>
      </c>
      <c r="H4568" s="4">
        <v>3455307</v>
      </c>
      <c r="I4568" s="3" t="s">
        <v>648</v>
      </c>
      <c r="J4568" s="3" t="s">
        <v>449</v>
      </c>
      <c r="K4568" s="4">
        <v>3961500</v>
      </c>
    </row>
    <row r="4569" spans="2:13" x14ac:dyDescent="0.3">
      <c r="B4569" s="44">
        <v>46109</v>
      </c>
      <c r="C4569" s="3" t="s">
        <v>416</v>
      </c>
      <c r="D4569" s="3" t="s">
        <v>494</v>
      </c>
      <c r="E4569" s="42"/>
      <c r="F4569" s="4" t="s">
        <v>472</v>
      </c>
      <c r="G4569" s="4" t="s">
        <v>185</v>
      </c>
      <c r="H4569" s="4">
        <v>3357806</v>
      </c>
      <c r="I4569" s="4" t="s">
        <v>647</v>
      </c>
      <c r="J4569" s="4" t="s">
        <v>191</v>
      </c>
      <c r="K4569" s="4">
        <v>3345708</v>
      </c>
    </row>
    <row r="4570" spans="2:13" x14ac:dyDescent="0.3">
      <c r="B4570" s="44">
        <v>46109</v>
      </c>
      <c r="C4570" s="3" t="s">
        <v>416</v>
      </c>
      <c r="D4570" s="3" t="s">
        <v>494</v>
      </c>
      <c r="E4570" s="42"/>
      <c r="F4570" s="4" t="s">
        <v>472</v>
      </c>
      <c r="G4570" s="4" t="s">
        <v>186</v>
      </c>
      <c r="H4570" s="4">
        <v>3357702</v>
      </c>
      <c r="I4570" s="3" t="s">
        <v>689</v>
      </c>
      <c r="J4570" s="3" t="s">
        <v>189</v>
      </c>
      <c r="K4570" s="4">
        <v>3350209</v>
      </c>
    </row>
    <row r="4571" spans="2:13" x14ac:dyDescent="0.3">
      <c r="B4571" s="44">
        <v>46109</v>
      </c>
      <c r="C4571" s="3" t="s">
        <v>416</v>
      </c>
      <c r="D4571" s="3" t="s">
        <v>498</v>
      </c>
      <c r="E4571" s="42"/>
      <c r="F4571" s="3" t="s">
        <v>472</v>
      </c>
      <c r="G4571" s="3" t="s">
        <v>219</v>
      </c>
      <c r="H4571" s="4">
        <v>3357608</v>
      </c>
      <c r="I4571" s="3" t="s">
        <v>717</v>
      </c>
      <c r="J4571" s="3" t="s">
        <v>429</v>
      </c>
      <c r="K4571" s="4">
        <v>3346905</v>
      </c>
    </row>
    <row r="4572" spans="2:13" x14ac:dyDescent="0.3">
      <c r="B4572" s="44">
        <v>46109</v>
      </c>
      <c r="C4572" s="3" t="s">
        <v>416</v>
      </c>
      <c r="D4572" s="3" t="s">
        <v>498</v>
      </c>
      <c r="E4572" s="42"/>
      <c r="F4572" s="3" t="s">
        <v>472</v>
      </c>
      <c r="G4572" s="3" t="s">
        <v>244</v>
      </c>
      <c r="H4572" s="4">
        <v>3357504</v>
      </c>
      <c r="I4572" s="3" t="s">
        <v>647</v>
      </c>
      <c r="J4572" s="3" t="s">
        <v>225</v>
      </c>
      <c r="K4572" s="4">
        <v>3345802</v>
      </c>
    </row>
    <row r="4573" spans="2:13" x14ac:dyDescent="0.3">
      <c r="B4573" s="44">
        <v>46109</v>
      </c>
      <c r="C4573" s="3" t="s">
        <v>416</v>
      </c>
      <c r="D4573" s="3" t="s">
        <v>501</v>
      </c>
      <c r="E4573" s="42"/>
      <c r="F4573" s="3" t="s">
        <v>472</v>
      </c>
      <c r="G4573" s="3" t="s">
        <v>578</v>
      </c>
      <c r="H4573" s="4">
        <v>4022700</v>
      </c>
      <c r="I4573" s="3" t="s">
        <v>475</v>
      </c>
      <c r="J4573" s="3" t="s">
        <v>241</v>
      </c>
      <c r="K4573" s="4">
        <v>3362401</v>
      </c>
      <c r="M4573" s="51"/>
    </row>
    <row r="4574" spans="2:13" x14ac:dyDescent="0.3">
      <c r="B4574" s="44">
        <v>46109</v>
      </c>
      <c r="C4574" s="3" t="s">
        <v>416</v>
      </c>
      <c r="D4574" s="3" t="s">
        <v>496</v>
      </c>
      <c r="E4574" s="42"/>
      <c r="F4574" s="4" t="s">
        <v>665</v>
      </c>
      <c r="G4574" s="4" t="s">
        <v>204</v>
      </c>
      <c r="H4574" s="4">
        <v>3357400</v>
      </c>
      <c r="I4574" s="3" t="s">
        <v>710</v>
      </c>
      <c r="J4574" s="3" t="s">
        <v>462</v>
      </c>
      <c r="K4574" s="4">
        <v>3352207</v>
      </c>
    </row>
    <row r="4575" spans="2:13" x14ac:dyDescent="0.3">
      <c r="B4575" s="44">
        <v>46109</v>
      </c>
      <c r="C4575" s="3" t="s">
        <v>416</v>
      </c>
      <c r="D4575" s="3" t="s">
        <v>68</v>
      </c>
      <c r="E4575" s="42"/>
      <c r="F4575" s="3" t="s">
        <v>665</v>
      </c>
      <c r="G4575" s="3" t="s">
        <v>457</v>
      </c>
      <c r="H4575" s="4">
        <v>3818806</v>
      </c>
      <c r="I4575" s="4" t="s">
        <v>650</v>
      </c>
      <c r="J4575" s="4" t="s">
        <v>390</v>
      </c>
      <c r="K4575" s="4">
        <v>3544509</v>
      </c>
    </row>
    <row r="4576" spans="2:13" x14ac:dyDescent="0.3">
      <c r="B4576" s="44">
        <v>46109</v>
      </c>
      <c r="C4576" s="3" t="s">
        <v>416</v>
      </c>
      <c r="D4576" s="3" t="s">
        <v>590</v>
      </c>
      <c r="E4576" s="42"/>
      <c r="F4576" s="4" t="s">
        <v>693</v>
      </c>
      <c r="G4576" s="4" t="s">
        <v>322</v>
      </c>
      <c r="H4576" s="4">
        <v>3207005</v>
      </c>
      <c r="I4576" s="3" t="s">
        <v>479</v>
      </c>
      <c r="J4576" s="3" t="s">
        <v>284</v>
      </c>
      <c r="K4576" s="4">
        <v>3210904</v>
      </c>
    </row>
    <row r="4577" spans="1:43" x14ac:dyDescent="0.3">
      <c r="B4577" s="44">
        <v>46109</v>
      </c>
      <c r="C4577" s="3" t="s">
        <v>416</v>
      </c>
      <c r="D4577" s="3" t="s">
        <v>65</v>
      </c>
      <c r="E4577" s="42"/>
      <c r="F4577" s="3" t="s">
        <v>693</v>
      </c>
      <c r="G4577" s="3" t="s">
        <v>357</v>
      </c>
      <c r="H4577" s="4">
        <v>3206704</v>
      </c>
      <c r="I4577" s="4" t="s">
        <v>663</v>
      </c>
      <c r="J4577" s="4" t="s">
        <v>290</v>
      </c>
      <c r="K4577" s="4">
        <v>3197500</v>
      </c>
    </row>
    <row r="4578" spans="1:43" x14ac:dyDescent="0.3">
      <c r="B4578" s="44">
        <v>46109</v>
      </c>
      <c r="C4578" s="3" t="s">
        <v>416</v>
      </c>
      <c r="D4578" s="3" t="s">
        <v>593</v>
      </c>
      <c r="E4578" s="42"/>
      <c r="F4578" s="3" t="s">
        <v>693</v>
      </c>
      <c r="G4578" s="3" t="s">
        <v>629</v>
      </c>
      <c r="H4578" s="4">
        <v>3961708</v>
      </c>
      <c r="I4578" s="4" t="s">
        <v>701</v>
      </c>
      <c r="J4578" s="4" t="s">
        <v>631</v>
      </c>
      <c r="K4578" s="4">
        <v>4023209</v>
      </c>
    </row>
    <row r="4579" spans="1:43" x14ac:dyDescent="0.3">
      <c r="A4579" s="4"/>
      <c r="B4579" s="100">
        <v>46109</v>
      </c>
      <c r="C4579" s="98" t="s">
        <v>553</v>
      </c>
      <c r="D4579" s="4" t="s">
        <v>508</v>
      </c>
      <c r="E4579" s="4"/>
      <c r="F4579" s="73" t="s">
        <v>476</v>
      </c>
      <c r="G4579" s="73" t="s">
        <v>476</v>
      </c>
      <c r="H4579" s="73"/>
      <c r="I4579" s="73" t="s">
        <v>473</v>
      </c>
      <c r="J4579" s="73" t="s">
        <v>473</v>
      </c>
      <c r="K4579" s="7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</row>
    <row r="4580" spans="1:43" x14ac:dyDescent="0.3">
      <c r="B4580" s="44">
        <v>46109</v>
      </c>
      <c r="C4580" s="3" t="s">
        <v>416</v>
      </c>
      <c r="D4580" s="3" t="s">
        <v>504</v>
      </c>
      <c r="E4580" s="42"/>
      <c r="F4580" s="4" t="s">
        <v>476</v>
      </c>
      <c r="G4580" s="4" t="s">
        <v>100</v>
      </c>
      <c r="H4580" s="4">
        <v>3125302</v>
      </c>
      <c r="I4580" s="3" t="s">
        <v>662</v>
      </c>
      <c r="J4580" s="3" t="s">
        <v>99</v>
      </c>
      <c r="K4580" s="4">
        <v>3125604</v>
      </c>
    </row>
    <row r="4581" spans="1:43" x14ac:dyDescent="0.3">
      <c r="B4581" s="44">
        <v>46109</v>
      </c>
      <c r="C4581" s="3" t="s">
        <v>416</v>
      </c>
      <c r="D4581" s="3" t="s">
        <v>57</v>
      </c>
      <c r="E4581" s="42"/>
      <c r="F4581" s="32" t="s">
        <v>476</v>
      </c>
      <c r="G4581" s="32" t="s">
        <v>249</v>
      </c>
      <c r="H4581" s="15">
        <v>3038202</v>
      </c>
      <c r="I4581" s="4" t="s">
        <v>666</v>
      </c>
      <c r="J4581" s="4" t="s">
        <v>259</v>
      </c>
      <c r="K4581" s="4">
        <v>3205809</v>
      </c>
    </row>
    <row r="4582" spans="1:43" x14ac:dyDescent="0.3">
      <c r="B4582" s="44">
        <v>46109</v>
      </c>
      <c r="C4582" s="3" t="s">
        <v>416</v>
      </c>
      <c r="D4582" s="3" t="s">
        <v>62</v>
      </c>
      <c r="E4582" s="42"/>
      <c r="F4582" s="4" t="s">
        <v>476</v>
      </c>
      <c r="G4582" s="4" t="s">
        <v>287</v>
      </c>
      <c r="H4582" s="4">
        <v>3206600</v>
      </c>
      <c r="I4582" s="3" t="s">
        <v>676</v>
      </c>
      <c r="J4582" s="3" t="s">
        <v>286</v>
      </c>
      <c r="K4582" s="4">
        <v>3019605</v>
      </c>
    </row>
    <row r="4583" spans="1:43" x14ac:dyDescent="0.3">
      <c r="B4583" s="44">
        <v>46109</v>
      </c>
      <c r="C4583" s="3" t="s">
        <v>416</v>
      </c>
      <c r="D4583" s="3" t="s">
        <v>493</v>
      </c>
      <c r="E4583" s="42"/>
      <c r="F4583" s="3" t="s">
        <v>476</v>
      </c>
      <c r="G4583" s="3" t="s">
        <v>169</v>
      </c>
      <c r="H4583" s="4">
        <v>3356609</v>
      </c>
      <c r="I4583" s="4" t="s">
        <v>480</v>
      </c>
      <c r="J4583" s="4" t="s">
        <v>423</v>
      </c>
      <c r="K4583" s="4">
        <v>3360403</v>
      </c>
    </row>
    <row r="4584" spans="1:43" x14ac:dyDescent="0.3">
      <c r="B4584" s="44">
        <v>46109</v>
      </c>
      <c r="C4584" s="3" t="s">
        <v>416</v>
      </c>
      <c r="D4584" s="3" t="s">
        <v>62</v>
      </c>
      <c r="E4584" s="42"/>
      <c r="F4584" s="4" t="s">
        <v>476</v>
      </c>
      <c r="G4584" s="4" t="s">
        <v>323</v>
      </c>
      <c r="H4584" s="4">
        <v>3206506</v>
      </c>
      <c r="I4584" s="3" t="s">
        <v>694</v>
      </c>
      <c r="J4584" s="3" t="s">
        <v>340</v>
      </c>
      <c r="K4584" s="4">
        <v>3201803</v>
      </c>
    </row>
    <row r="4585" spans="1:43" x14ac:dyDescent="0.3">
      <c r="B4585" s="44">
        <v>46109</v>
      </c>
      <c r="C4585" s="3" t="s">
        <v>416</v>
      </c>
      <c r="D4585" s="3" t="s">
        <v>493</v>
      </c>
      <c r="E4585" s="42"/>
      <c r="F4585" s="3" t="s">
        <v>476</v>
      </c>
      <c r="G4585" s="3" t="s">
        <v>170</v>
      </c>
      <c r="H4585" s="4">
        <v>3356703</v>
      </c>
      <c r="I4585" s="4" t="s">
        <v>471</v>
      </c>
      <c r="J4585" s="4" t="s">
        <v>190</v>
      </c>
      <c r="K4585" s="4">
        <v>3348205</v>
      </c>
    </row>
    <row r="4586" spans="1:43" x14ac:dyDescent="0.3">
      <c r="B4586" s="44">
        <v>46109</v>
      </c>
      <c r="C4586" s="3" t="s">
        <v>416</v>
      </c>
      <c r="D4586" s="3" t="s">
        <v>593</v>
      </c>
      <c r="E4586" s="42"/>
      <c r="F4586" s="3" t="s">
        <v>476</v>
      </c>
      <c r="G4586" s="3" t="s">
        <v>630</v>
      </c>
      <c r="H4586" s="4">
        <v>3206308</v>
      </c>
      <c r="I4586" s="4" t="s">
        <v>679</v>
      </c>
      <c r="J4586" s="4" t="s">
        <v>633</v>
      </c>
      <c r="K4586" s="4">
        <v>3194607</v>
      </c>
    </row>
    <row r="4587" spans="1:43" x14ac:dyDescent="0.3">
      <c r="B4587" s="44">
        <v>46109</v>
      </c>
      <c r="C4587" s="3" t="s">
        <v>416</v>
      </c>
      <c r="D4587" s="3" t="s">
        <v>504</v>
      </c>
      <c r="E4587" s="42"/>
      <c r="F4587" s="4" t="s">
        <v>666</v>
      </c>
      <c r="G4587" s="4" t="s">
        <v>12</v>
      </c>
      <c r="H4587" s="4">
        <v>3034206</v>
      </c>
      <c r="I4587" s="3" t="s">
        <v>472</v>
      </c>
      <c r="J4587" s="3" t="s">
        <v>11</v>
      </c>
      <c r="K4587" s="4">
        <v>3034800</v>
      </c>
    </row>
    <row r="4588" spans="1:43" x14ac:dyDescent="0.3">
      <c r="B4588" s="44">
        <v>46109</v>
      </c>
      <c r="C4588" s="3" t="s">
        <v>416</v>
      </c>
      <c r="D4588" s="3" t="s">
        <v>492</v>
      </c>
      <c r="E4588" s="42"/>
      <c r="F4588" s="3" t="s">
        <v>666</v>
      </c>
      <c r="G4588" s="3" t="s">
        <v>158</v>
      </c>
      <c r="H4588" s="4">
        <v>3356901</v>
      </c>
      <c r="I4588" s="3" t="s">
        <v>474</v>
      </c>
      <c r="J4588" s="3" t="s">
        <v>161</v>
      </c>
      <c r="K4588" s="4">
        <v>3352509</v>
      </c>
    </row>
    <row r="4589" spans="1:43" x14ac:dyDescent="0.3">
      <c r="B4589" s="44">
        <v>46109</v>
      </c>
      <c r="C4589" s="3" t="s">
        <v>416</v>
      </c>
      <c r="D4589" s="4" t="s">
        <v>614</v>
      </c>
      <c r="E4589" s="42"/>
      <c r="F4589" s="3" t="s">
        <v>666</v>
      </c>
      <c r="G4589" s="3" t="s">
        <v>453</v>
      </c>
      <c r="H4589" s="4">
        <v>3206006</v>
      </c>
      <c r="I4589" s="4" t="s">
        <v>673</v>
      </c>
      <c r="J4589" s="4" t="s">
        <v>455</v>
      </c>
      <c r="K4589" s="4">
        <v>3961604</v>
      </c>
    </row>
    <row r="4590" spans="1:43" x14ac:dyDescent="0.3">
      <c r="A4590" s="4"/>
      <c r="B4590" s="100">
        <v>46109</v>
      </c>
      <c r="C4590" s="98" t="s">
        <v>553</v>
      </c>
      <c r="D4590" s="4" t="s">
        <v>508</v>
      </c>
      <c r="E4590" s="4"/>
      <c r="F4590" s="73" t="s">
        <v>478</v>
      </c>
      <c r="G4590" s="73" t="s">
        <v>478</v>
      </c>
      <c r="H4590" s="73"/>
      <c r="I4590" s="73" t="s">
        <v>509</v>
      </c>
      <c r="J4590" s="73" t="s">
        <v>509</v>
      </c>
      <c r="K4590" s="15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</row>
    <row r="4591" spans="1:43" x14ac:dyDescent="0.3">
      <c r="B4591" s="44">
        <v>46109</v>
      </c>
      <c r="C4591" s="3" t="s">
        <v>416</v>
      </c>
      <c r="D4591" s="3" t="s">
        <v>491</v>
      </c>
      <c r="E4591" s="42"/>
      <c r="F4591" s="3" t="s">
        <v>478</v>
      </c>
      <c r="G4591" s="3" t="s">
        <v>463</v>
      </c>
      <c r="H4591" s="74">
        <v>3125500</v>
      </c>
      <c r="I4591" s="3" t="s">
        <v>645</v>
      </c>
      <c r="J4591" s="3" t="s">
        <v>152</v>
      </c>
      <c r="K4591" s="4">
        <v>3351302</v>
      </c>
    </row>
    <row r="4592" spans="1:43" x14ac:dyDescent="0.3">
      <c r="B4592" s="44">
        <v>46109</v>
      </c>
      <c r="C4592" s="3" t="s">
        <v>416</v>
      </c>
      <c r="D4592" s="3" t="s">
        <v>63</v>
      </c>
      <c r="E4592" s="42"/>
      <c r="F4592" s="3" t="s">
        <v>478</v>
      </c>
      <c r="G4592" s="3" t="s">
        <v>331</v>
      </c>
      <c r="H4592" s="74">
        <v>3205403</v>
      </c>
      <c r="I4592" s="3" t="s">
        <v>684</v>
      </c>
      <c r="J4592" s="3" t="s">
        <v>369</v>
      </c>
      <c r="K4592" s="74">
        <v>3202708</v>
      </c>
    </row>
    <row r="4593" spans="2:11" x14ac:dyDescent="0.3">
      <c r="B4593" s="44">
        <v>46109</v>
      </c>
      <c r="C4593" s="3" t="s">
        <v>416</v>
      </c>
      <c r="D4593" s="3" t="s">
        <v>66</v>
      </c>
      <c r="E4593" s="42"/>
      <c r="F4593" s="3" t="s">
        <v>478</v>
      </c>
      <c r="G4593" s="3" t="s">
        <v>604</v>
      </c>
      <c r="H4593" s="74">
        <v>3205507</v>
      </c>
      <c r="I4593" s="3" t="s">
        <v>690</v>
      </c>
      <c r="J4593" s="3" t="s">
        <v>605</v>
      </c>
      <c r="K4593" s="74">
        <v>3900109</v>
      </c>
    </row>
    <row r="4594" spans="2:11" x14ac:dyDescent="0.3">
      <c r="B4594" s="44">
        <v>46109</v>
      </c>
      <c r="C4594" s="3" t="s">
        <v>416</v>
      </c>
      <c r="D4594" s="3" t="s">
        <v>488</v>
      </c>
      <c r="E4594" s="42"/>
      <c r="F4594" s="4" t="s">
        <v>690</v>
      </c>
      <c r="G4594" s="4" t="s">
        <v>118</v>
      </c>
      <c r="H4594" s="4">
        <v>3356005</v>
      </c>
      <c r="I4594" s="3" t="s">
        <v>702</v>
      </c>
      <c r="J4594" s="3" t="s">
        <v>119</v>
      </c>
      <c r="K4594" s="4">
        <v>3067909</v>
      </c>
    </row>
    <row r="4595" spans="2:11" x14ac:dyDescent="0.3">
      <c r="B4595" s="44">
        <v>46109</v>
      </c>
      <c r="C4595" s="3" t="s">
        <v>416</v>
      </c>
      <c r="D4595" s="3" t="s">
        <v>58</v>
      </c>
      <c r="E4595" s="42"/>
      <c r="F4595" s="3" t="s">
        <v>690</v>
      </c>
      <c r="G4595" s="3" t="s">
        <v>303</v>
      </c>
      <c r="H4595" s="4">
        <v>3205101</v>
      </c>
      <c r="I4595" s="3" t="s">
        <v>698</v>
      </c>
      <c r="J4595" s="3" t="s">
        <v>587</v>
      </c>
      <c r="K4595" s="32" t="s">
        <v>563</v>
      </c>
    </row>
    <row r="4596" spans="2:11" x14ac:dyDescent="0.3">
      <c r="B4596" s="44">
        <v>46109</v>
      </c>
      <c r="C4596" s="3" t="s">
        <v>416</v>
      </c>
      <c r="D4596" s="3" t="s">
        <v>491</v>
      </c>
      <c r="E4596" s="42"/>
      <c r="F4596" s="4" t="s">
        <v>690</v>
      </c>
      <c r="G4596" s="4" t="s">
        <v>179</v>
      </c>
      <c r="H4596" s="4">
        <v>3818900</v>
      </c>
      <c r="I4596" s="3" t="s">
        <v>695</v>
      </c>
      <c r="J4596" s="3" t="s">
        <v>148</v>
      </c>
      <c r="K4596" s="4">
        <v>3355402</v>
      </c>
    </row>
    <row r="4597" spans="2:11" x14ac:dyDescent="0.3">
      <c r="B4597" s="44">
        <v>46109</v>
      </c>
      <c r="C4597" s="3" t="s">
        <v>416</v>
      </c>
      <c r="D4597" s="3" t="s">
        <v>65</v>
      </c>
      <c r="E4597" s="42"/>
      <c r="F4597" s="3" t="s">
        <v>718</v>
      </c>
      <c r="G4597" s="3" t="s">
        <v>359</v>
      </c>
      <c r="H4597" s="4">
        <v>3204602</v>
      </c>
      <c r="I4597" s="4" t="s">
        <v>656</v>
      </c>
      <c r="J4597" s="4" t="s">
        <v>326</v>
      </c>
      <c r="K4597" s="4">
        <v>3199904</v>
      </c>
    </row>
    <row r="4598" spans="2:11" x14ac:dyDescent="0.3">
      <c r="B4598" s="44">
        <v>46109</v>
      </c>
      <c r="C4598" s="3" t="s">
        <v>416</v>
      </c>
      <c r="D4598" s="3" t="s">
        <v>486</v>
      </c>
      <c r="E4598" s="42"/>
      <c r="F4598" s="4" t="s">
        <v>682</v>
      </c>
      <c r="G4598" s="4" t="s">
        <v>559</v>
      </c>
      <c r="H4598" s="4">
        <v>3969200</v>
      </c>
      <c r="I4598" s="3" t="s">
        <v>474</v>
      </c>
      <c r="J4598" s="3" t="s">
        <v>103</v>
      </c>
      <c r="K4598" s="4">
        <v>3353206</v>
      </c>
    </row>
    <row r="4599" spans="2:11" x14ac:dyDescent="0.3">
      <c r="B4599" s="44">
        <v>46109</v>
      </c>
      <c r="C4599" s="3" t="s">
        <v>416</v>
      </c>
      <c r="D4599" s="3" t="s">
        <v>610</v>
      </c>
      <c r="E4599" s="42"/>
      <c r="F4599" s="3" t="s">
        <v>682</v>
      </c>
      <c r="G4599" s="3" t="s">
        <v>611</v>
      </c>
      <c r="H4599" s="4">
        <v>3204800</v>
      </c>
      <c r="I4599" s="4" t="s">
        <v>666</v>
      </c>
      <c r="J4599" s="4" t="s">
        <v>348</v>
      </c>
      <c r="K4599" s="4">
        <v>3205903</v>
      </c>
    </row>
    <row r="4600" spans="2:11" x14ac:dyDescent="0.3">
      <c r="B4600" s="44">
        <v>46109</v>
      </c>
      <c r="C4600" s="3" t="s">
        <v>416</v>
      </c>
      <c r="D4600" s="3" t="s">
        <v>495</v>
      </c>
      <c r="E4600" s="42"/>
      <c r="F4600" s="3" t="s">
        <v>682</v>
      </c>
      <c r="G4600" s="3" t="s">
        <v>568</v>
      </c>
      <c r="H4600" s="4">
        <v>3969908</v>
      </c>
      <c r="I4600" s="3" t="s">
        <v>685</v>
      </c>
      <c r="J4600" s="3" t="s">
        <v>197</v>
      </c>
      <c r="K4600" s="4">
        <v>3353300</v>
      </c>
    </row>
    <row r="4601" spans="2:11" x14ac:dyDescent="0.3">
      <c r="B4601" s="44">
        <v>46109</v>
      </c>
      <c r="C4601" s="3" t="s">
        <v>416</v>
      </c>
      <c r="D4601" s="4" t="s">
        <v>614</v>
      </c>
      <c r="E4601" s="42"/>
      <c r="F4601" s="3" t="s">
        <v>682</v>
      </c>
      <c r="G4601" s="3" t="s">
        <v>622</v>
      </c>
      <c r="H4601" s="4">
        <v>3969502</v>
      </c>
      <c r="I4601" s="4" t="s">
        <v>713</v>
      </c>
      <c r="J4601" s="4" t="s">
        <v>386</v>
      </c>
      <c r="K4601" s="4">
        <v>3900807</v>
      </c>
    </row>
    <row r="4602" spans="2:11" x14ac:dyDescent="0.3">
      <c r="B4602" s="44">
        <v>46109</v>
      </c>
      <c r="C4602" s="3" t="s">
        <v>416</v>
      </c>
      <c r="D4602" s="3" t="s">
        <v>592</v>
      </c>
      <c r="E4602" s="42"/>
      <c r="F4602" s="3" t="s">
        <v>682</v>
      </c>
      <c r="G4602" s="3" t="s">
        <v>635</v>
      </c>
      <c r="H4602" s="74">
        <v>3969700</v>
      </c>
      <c r="I4602" s="3" t="s">
        <v>662</v>
      </c>
      <c r="J4602" s="3" t="s">
        <v>634</v>
      </c>
      <c r="K4602" s="74">
        <v>4023105</v>
      </c>
    </row>
    <row r="4603" spans="2:11" x14ac:dyDescent="0.3">
      <c r="B4603" s="44">
        <v>46109</v>
      </c>
      <c r="C4603" s="3" t="s">
        <v>416</v>
      </c>
      <c r="D4603" s="3" t="s">
        <v>500</v>
      </c>
      <c r="E4603" s="42"/>
      <c r="F4603" s="3" t="s">
        <v>701</v>
      </c>
      <c r="G4603" s="3" t="s">
        <v>236</v>
      </c>
      <c r="H4603" s="4">
        <v>3355704</v>
      </c>
      <c r="I4603" s="4" t="s">
        <v>672</v>
      </c>
      <c r="J4603" s="4" t="s">
        <v>187</v>
      </c>
      <c r="K4603" s="4">
        <v>3354101</v>
      </c>
    </row>
    <row r="4604" spans="2:11" x14ac:dyDescent="0.3">
      <c r="B4604" s="44">
        <v>46109</v>
      </c>
      <c r="C4604" s="3" t="s">
        <v>416</v>
      </c>
      <c r="D4604" s="3" t="s">
        <v>491</v>
      </c>
      <c r="E4604" s="42"/>
      <c r="F4604" s="4" t="s">
        <v>702</v>
      </c>
      <c r="G4604" s="4" t="s">
        <v>180</v>
      </c>
      <c r="H4604" s="4">
        <v>3355308</v>
      </c>
      <c r="I4604" s="3" t="s">
        <v>697</v>
      </c>
      <c r="J4604" s="3" t="s">
        <v>150</v>
      </c>
      <c r="K4604" s="4">
        <v>3353706</v>
      </c>
    </row>
    <row r="4605" spans="2:11" x14ac:dyDescent="0.3">
      <c r="B4605" s="44">
        <v>46109</v>
      </c>
      <c r="C4605" s="3" t="s">
        <v>416</v>
      </c>
      <c r="D4605" s="3" t="s">
        <v>487</v>
      </c>
      <c r="E4605" s="4"/>
      <c r="F4605" s="3" t="s">
        <v>695</v>
      </c>
      <c r="G4605" s="3" t="s">
        <v>101</v>
      </c>
      <c r="H4605" s="4">
        <v>3067305</v>
      </c>
      <c r="I4605" s="4" t="s">
        <v>710</v>
      </c>
      <c r="J4605" s="4" t="s">
        <v>113</v>
      </c>
      <c r="K4605" s="4">
        <v>3352009</v>
      </c>
    </row>
    <row r="4606" spans="2:11" x14ac:dyDescent="0.3">
      <c r="B4606" s="44">
        <v>46109</v>
      </c>
      <c r="C4606" s="3" t="s">
        <v>416</v>
      </c>
      <c r="D4606" s="3" t="s">
        <v>60</v>
      </c>
      <c r="E4606" s="42"/>
      <c r="F4606" s="3" t="s">
        <v>695</v>
      </c>
      <c r="G4606" s="3" t="s">
        <v>296</v>
      </c>
      <c r="H4606" s="4">
        <v>3203905</v>
      </c>
      <c r="I4606" s="3" t="s">
        <v>667</v>
      </c>
      <c r="J4606" s="3" t="s">
        <v>444</v>
      </c>
      <c r="K4606" s="32">
        <v>3209909</v>
      </c>
    </row>
    <row r="4607" spans="2:11" x14ac:dyDescent="0.3">
      <c r="B4607" s="44">
        <v>46109</v>
      </c>
      <c r="C4607" s="3" t="s">
        <v>416</v>
      </c>
      <c r="D4607" s="3" t="s">
        <v>488</v>
      </c>
      <c r="E4607" s="42"/>
      <c r="F4607" s="4" t="s">
        <v>695</v>
      </c>
      <c r="G4607" s="4" t="s">
        <v>147</v>
      </c>
      <c r="H4607" s="4">
        <v>3067409</v>
      </c>
      <c r="I4607" s="4" t="s">
        <v>698</v>
      </c>
      <c r="J4607" s="4" t="s">
        <v>561</v>
      </c>
      <c r="K4607" s="4" t="s">
        <v>563</v>
      </c>
    </row>
    <row r="4608" spans="2:11" x14ac:dyDescent="0.3">
      <c r="B4608" s="44">
        <v>46109</v>
      </c>
      <c r="C4608" s="3" t="s">
        <v>416</v>
      </c>
      <c r="D4608" s="3" t="s">
        <v>58</v>
      </c>
      <c r="E4608" s="42"/>
      <c r="F4608" s="3" t="s">
        <v>704</v>
      </c>
      <c r="G4608" s="3" t="s">
        <v>297</v>
      </c>
      <c r="H4608" s="4">
        <v>3204008</v>
      </c>
      <c r="I4608" s="3" t="s">
        <v>659</v>
      </c>
      <c r="J4608" s="3" t="s">
        <v>265</v>
      </c>
      <c r="K4608" s="32">
        <v>3208702</v>
      </c>
    </row>
    <row r="4609" spans="2:13" x14ac:dyDescent="0.3">
      <c r="B4609" s="44">
        <v>46109</v>
      </c>
      <c r="C4609" s="3" t="s">
        <v>416</v>
      </c>
      <c r="D4609" s="3" t="s">
        <v>60</v>
      </c>
      <c r="E4609" s="42"/>
      <c r="F4609" s="3" t="s">
        <v>473</v>
      </c>
      <c r="G4609" s="3" t="s">
        <v>445</v>
      </c>
      <c r="H4609" s="4">
        <v>3204102</v>
      </c>
      <c r="I4609" s="3" t="s">
        <v>667</v>
      </c>
      <c r="J4609" s="3" t="s">
        <v>294</v>
      </c>
      <c r="K4609" s="32">
        <v>3209409</v>
      </c>
    </row>
    <row r="4610" spans="2:13" x14ac:dyDescent="0.3">
      <c r="B4610" s="44">
        <v>46109</v>
      </c>
      <c r="C4610" s="3" t="s">
        <v>416</v>
      </c>
      <c r="D4610" s="3" t="s">
        <v>60</v>
      </c>
      <c r="E4610" s="42"/>
      <c r="F4610" s="3" t="s">
        <v>473</v>
      </c>
      <c r="G4610" s="3" t="s">
        <v>298</v>
      </c>
      <c r="H4610" s="4">
        <v>3817807</v>
      </c>
      <c r="I4610" s="3" t="s">
        <v>698</v>
      </c>
      <c r="J4610" s="3" t="s">
        <v>595</v>
      </c>
      <c r="K4610" s="32" t="s">
        <v>563</v>
      </c>
    </row>
    <row r="4611" spans="2:13" x14ac:dyDescent="0.3">
      <c r="B4611" s="44">
        <v>46109</v>
      </c>
      <c r="C4611" s="3" t="s">
        <v>416</v>
      </c>
      <c r="D4611" s="3" t="s">
        <v>60</v>
      </c>
      <c r="E4611" s="42"/>
      <c r="F4611" s="3" t="s">
        <v>473</v>
      </c>
      <c r="G4611" s="3" t="s">
        <v>446</v>
      </c>
      <c r="H4611" s="4">
        <v>3204206</v>
      </c>
      <c r="I4611" s="32" t="s">
        <v>705</v>
      </c>
      <c r="J4611" s="32" t="s">
        <v>293</v>
      </c>
      <c r="K4611" s="15">
        <v>3211705</v>
      </c>
    </row>
    <row r="4612" spans="2:13" x14ac:dyDescent="0.3">
      <c r="B4612" s="44">
        <v>46109</v>
      </c>
      <c r="C4612" s="3" t="s">
        <v>416</v>
      </c>
      <c r="D4612" s="3" t="s">
        <v>494</v>
      </c>
      <c r="E4612" s="42"/>
      <c r="F4612" s="4" t="s">
        <v>708</v>
      </c>
      <c r="G4612" s="4" t="s">
        <v>141</v>
      </c>
      <c r="H4612" s="4">
        <v>3125802</v>
      </c>
      <c r="I4612" s="3" t="s">
        <v>662</v>
      </c>
      <c r="J4612" s="3" t="s">
        <v>218</v>
      </c>
      <c r="K4612" s="4">
        <v>3358201</v>
      </c>
    </row>
    <row r="4613" spans="2:13" x14ac:dyDescent="0.3">
      <c r="B4613" s="44">
        <v>46109</v>
      </c>
      <c r="C4613" s="3" t="s">
        <v>416</v>
      </c>
      <c r="D4613" s="3" t="s">
        <v>501</v>
      </c>
      <c r="E4613" s="42"/>
      <c r="F4613" s="3" t="s">
        <v>708</v>
      </c>
      <c r="G4613" s="3" t="s">
        <v>598</v>
      </c>
      <c r="H4613" s="4">
        <v>3354903</v>
      </c>
      <c r="I4613" s="3" t="s">
        <v>717</v>
      </c>
      <c r="J4613" s="3" t="s">
        <v>583</v>
      </c>
      <c r="K4613" s="4">
        <v>4022908</v>
      </c>
      <c r="M4613" s="51"/>
    </row>
    <row r="4614" spans="2:13" x14ac:dyDescent="0.3">
      <c r="B4614" s="44">
        <v>46109</v>
      </c>
      <c r="C4614" s="3" t="s">
        <v>416</v>
      </c>
      <c r="D4614" s="3" t="s">
        <v>58</v>
      </c>
      <c r="E4614" s="42"/>
      <c r="F4614" s="3" t="s">
        <v>703</v>
      </c>
      <c r="G4614" s="3" t="s">
        <v>586</v>
      </c>
      <c r="H4614" s="4" t="s">
        <v>588</v>
      </c>
      <c r="I4614" s="3" t="s">
        <v>706</v>
      </c>
      <c r="J4614" s="3" t="s">
        <v>269</v>
      </c>
      <c r="K4614" s="4">
        <v>3069407</v>
      </c>
    </row>
    <row r="4615" spans="2:13" x14ac:dyDescent="0.3">
      <c r="B4615" s="44">
        <v>46109</v>
      </c>
      <c r="C4615" s="3" t="s">
        <v>416</v>
      </c>
      <c r="D4615" s="3" t="s">
        <v>61</v>
      </c>
      <c r="E4615" s="42"/>
      <c r="F4615" s="3" t="s">
        <v>703</v>
      </c>
      <c r="G4615" s="3" t="s">
        <v>596</v>
      </c>
      <c r="H4615" s="4" t="s">
        <v>556</v>
      </c>
      <c r="I4615" s="3" t="s">
        <v>696</v>
      </c>
      <c r="J4615" s="3" t="s">
        <v>307</v>
      </c>
      <c r="K4615" s="4">
        <v>3201907</v>
      </c>
    </row>
    <row r="4616" spans="2:13" x14ac:dyDescent="0.3">
      <c r="B4616" s="44">
        <v>46109</v>
      </c>
      <c r="C4616" s="3" t="s">
        <v>416</v>
      </c>
      <c r="D4616" s="3" t="s">
        <v>58</v>
      </c>
      <c r="E4616" s="42"/>
      <c r="F4616" s="3" t="s">
        <v>683</v>
      </c>
      <c r="G4616" s="3" t="s">
        <v>305</v>
      </c>
      <c r="H4616" s="4">
        <v>3202906</v>
      </c>
      <c r="I4616" s="32" t="s">
        <v>478</v>
      </c>
      <c r="J4616" s="32" t="s">
        <v>267</v>
      </c>
      <c r="K4616" s="15">
        <v>3205205</v>
      </c>
    </row>
    <row r="4617" spans="2:13" x14ac:dyDescent="0.3">
      <c r="B4617" s="44">
        <v>46109</v>
      </c>
      <c r="C4617" s="3" t="s">
        <v>416</v>
      </c>
      <c r="D4617" s="3" t="s">
        <v>63</v>
      </c>
      <c r="E4617" s="42"/>
      <c r="F4617" s="3" t="s">
        <v>683</v>
      </c>
      <c r="G4617" s="3" t="s">
        <v>368</v>
      </c>
      <c r="H4617" s="74">
        <v>3203009</v>
      </c>
      <c r="I4617" s="3" t="s">
        <v>658</v>
      </c>
      <c r="J4617" s="3" t="s">
        <v>366</v>
      </c>
      <c r="K4617" s="74">
        <v>3210404</v>
      </c>
    </row>
    <row r="4618" spans="2:13" x14ac:dyDescent="0.3">
      <c r="B4618" s="44">
        <v>46109</v>
      </c>
      <c r="C4618" s="3" t="s">
        <v>416</v>
      </c>
      <c r="D4618" s="3" t="s">
        <v>57</v>
      </c>
      <c r="E4618" s="42"/>
      <c r="F4618" s="32" t="s">
        <v>709</v>
      </c>
      <c r="G4618" s="32" t="s">
        <v>268</v>
      </c>
      <c r="H4618" s="15">
        <v>3203103</v>
      </c>
      <c r="I4618" s="3" t="s">
        <v>682</v>
      </c>
      <c r="J4618" s="3" t="s">
        <v>584</v>
      </c>
      <c r="K4618" s="4">
        <v>3069303</v>
      </c>
    </row>
    <row r="4619" spans="2:13" x14ac:dyDescent="0.3">
      <c r="B4619" s="44">
        <v>46109</v>
      </c>
      <c r="C4619" s="3" t="s">
        <v>416</v>
      </c>
      <c r="D4619" s="3" t="s">
        <v>66</v>
      </c>
      <c r="E4619" s="42"/>
      <c r="F4619" s="3" t="s">
        <v>709</v>
      </c>
      <c r="G4619" s="3" t="s">
        <v>607</v>
      </c>
      <c r="H4619" s="4">
        <v>3596309</v>
      </c>
      <c r="I4619" s="3" t="s">
        <v>703</v>
      </c>
      <c r="J4619" s="3" t="s">
        <v>606</v>
      </c>
      <c r="K4619" s="74" t="s">
        <v>588</v>
      </c>
    </row>
    <row r="4620" spans="2:13" x14ac:dyDescent="0.3">
      <c r="B4620" s="44">
        <v>46109</v>
      </c>
      <c r="C4620" s="3" t="s">
        <v>416</v>
      </c>
      <c r="D4620" s="3" t="s">
        <v>488</v>
      </c>
      <c r="E4620" s="42"/>
      <c r="F4620" s="4" t="s">
        <v>684</v>
      </c>
      <c r="G4620" s="4" t="s">
        <v>121</v>
      </c>
      <c r="H4620" s="4">
        <v>3354309</v>
      </c>
      <c r="I4620" s="3" t="s">
        <v>645</v>
      </c>
      <c r="J4620" s="3" t="s">
        <v>123</v>
      </c>
      <c r="K4620" s="4">
        <v>3351104</v>
      </c>
    </row>
    <row r="4621" spans="2:13" x14ac:dyDescent="0.3">
      <c r="B4621" s="44">
        <v>46109</v>
      </c>
      <c r="C4621" s="3" t="s">
        <v>416</v>
      </c>
      <c r="D4621" s="3" t="s">
        <v>66</v>
      </c>
      <c r="E4621" s="42"/>
      <c r="F4621" s="3" t="s">
        <v>684</v>
      </c>
      <c r="G4621" s="3" t="s">
        <v>608</v>
      </c>
      <c r="H4621" s="74">
        <v>3819107</v>
      </c>
      <c r="I4621" s="3" t="s">
        <v>696</v>
      </c>
      <c r="J4621" s="3" t="s">
        <v>609</v>
      </c>
      <c r="K4621" s="74">
        <v>3900401</v>
      </c>
    </row>
    <row r="4622" spans="2:13" x14ac:dyDescent="0.3">
      <c r="B4622" s="44">
        <v>46109</v>
      </c>
      <c r="C4622" s="3" t="s">
        <v>416</v>
      </c>
      <c r="D4622" s="3" t="s">
        <v>486</v>
      </c>
      <c r="E4622" s="42"/>
      <c r="F4622" s="4" t="s">
        <v>646</v>
      </c>
      <c r="G4622" s="4" t="s">
        <v>102</v>
      </c>
      <c r="H4622" s="4">
        <v>3125406</v>
      </c>
      <c r="I4622" s="3" t="s">
        <v>681</v>
      </c>
      <c r="J4622" s="3" t="s">
        <v>105</v>
      </c>
      <c r="K4622" s="4">
        <v>3035809</v>
      </c>
    </row>
    <row r="4623" spans="2:13" x14ac:dyDescent="0.3">
      <c r="B4623" s="44">
        <v>46109</v>
      </c>
      <c r="C4623" s="3" t="s">
        <v>416</v>
      </c>
      <c r="D4623" s="3" t="s">
        <v>59</v>
      </c>
      <c r="E4623" s="42"/>
      <c r="F4623" s="4" t="s">
        <v>646</v>
      </c>
      <c r="G4623" s="4" t="s">
        <v>275</v>
      </c>
      <c r="H4623" s="4">
        <v>3202406</v>
      </c>
      <c r="I4623" s="3" t="s">
        <v>652</v>
      </c>
      <c r="J4623" s="3" t="s">
        <v>313</v>
      </c>
      <c r="K4623" s="4">
        <v>3207901</v>
      </c>
    </row>
    <row r="4624" spans="2:13" x14ac:dyDescent="0.3">
      <c r="B4624" s="44">
        <v>46109</v>
      </c>
      <c r="C4624" s="3" t="s">
        <v>416</v>
      </c>
      <c r="D4624" s="3" t="s">
        <v>492</v>
      </c>
      <c r="E4624" s="42"/>
      <c r="F4624" s="4" t="s">
        <v>646</v>
      </c>
      <c r="G4624" s="4" t="s">
        <v>194</v>
      </c>
      <c r="H4624" s="4">
        <v>3354205</v>
      </c>
      <c r="I4624" s="3" t="s">
        <v>719</v>
      </c>
      <c r="J4624" s="3" t="s">
        <v>155</v>
      </c>
      <c r="K4624" s="4">
        <v>3361600</v>
      </c>
    </row>
    <row r="4625" spans="1:43" x14ac:dyDescent="0.3">
      <c r="B4625" s="44">
        <v>46109</v>
      </c>
      <c r="C4625" s="3" t="s">
        <v>416</v>
      </c>
      <c r="D4625" s="3" t="s">
        <v>610</v>
      </c>
      <c r="E4625" s="42"/>
      <c r="F4625" s="3" t="s">
        <v>646</v>
      </c>
      <c r="G4625" s="3" t="s">
        <v>350</v>
      </c>
      <c r="H4625" s="4">
        <v>3202802</v>
      </c>
      <c r="I4625" s="4" t="s">
        <v>685</v>
      </c>
      <c r="J4625" s="4" t="s">
        <v>382</v>
      </c>
      <c r="K4625" s="4">
        <v>3200804</v>
      </c>
    </row>
    <row r="4626" spans="1:43" x14ac:dyDescent="0.3">
      <c r="B4626" s="44">
        <v>46109</v>
      </c>
      <c r="C4626" s="3" t="s">
        <v>416</v>
      </c>
      <c r="D4626" s="4" t="s">
        <v>614</v>
      </c>
      <c r="E4626" s="42"/>
      <c r="F4626" s="3" t="s">
        <v>646</v>
      </c>
      <c r="G4626" s="3" t="s">
        <v>380</v>
      </c>
      <c r="H4626" s="4">
        <v>3202208</v>
      </c>
      <c r="I4626" s="4" t="s">
        <v>675</v>
      </c>
      <c r="J4626" s="4" t="s">
        <v>403</v>
      </c>
      <c r="K4626" s="4">
        <v>3198509</v>
      </c>
    </row>
    <row r="4627" spans="1:43" x14ac:dyDescent="0.3">
      <c r="B4627" s="44">
        <v>46109</v>
      </c>
      <c r="C4627" s="3" t="s">
        <v>416</v>
      </c>
      <c r="D4627" s="3" t="s">
        <v>56</v>
      </c>
      <c r="E4627" s="42"/>
      <c r="F4627" s="4" t="s">
        <v>696</v>
      </c>
      <c r="G4627" s="4" t="s">
        <v>261</v>
      </c>
      <c r="H4627" s="4">
        <v>3202302</v>
      </c>
      <c r="I4627" s="3" t="s">
        <v>646</v>
      </c>
      <c r="J4627" s="3" t="s">
        <v>251</v>
      </c>
      <c r="K4627" s="4">
        <v>3036704</v>
      </c>
    </row>
    <row r="4628" spans="1:43" x14ac:dyDescent="0.3">
      <c r="A4628" s="4"/>
      <c r="B4628" s="100">
        <v>46109</v>
      </c>
      <c r="C4628" s="98" t="s">
        <v>553</v>
      </c>
      <c r="D4628" s="4" t="s">
        <v>512</v>
      </c>
      <c r="E4628" s="4"/>
      <c r="F4628" s="73" t="s">
        <v>555</v>
      </c>
      <c r="G4628" s="73" t="s">
        <v>552</v>
      </c>
      <c r="H4628" s="73"/>
      <c r="I4628" s="73" t="s">
        <v>477</v>
      </c>
      <c r="J4628" s="73" t="s">
        <v>477</v>
      </c>
      <c r="K4628" s="15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</row>
    <row r="4629" spans="1:43" x14ac:dyDescent="0.3">
      <c r="B4629" s="44">
        <v>46109</v>
      </c>
      <c r="C4629" s="3" t="s">
        <v>416</v>
      </c>
      <c r="D4629" s="3" t="s">
        <v>489</v>
      </c>
      <c r="E4629" s="4"/>
      <c r="F4629" s="3" t="s">
        <v>672</v>
      </c>
      <c r="G4629" s="3" t="s">
        <v>129</v>
      </c>
      <c r="H4629" s="4">
        <v>3067503</v>
      </c>
      <c r="I4629" s="4" t="s">
        <v>682</v>
      </c>
      <c r="J4629" s="4" t="s">
        <v>564</v>
      </c>
      <c r="K4629" s="4">
        <v>3969804</v>
      </c>
    </row>
    <row r="4630" spans="1:43" x14ac:dyDescent="0.3">
      <c r="B4630" s="44">
        <v>46109</v>
      </c>
      <c r="C4630" s="3" t="s">
        <v>416</v>
      </c>
      <c r="D4630" s="3" t="s">
        <v>64</v>
      </c>
      <c r="E4630" s="42">
        <v>4370907</v>
      </c>
      <c r="F4630" s="3" t="s">
        <v>672</v>
      </c>
      <c r="G4630" s="3" t="s">
        <v>316</v>
      </c>
      <c r="H4630" s="4">
        <v>3069105</v>
      </c>
      <c r="I4630" s="4" t="s">
        <v>646</v>
      </c>
      <c r="J4630" s="4" t="s">
        <v>349</v>
      </c>
      <c r="K4630" s="4">
        <v>3202500</v>
      </c>
    </row>
    <row r="4631" spans="1:43" x14ac:dyDescent="0.3">
      <c r="B4631" s="44">
        <v>46109</v>
      </c>
      <c r="C4631" s="3" t="s">
        <v>416</v>
      </c>
      <c r="D4631" s="3" t="s">
        <v>67</v>
      </c>
      <c r="E4631" s="42"/>
      <c r="F4631" s="4" t="s">
        <v>672</v>
      </c>
      <c r="G4631" s="4" t="s">
        <v>375</v>
      </c>
      <c r="H4631" s="4">
        <v>3069209</v>
      </c>
      <c r="I4631" s="3" t="s">
        <v>708</v>
      </c>
      <c r="J4631" s="3" t="s">
        <v>339</v>
      </c>
      <c r="K4631" s="4">
        <v>3204300</v>
      </c>
    </row>
    <row r="4632" spans="1:43" x14ac:dyDescent="0.3">
      <c r="B4632" s="44">
        <v>46109</v>
      </c>
      <c r="C4632" s="3" t="s">
        <v>416</v>
      </c>
      <c r="D4632" s="3" t="s">
        <v>70</v>
      </c>
      <c r="E4632" s="42"/>
      <c r="F4632" s="3" t="s">
        <v>672</v>
      </c>
      <c r="G4632" s="3" t="s">
        <v>401</v>
      </c>
      <c r="H4632" s="4">
        <v>3202000</v>
      </c>
      <c r="I4632" s="3" t="s">
        <v>688</v>
      </c>
      <c r="J4632" s="3" t="s">
        <v>379</v>
      </c>
      <c r="K4632" s="4">
        <v>3194409</v>
      </c>
    </row>
    <row r="4633" spans="1:43" x14ac:dyDescent="0.3">
      <c r="B4633" s="44">
        <v>46109</v>
      </c>
      <c r="C4633" s="3" t="s">
        <v>416</v>
      </c>
      <c r="D4633" s="3" t="s">
        <v>488</v>
      </c>
      <c r="E4633" s="42"/>
      <c r="F4633" s="4" t="s">
        <v>697</v>
      </c>
      <c r="G4633" s="4" t="s">
        <v>122</v>
      </c>
      <c r="H4633" s="4">
        <v>3353800</v>
      </c>
      <c r="I4633" s="3" t="s">
        <v>704</v>
      </c>
      <c r="J4633" s="3" t="s">
        <v>120</v>
      </c>
      <c r="K4633" s="4">
        <v>3355506</v>
      </c>
    </row>
    <row r="4634" spans="1:43" x14ac:dyDescent="0.3">
      <c r="B4634" s="44">
        <v>46109</v>
      </c>
      <c r="C4634" s="3" t="s">
        <v>416</v>
      </c>
      <c r="D4634" s="3" t="s">
        <v>63</v>
      </c>
      <c r="E4634" s="42"/>
      <c r="F4634" s="3" t="s">
        <v>697</v>
      </c>
      <c r="G4634" s="3" t="s">
        <v>448</v>
      </c>
      <c r="H4634" s="4">
        <v>3036808</v>
      </c>
      <c r="I4634" s="3" t="s">
        <v>680</v>
      </c>
      <c r="J4634" s="3" t="s">
        <v>329</v>
      </c>
      <c r="K4634" s="74">
        <v>3208108</v>
      </c>
    </row>
    <row r="4635" spans="1:43" x14ac:dyDescent="0.3">
      <c r="B4635" s="44">
        <v>46109</v>
      </c>
      <c r="C4635" s="3" t="s">
        <v>416</v>
      </c>
      <c r="D4635" s="3" t="s">
        <v>504</v>
      </c>
      <c r="E4635" s="42"/>
      <c r="F4635" s="4" t="s">
        <v>694</v>
      </c>
      <c r="G4635" s="4" t="s">
        <v>112</v>
      </c>
      <c r="H4635" s="4">
        <v>3353602</v>
      </c>
      <c r="I4635" s="4" t="s">
        <v>720</v>
      </c>
      <c r="J4635" s="4" t="s">
        <v>13</v>
      </c>
      <c r="K4635" s="4">
        <v>3125906</v>
      </c>
    </row>
    <row r="4636" spans="1:43" x14ac:dyDescent="0.3">
      <c r="B4636" s="44">
        <v>46109</v>
      </c>
      <c r="C4636" s="3" t="s">
        <v>416</v>
      </c>
      <c r="D4636" s="3" t="s">
        <v>57</v>
      </c>
      <c r="E4636" s="42"/>
      <c r="F4636" s="53" t="s">
        <v>694</v>
      </c>
      <c r="G4636" s="53" t="s">
        <v>276</v>
      </c>
      <c r="H4636" s="74">
        <v>3201709</v>
      </c>
      <c r="I4636" s="15" t="s">
        <v>703</v>
      </c>
      <c r="J4636" s="15" t="s">
        <v>585</v>
      </c>
      <c r="K4636" s="74" t="s">
        <v>556</v>
      </c>
    </row>
    <row r="4637" spans="1:43" x14ac:dyDescent="0.3">
      <c r="B4637" s="44">
        <v>46109</v>
      </c>
      <c r="C4637" s="3" t="s">
        <v>416</v>
      </c>
      <c r="D4637" s="3" t="s">
        <v>494</v>
      </c>
      <c r="E4637" s="42"/>
      <c r="F4637" s="4" t="s">
        <v>694</v>
      </c>
      <c r="G4637" s="4" t="s">
        <v>188</v>
      </c>
      <c r="H4637" s="4">
        <v>3353508</v>
      </c>
      <c r="I4637" s="3" t="s">
        <v>708</v>
      </c>
      <c r="J4637" s="3" t="s">
        <v>220</v>
      </c>
      <c r="K4637" s="4">
        <v>3354809</v>
      </c>
    </row>
    <row r="4638" spans="1:43" x14ac:dyDescent="0.3">
      <c r="B4638" s="44">
        <v>46109</v>
      </c>
      <c r="C4638" s="3" t="s">
        <v>416</v>
      </c>
      <c r="D4638" s="3" t="s">
        <v>494</v>
      </c>
      <c r="E4638" s="42"/>
      <c r="F4638" s="3" t="s">
        <v>694</v>
      </c>
      <c r="G4638" s="3" t="s">
        <v>221</v>
      </c>
      <c r="H4638" s="4">
        <v>3353404</v>
      </c>
      <c r="I4638" s="3" t="s">
        <v>475</v>
      </c>
      <c r="J4638" s="3" t="s">
        <v>183</v>
      </c>
      <c r="K4638" s="4">
        <v>3362901</v>
      </c>
    </row>
    <row r="4639" spans="1:43" x14ac:dyDescent="0.3">
      <c r="B4639" s="44">
        <v>46109</v>
      </c>
      <c r="C4639" s="3" t="s">
        <v>416</v>
      </c>
      <c r="D4639" s="3" t="s">
        <v>62</v>
      </c>
      <c r="E4639" s="42"/>
      <c r="F4639" s="4" t="s">
        <v>677</v>
      </c>
      <c r="G4639" s="4" t="s">
        <v>324</v>
      </c>
      <c r="H4639" s="4">
        <v>3201605</v>
      </c>
      <c r="I4639" s="3" t="s">
        <v>471</v>
      </c>
      <c r="J4639" s="3" t="s">
        <v>328</v>
      </c>
      <c r="K4639" s="4">
        <v>3196803</v>
      </c>
    </row>
    <row r="4640" spans="1:43" x14ac:dyDescent="0.3">
      <c r="B4640" s="44">
        <v>46109</v>
      </c>
      <c r="C4640" s="3" t="s">
        <v>416</v>
      </c>
      <c r="D4640" s="3" t="s">
        <v>59</v>
      </c>
      <c r="E4640" s="42"/>
      <c r="F4640" s="4" t="s">
        <v>655</v>
      </c>
      <c r="G4640" s="4" t="s">
        <v>288</v>
      </c>
      <c r="H4640" s="4">
        <v>3200908</v>
      </c>
      <c r="I4640" s="3" t="s">
        <v>681</v>
      </c>
      <c r="J4640" s="3" t="s">
        <v>281</v>
      </c>
      <c r="K4640" s="4">
        <v>3195700</v>
      </c>
    </row>
    <row r="4641" spans="1:43" x14ac:dyDescent="0.3">
      <c r="B4641" s="44">
        <v>46109</v>
      </c>
      <c r="C4641" s="3" t="s">
        <v>416</v>
      </c>
      <c r="D4641" s="3" t="s">
        <v>65</v>
      </c>
      <c r="E4641" s="42"/>
      <c r="F4641" s="3" t="s">
        <v>655</v>
      </c>
      <c r="G4641" s="3" t="s">
        <v>325</v>
      </c>
      <c r="H4641" s="4">
        <v>3201501</v>
      </c>
      <c r="I4641" s="4" t="s">
        <v>678</v>
      </c>
      <c r="J4641" s="4" t="s">
        <v>452</v>
      </c>
      <c r="K4641" s="4">
        <v>3198207</v>
      </c>
    </row>
    <row r="4642" spans="1:43" x14ac:dyDescent="0.3">
      <c r="B4642" s="44">
        <v>46109</v>
      </c>
      <c r="C4642" s="3" t="s">
        <v>416</v>
      </c>
      <c r="D4642" s="3" t="s">
        <v>56</v>
      </c>
      <c r="E4642" s="42"/>
      <c r="F4642" s="73" t="s">
        <v>474</v>
      </c>
      <c r="G4642" s="73" t="s">
        <v>253</v>
      </c>
      <c r="H4642" s="4">
        <v>3037109</v>
      </c>
      <c r="I4642" s="106" t="s">
        <v>672</v>
      </c>
      <c r="J4642" s="106" t="s">
        <v>252</v>
      </c>
      <c r="K4642" s="106">
        <v>3070204</v>
      </c>
    </row>
    <row r="4643" spans="1:43" x14ac:dyDescent="0.3">
      <c r="B4643" s="44">
        <v>46109</v>
      </c>
      <c r="C4643" s="3" t="s">
        <v>416</v>
      </c>
      <c r="D4643" s="3" t="s">
        <v>590</v>
      </c>
      <c r="E4643" s="42"/>
      <c r="F4643" s="4" t="s">
        <v>474</v>
      </c>
      <c r="G4643" s="4" t="s">
        <v>317</v>
      </c>
      <c r="H4643" s="4">
        <v>3200700</v>
      </c>
      <c r="I4643" s="4" t="s">
        <v>676</v>
      </c>
      <c r="J4643" s="4" t="s">
        <v>285</v>
      </c>
      <c r="K4643" s="4">
        <v>3208504</v>
      </c>
    </row>
    <row r="4644" spans="1:43" x14ac:dyDescent="0.3">
      <c r="B4644" s="44">
        <v>46109</v>
      </c>
      <c r="C4644" s="3" t="s">
        <v>416</v>
      </c>
      <c r="D4644" s="3" t="s">
        <v>496</v>
      </c>
      <c r="E4644" s="42"/>
      <c r="F4644" s="4" t="s">
        <v>474</v>
      </c>
      <c r="G4644" s="4" t="s">
        <v>426</v>
      </c>
      <c r="H4644" s="4">
        <v>3352603</v>
      </c>
      <c r="I4644" s="3" t="s">
        <v>671</v>
      </c>
      <c r="J4644" s="3" t="s">
        <v>203</v>
      </c>
      <c r="K4644" s="4">
        <v>3359304</v>
      </c>
    </row>
    <row r="4645" spans="1:43" x14ac:dyDescent="0.3">
      <c r="B4645" s="44">
        <v>46109</v>
      </c>
      <c r="C4645" s="3" t="s">
        <v>416</v>
      </c>
      <c r="D4645" s="3" t="s">
        <v>499</v>
      </c>
      <c r="E4645" s="42"/>
      <c r="F4645" s="3" t="s">
        <v>474</v>
      </c>
      <c r="G4645" s="3" t="s">
        <v>597</v>
      </c>
      <c r="H4645" s="4">
        <v>3352707</v>
      </c>
      <c r="I4645" s="3" t="s">
        <v>675</v>
      </c>
      <c r="J4645" s="3" t="s">
        <v>572</v>
      </c>
      <c r="K4645" s="53">
        <v>3350303</v>
      </c>
      <c r="M4645" s="51"/>
    </row>
    <row r="4646" spans="1:43" x14ac:dyDescent="0.3">
      <c r="A4646" s="4"/>
      <c r="B4646" s="100">
        <v>46109</v>
      </c>
      <c r="C4646" s="98" t="s">
        <v>553</v>
      </c>
      <c r="D4646" s="4" t="s">
        <v>508</v>
      </c>
      <c r="E4646" s="4"/>
      <c r="F4646" s="73" t="s">
        <v>532</v>
      </c>
      <c r="G4646" s="73" t="s">
        <v>532</v>
      </c>
      <c r="H4646" s="73"/>
      <c r="I4646" s="73" t="s">
        <v>554</v>
      </c>
      <c r="J4646" s="73" t="s">
        <v>9</v>
      </c>
      <c r="K4646" s="7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</row>
    <row r="4647" spans="1:43" x14ac:dyDescent="0.3">
      <c r="B4647" s="44">
        <v>46109</v>
      </c>
      <c r="C4647" s="3" t="s">
        <v>416</v>
      </c>
      <c r="D4647" s="3" t="s">
        <v>610</v>
      </c>
      <c r="E4647" s="42"/>
      <c r="F4647" s="3" t="s">
        <v>714</v>
      </c>
      <c r="G4647" s="3" t="s">
        <v>352</v>
      </c>
      <c r="H4647" s="4">
        <v>3197208</v>
      </c>
      <c r="I4647" s="4" t="s">
        <v>711</v>
      </c>
      <c r="J4647" s="4" t="s">
        <v>381</v>
      </c>
      <c r="K4647" s="4">
        <v>3201209</v>
      </c>
    </row>
    <row r="4648" spans="1:43" x14ac:dyDescent="0.3">
      <c r="B4648" s="44">
        <v>46109</v>
      </c>
      <c r="C4648" s="3" t="s">
        <v>416</v>
      </c>
      <c r="D4648" s="3" t="s">
        <v>498</v>
      </c>
      <c r="E4648" s="42"/>
      <c r="F4648" s="3" t="s">
        <v>714</v>
      </c>
      <c r="G4648" s="3" t="s">
        <v>222</v>
      </c>
      <c r="H4648" s="4">
        <v>3348507</v>
      </c>
      <c r="I4648" s="3" t="s">
        <v>475</v>
      </c>
      <c r="J4648" s="3" t="s">
        <v>184</v>
      </c>
      <c r="K4648" s="53">
        <v>3363004</v>
      </c>
    </row>
    <row r="4649" spans="1:43" x14ac:dyDescent="0.3">
      <c r="B4649" s="44">
        <v>46109</v>
      </c>
      <c r="C4649" s="3" t="s">
        <v>416</v>
      </c>
      <c r="D4649" s="4" t="s">
        <v>614</v>
      </c>
      <c r="E4649" s="42"/>
      <c r="F4649" s="3" t="s">
        <v>714</v>
      </c>
      <c r="G4649" s="3" t="s">
        <v>454</v>
      </c>
      <c r="H4649" s="4">
        <v>3820300</v>
      </c>
      <c r="I4649" s="4" t="s">
        <v>699</v>
      </c>
      <c r="J4649" s="4" t="s">
        <v>624</v>
      </c>
      <c r="K4649" s="4">
        <v>3196105</v>
      </c>
    </row>
    <row r="4650" spans="1:43" x14ac:dyDescent="0.3">
      <c r="B4650" s="44">
        <v>46109</v>
      </c>
      <c r="C4650" s="3" t="s">
        <v>416</v>
      </c>
      <c r="D4650" s="3" t="s">
        <v>489</v>
      </c>
      <c r="E4650" s="4"/>
      <c r="F4650" s="3" t="s">
        <v>650</v>
      </c>
      <c r="G4650" s="3" t="s">
        <v>163</v>
      </c>
      <c r="H4650" s="4">
        <v>3351802</v>
      </c>
      <c r="I4650" s="4" t="s">
        <v>679</v>
      </c>
      <c r="J4650" s="4" t="s">
        <v>135</v>
      </c>
      <c r="K4650" s="4">
        <v>3346603</v>
      </c>
    </row>
    <row r="4651" spans="1:43" x14ac:dyDescent="0.3">
      <c r="B4651" s="44">
        <v>46109</v>
      </c>
      <c r="C4651" s="3" t="s">
        <v>416</v>
      </c>
      <c r="D4651" s="3" t="s">
        <v>590</v>
      </c>
      <c r="E4651" s="42"/>
      <c r="F4651" s="4" t="s">
        <v>650</v>
      </c>
      <c r="G4651" s="4" t="s">
        <v>277</v>
      </c>
      <c r="H4651" s="4">
        <v>3088400</v>
      </c>
      <c r="I4651" s="3" t="s">
        <v>699</v>
      </c>
      <c r="J4651" s="3" t="s">
        <v>594</v>
      </c>
      <c r="K4651" s="4">
        <v>3196407</v>
      </c>
    </row>
    <row r="4652" spans="1:43" x14ac:dyDescent="0.3">
      <c r="B4652" s="44">
        <v>46109</v>
      </c>
      <c r="C4652" s="3" t="s">
        <v>416</v>
      </c>
      <c r="D4652" s="3" t="s">
        <v>69</v>
      </c>
      <c r="E4652" s="42"/>
      <c r="F4652" s="3" t="s">
        <v>656</v>
      </c>
      <c r="G4652" s="3" t="s">
        <v>361</v>
      </c>
      <c r="H4652" s="4">
        <v>3200002</v>
      </c>
      <c r="I4652" s="3" t="s">
        <v>655</v>
      </c>
      <c r="J4652" s="3" t="s">
        <v>394</v>
      </c>
      <c r="K4652" s="4">
        <v>3201105</v>
      </c>
    </row>
    <row r="4653" spans="1:43" x14ac:dyDescent="0.3">
      <c r="B4653" s="44">
        <v>46109</v>
      </c>
      <c r="C4653" s="3" t="s">
        <v>416</v>
      </c>
      <c r="D4653" s="3" t="s">
        <v>67</v>
      </c>
      <c r="E4653" s="42"/>
      <c r="F4653" s="4" t="s">
        <v>715</v>
      </c>
      <c r="G4653" s="4" t="s">
        <v>377</v>
      </c>
      <c r="H4653" s="4">
        <v>3200106</v>
      </c>
      <c r="I4653" s="3" t="s">
        <v>472</v>
      </c>
      <c r="J4653" s="3" t="s">
        <v>374</v>
      </c>
      <c r="K4653" s="4">
        <v>3207203</v>
      </c>
    </row>
    <row r="4654" spans="1:43" x14ac:dyDescent="0.3">
      <c r="B4654" s="44">
        <v>46109</v>
      </c>
      <c r="C4654" s="3" t="s">
        <v>416</v>
      </c>
      <c r="D4654" s="3" t="s">
        <v>496</v>
      </c>
      <c r="E4654" s="42"/>
      <c r="F4654" s="4" t="s">
        <v>710</v>
      </c>
      <c r="G4654" s="4" t="s">
        <v>206</v>
      </c>
      <c r="H4654" s="4">
        <v>3352103</v>
      </c>
      <c r="I4654" s="3" t="s">
        <v>675</v>
      </c>
      <c r="J4654" s="3" t="s">
        <v>198</v>
      </c>
      <c r="K4654" s="4">
        <v>3350803</v>
      </c>
    </row>
    <row r="4655" spans="1:43" x14ac:dyDescent="0.3">
      <c r="B4655" s="44">
        <v>46109</v>
      </c>
      <c r="C4655" s="3" t="s">
        <v>416</v>
      </c>
      <c r="D4655" s="4" t="s">
        <v>614</v>
      </c>
      <c r="E4655" s="42"/>
      <c r="F4655" s="3" t="s">
        <v>710</v>
      </c>
      <c r="G4655" s="3" t="s">
        <v>384</v>
      </c>
      <c r="H4655" s="4">
        <v>3199508</v>
      </c>
      <c r="I4655" s="4" t="s">
        <v>713</v>
      </c>
      <c r="J4655" s="4" t="s">
        <v>623</v>
      </c>
      <c r="K4655" s="4">
        <v>3819305</v>
      </c>
    </row>
    <row r="4656" spans="1:43" x14ac:dyDescent="0.3">
      <c r="B4656" s="44">
        <v>46109</v>
      </c>
      <c r="C4656" s="3" t="s">
        <v>416</v>
      </c>
      <c r="D4656" s="3" t="s">
        <v>499</v>
      </c>
      <c r="E4656" s="42"/>
      <c r="F4656" s="3" t="s">
        <v>710</v>
      </c>
      <c r="G4656" s="3" t="s">
        <v>230</v>
      </c>
      <c r="H4656" s="4">
        <v>3900609</v>
      </c>
      <c r="I4656" s="3" t="s">
        <v>652</v>
      </c>
      <c r="J4656" s="3" t="s">
        <v>573</v>
      </c>
      <c r="K4656" s="4">
        <v>3818400</v>
      </c>
      <c r="M4656" s="51"/>
    </row>
    <row r="4657" spans="2:11" x14ac:dyDescent="0.3">
      <c r="B4657" s="44">
        <v>46109</v>
      </c>
      <c r="C4657" s="3" t="s">
        <v>416</v>
      </c>
      <c r="D4657" s="4" t="s">
        <v>614</v>
      </c>
      <c r="E4657" s="42"/>
      <c r="F4657" s="3" t="s">
        <v>710</v>
      </c>
      <c r="G4657" s="3" t="s">
        <v>385</v>
      </c>
      <c r="H4657" s="4">
        <v>3199602</v>
      </c>
      <c r="I4657" s="4" t="s">
        <v>674</v>
      </c>
      <c r="J4657" s="4" t="s">
        <v>346</v>
      </c>
      <c r="K4657" s="4">
        <v>3208900</v>
      </c>
    </row>
    <row r="4658" spans="2:11" x14ac:dyDescent="0.3">
      <c r="B4658" s="44">
        <v>46109</v>
      </c>
      <c r="C4658" s="3" t="s">
        <v>416</v>
      </c>
      <c r="D4658" s="3" t="s">
        <v>61</v>
      </c>
      <c r="E4658" s="42"/>
      <c r="F4658" s="4" t="s">
        <v>477</v>
      </c>
      <c r="G4658" s="4" t="s">
        <v>308</v>
      </c>
      <c r="H4658" s="4">
        <v>3199300</v>
      </c>
      <c r="I4658" s="3" t="s">
        <v>684</v>
      </c>
      <c r="J4658" s="3" t="s">
        <v>306</v>
      </c>
      <c r="K4658" s="4">
        <v>3202604</v>
      </c>
    </row>
    <row r="4659" spans="2:11" x14ac:dyDescent="0.3">
      <c r="B4659" s="44">
        <v>46109</v>
      </c>
      <c r="C4659" s="3" t="s">
        <v>416</v>
      </c>
      <c r="D4659" s="3" t="s">
        <v>61</v>
      </c>
      <c r="E4659" s="42"/>
      <c r="F4659" s="4" t="s">
        <v>477</v>
      </c>
      <c r="G4659" s="4" t="s">
        <v>332</v>
      </c>
      <c r="H4659" s="4">
        <v>3199206</v>
      </c>
      <c r="I4659" s="73" t="s">
        <v>680</v>
      </c>
      <c r="J4659" s="73" t="s">
        <v>302</v>
      </c>
      <c r="K4659" s="4">
        <v>3208400</v>
      </c>
    </row>
    <row r="4660" spans="2:11" x14ac:dyDescent="0.3">
      <c r="B4660" s="44">
        <v>46109</v>
      </c>
      <c r="C4660" s="3" t="s">
        <v>416</v>
      </c>
      <c r="D4660" s="3" t="s">
        <v>60</v>
      </c>
      <c r="E4660" s="42"/>
      <c r="F4660" s="3" t="s">
        <v>706</v>
      </c>
      <c r="G4660" s="3" t="s">
        <v>299</v>
      </c>
      <c r="H4660" s="4">
        <v>3199102</v>
      </c>
      <c r="I4660" s="3" t="s">
        <v>668</v>
      </c>
      <c r="J4660" s="3" t="s">
        <v>431</v>
      </c>
      <c r="K4660" s="4">
        <v>3900703</v>
      </c>
    </row>
    <row r="4661" spans="2:11" x14ac:dyDescent="0.3">
      <c r="B4661" s="44">
        <v>46109</v>
      </c>
      <c r="C4661" s="3" t="s">
        <v>416</v>
      </c>
      <c r="D4661" s="3" t="s">
        <v>486</v>
      </c>
      <c r="E4661" s="42"/>
      <c r="F4661" s="4" t="s">
        <v>645</v>
      </c>
      <c r="G4661" s="4" t="s">
        <v>104</v>
      </c>
      <c r="H4661" s="4">
        <v>3036308</v>
      </c>
      <c r="I4661" s="3" t="s">
        <v>673</v>
      </c>
      <c r="J4661" s="3" t="s">
        <v>106</v>
      </c>
      <c r="K4661" s="4">
        <v>3067607</v>
      </c>
    </row>
    <row r="4662" spans="2:11" x14ac:dyDescent="0.3">
      <c r="B4662" s="44">
        <v>46109</v>
      </c>
      <c r="C4662" s="3" t="s">
        <v>416</v>
      </c>
      <c r="D4662" s="3" t="s">
        <v>61</v>
      </c>
      <c r="E4662" s="42"/>
      <c r="F4662" s="4" t="s">
        <v>645</v>
      </c>
      <c r="G4662" s="4" t="s">
        <v>309</v>
      </c>
      <c r="H4662" s="4">
        <v>3082104</v>
      </c>
      <c r="I4662" s="106" t="s">
        <v>659</v>
      </c>
      <c r="J4662" s="106" t="s">
        <v>367</v>
      </c>
      <c r="K4662" s="106">
        <v>3208806</v>
      </c>
    </row>
    <row r="4663" spans="2:11" x14ac:dyDescent="0.3">
      <c r="B4663" s="44">
        <v>46109</v>
      </c>
      <c r="C4663" s="3" t="s">
        <v>416</v>
      </c>
      <c r="D4663" s="3" t="s">
        <v>487</v>
      </c>
      <c r="E4663" s="4"/>
      <c r="F4663" s="4" t="s">
        <v>645</v>
      </c>
      <c r="G4663" s="4" t="s">
        <v>114</v>
      </c>
      <c r="H4663" s="4">
        <v>3351000</v>
      </c>
      <c r="I4663" s="3" t="s">
        <v>663</v>
      </c>
      <c r="J4663" s="3" t="s">
        <v>419</v>
      </c>
      <c r="K4663" s="4">
        <v>3349204</v>
      </c>
    </row>
    <row r="4664" spans="2:11" x14ac:dyDescent="0.3">
      <c r="B4664" s="44">
        <v>46109</v>
      </c>
      <c r="C4664" s="3" t="s">
        <v>416</v>
      </c>
      <c r="D4664" s="3" t="s">
        <v>488</v>
      </c>
      <c r="E4664" s="42"/>
      <c r="F4664" s="4" t="s">
        <v>645</v>
      </c>
      <c r="G4664" s="4" t="s">
        <v>151</v>
      </c>
      <c r="H4664" s="4">
        <v>3351208</v>
      </c>
      <c r="I4664" s="3" t="s">
        <v>703</v>
      </c>
      <c r="J4664" s="3" t="s">
        <v>560</v>
      </c>
      <c r="K4664" s="4" t="s">
        <v>562</v>
      </c>
    </row>
    <row r="4665" spans="2:11" x14ac:dyDescent="0.3">
      <c r="B4665" s="44">
        <v>46109</v>
      </c>
      <c r="C4665" s="3" t="s">
        <v>416</v>
      </c>
      <c r="D4665" s="3" t="s">
        <v>491</v>
      </c>
      <c r="E4665" s="42"/>
      <c r="F4665" s="4" t="s">
        <v>645</v>
      </c>
      <c r="G4665" s="4" t="s">
        <v>464</v>
      </c>
      <c r="H4665" s="4">
        <v>3351406</v>
      </c>
      <c r="I4665" s="104" t="s">
        <v>684</v>
      </c>
      <c r="J4665" s="104" t="s">
        <v>182</v>
      </c>
      <c r="K4665" s="53">
        <v>3900203</v>
      </c>
    </row>
    <row r="4666" spans="2:11" x14ac:dyDescent="0.3">
      <c r="B4666" s="44">
        <v>46109</v>
      </c>
      <c r="C4666" s="3" t="s">
        <v>416</v>
      </c>
      <c r="D4666" s="3" t="s">
        <v>496</v>
      </c>
      <c r="E4666" s="42"/>
      <c r="F4666" s="4" t="s">
        <v>716</v>
      </c>
      <c r="G4666" s="4" t="s">
        <v>427</v>
      </c>
      <c r="H4666" s="4">
        <v>3351500</v>
      </c>
      <c r="I4666" s="3" t="s">
        <v>651</v>
      </c>
      <c r="J4666" s="3" t="s">
        <v>202</v>
      </c>
      <c r="K4666" s="74">
        <v>3361808</v>
      </c>
    </row>
    <row r="4667" spans="2:11" x14ac:dyDescent="0.3">
      <c r="B4667" s="44">
        <v>46109</v>
      </c>
      <c r="C4667" s="3" t="s">
        <v>416</v>
      </c>
      <c r="D4667" s="3" t="s">
        <v>610</v>
      </c>
      <c r="E4667" s="42"/>
      <c r="F4667" s="3" t="s">
        <v>716</v>
      </c>
      <c r="G4667" s="3" t="s">
        <v>433</v>
      </c>
      <c r="H4667" s="4">
        <v>3198905</v>
      </c>
      <c r="I4667" s="4" t="s">
        <v>650</v>
      </c>
      <c r="J4667" s="4" t="s">
        <v>353</v>
      </c>
      <c r="K4667" s="4">
        <v>3200200</v>
      </c>
    </row>
    <row r="4668" spans="2:11" x14ac:dyDescent="0.3">
      <c r="B4668" s="44">
        <v>46109</v>
      </c>
      <c r="C4668" s="3" t="s">
        <v>416</v>
      </c>
      <c r="D4668" s="3" t="s">
        <v>489</v>
      </c>
      <c r="E4668" s="4"/>
      <c r="F4668" s="3" t="s">
        <v>678</v>
      </c>
      <c r="G4668" s="3" t="s">
        <v>131</v>
      </c>
      <c r="H4668" s="4">
        <v>3350605</v>
      </c>
      <c r="I4668" s="4" t="s">
        <v>685</v>
      </c>
      <c r="J4668" s="4" t="s">
        <v>160</v>
      </c>
      <c r="K4668" s="4">
        <v>3353008</v>
      </c>
    </row>
    <row r="4669" spans="2:11" x14ac:dyDescent="0.3">
      <c r="B4669" s="44">
        <v>46109</v>
      </c>
      <c r="C4669" s="3" t="s">
        <v>416</v>
      </c>
      <c r="D4669" s="3" t="s">
        <v>610</v>
      </c>
      <c r="E4669" s="42"/>
      <c r="F4669" s="3" t="s">
        <v>675</v>
      </c>
      <c r="G4669" s="3" t="s">
        <v>450</v>
      </c>
      <c r="H4669" s="4">
        <v>3198405</v>
      </c>
      <c r="I4669" s="4" t="s">
        <v>685</v>
      </c>
      <c r="J4669" s="4" t="s">
        <v>351</v>
      </c>
      <c r="K4669" s="4">
        <v>3201001</v>
      </c>
    </row>
    <row r="4670" spans="2:11" x14ac:dyDescent="0.3">
      <c r="B4670" s="44">
        <v>46109</v>
      </c>
      <c r="C4670" s="3" t="s">
        <v>416</v>
      </c>
      <c r="D4670" s="3" t="s">
        <v>490</v>
      </c>
      <c r="E4670" s="4"/>
      <c r="F4670" s="3" t="s">
        <v>691</v>
      </c>
      <c r="G4670" s="3" t="s">
        <v>142</v>
      </c>
      <c r="H4670" s="4">
        <v>3350501</v>
      </c>
      <c r="I4670" s="4" t="s">
        <v>479</v>
      </c>
      <c r="J4670" s="4" t="s">
        <v>136</v>
      </c>
      <c r="K4670" s="4">
        <v>3360903</v>
      </c>
    </row>
    <row r="4671" spans="2:11" x14ac:dyDescent="0.3">
      <c r="B4671" s="44">
        <v>46109</v>
      </c>
      <c r="C4671" s="3" t="s">
        <v>416</v>
      </c>
      <c r="D4671" s="3" t="s">
        <v>65</v>
      </c>
      <c r="E4671" s="42"/>
      <c r="F4671" s="15" t="s">
        <v>691</v>
      </c>
      <c r="G4671" s="15" t="s">
        <v>327</v>
      </c>
      <c r="H4671" s="74">
        <v>3198603</v>
      </c>
      <c r="I4671" s="4" t="s">
        <v>471</v>
      </c>
      <c r="J4671" s="4" t="s">
        <v>363</v>
      </c>
      <c r="K4671" s="4">
        <v>3196907</v>
      </c>
    </row>
    <row r="4672" spans="2:11" x14ac:dyDescent="0.3">
      <c r="B4672" s="44">
        <v>46109</v>
      </c>
      <c r="C4672" s="3" t="s">
        <v>416</v>
      </c>
      <c r="D4672" s="3" t="s">
        <v>498</v>
      </c>
      <c r="E4672" s="42"/>
      <c r="F4672" s="3" t="s">
        <v>689</v>
      </c>
      <c r="G4672" s="3" t="s">
        <v>468</v>
      </c>
      <c r="H4672" s="4">
        <v>3349902</v>
      </c>
      <c r="I4672" s="3" t="s">
        <v>694</v>
      </c>
      <c r="J4672" s="3" t="s">
        <v>245</v>
      </c>
      <c r="K4672" s="4">
        <v>3352905</v>
      </c>
    </row>
    <row r="4673" spans="2:14" x14ac:dyDescent="0.3">
      <c r="B4673" s="44">
        <v>46109</v>
      </c>
      <c r="C4673" s="3" t="s">
        <v>416</v>
      </c>
      <c r="D4673" s="3" t="s">
        <v>501</v>
      </c>
      <c r="E4673" s="42"/>
      <c r="F4673" s="3" t="s">
        <v>689</v>
      </c>
      <c r="G4673" s="3" t="s">
        <v>580</v>
      </c>
      <c r="H4673" s="4">
        <v>3350001</v>
      </c>
      <c r="I4673" s="3" t="s">
        <v>682</v>
      </c>
      <c r="J4673" s="3" t="s">
        <v>579</v>
      </c>
      <c r="K4673" s="53">
        <v>3970007</v>
      </c>
      <c r="M4673" s="51"/>
    </row>
    <row r="4674" spans="2:14" x14ac:dyDescent="0.3">
      <c r="B4674" s="44">
        <v>46109</v>
      </c>
      <c r="C4674" s="3" t="s">
        <v>416</v>
      </c>
      <c r="D4674" s="3" t="s">
        <v>501</v>
      </c>
      <c r="E4674" s="42"/>
      <c r="F4674" s="3" t="s">
        <v>689</v>
      </c>
      <c r="G4674" s="3" t="s">
        <v>581</v>
      </c>
      <c r="H4674" s="4">
        <v>4022804</v>
      </c>
      <c r="I4674" s="3" t="s">
        <v>722</v>
      </c>
      <c r="J4674" s="3" t="s">
        <v>600</v>
      </c>
      <c r="K4674" s="4" t="s">
        <v>556</v>
      </c>
      <c r="M4674" s="3" t="s">
        <v>581</v>
      </c>
      <c r="N4674" s="3" t="s">
        <v>461</v>
      </c>
    </row>
    <row r="4675" spans="2:14" x14ac:dyDescent="0.3">
      <c r="B4675" s="44">
        <v>46109</v>
      </c>
      <c r="C4675" s="3" t="s">
        <v>416</v>
      </c>
      <c r="D4675" s="3" t="s">
        <v>490</v>
      </c>
      <c r="E4675" s="4"/>
      <c r="F4675" s="3" t="s">
        <v>654</v>
      </c>
      <c r="G4675" s="3" t="s">
        <v>143</v>
      </c>
      <c r="H4675" s="4">
        <v>3349704</v>
      </c>
      <c r="I4675" s="4" t="s">
        <v>472</v>
      </c>
      <c r="J4675" s="4" t="s">
        <v>140</v>
      </c>
      <c r="K4675" s="4">
        <v>3357900</v>
      </c>
    </row>
    <row r="4676" spans="2:14" x14ac:dyDescent="0.3">
      <c r="B4676" s="44">
        <v>46109</v>
      </c>
      <c r="C4676" s="3" t="s">
        <v>416</v>
      </c>
      <c r="D4676" s="3" t="s">
        <v>497</v>
      </c>
      <c r="E4676" s="42"/>
      <c r="F4676" s="3" t="s">
        <v>654</v>
      </c>
      <c r="G4676" s="3" t="s">
        <v>438</v>
      </c>
      <c r="H4676" s="74">
        <v>3906207</v>
      </c>
      <c r="I4676" s="3" t="s">
        <v>678</v>
      </c>
      <c r="J4676" s="3" t="s">
        <v>172</v>
      </c>
      <c r="K4676" s="74">
        <v>3350709</v>
      </c>
    </row>
    <row r="4677" spans="2:14" x14ac:dyDescent="0.3">
      <c r="B4677" s="44">
        <v>46109</v>
      </c>
      <c r="C4677" s="3" t="s">
        <v>416</v>
      </c>
      <c r="D4677" s="3" t="s">
        <v>58</v>
      </c>
      <c r="E4677" s="42"/>
      <c r="F4677" s="3" t="s">
        <v>712</v>
      </c>
      <c r="G4677" s="3" t="s">
        <v>270</v>
      </c>
      <c r="H4677" s="4">
        <v>3069605</v>
      </c>
      <c r="I4677" s="3" t="s">
        <v>697</v>
      </c>
      <c r="J4677" s="3" t="s">
        <v>262</v>
      </c>
      <c r="K4677" s="32">
        <v>3055405</v>
      </c>
    </row>
    <row r="4678" spans="2:14" x14ac:dyDescent="0.3">
      <c r="B4678" s="44">
        <v>46109</v>
      </c>
      <c r="C4678" s="3" t="s">
        <v>416</v>
      </c>
      <c r="D4678" s="3" t="s">
        <v>495</v>
      </c>
      <c r="E4678" s="42"/>
      <c r="F4678" s="3" t="s">
        <v>712</v>
      </c>
      <c r="G4678" s="3" t="s">
        <v>164</v>
      </c>
      <c r="H4678" s="4">
        <v>3349402</v>
      </c>
      <c r="I4678" s="3" t="s">
        <v>666</v>
      </c>
      <c r="J4678" s="3" t="s">
        <v>192</v>
      </c>
      <c r="K4678" s="53">
        <v>3357004</v>
      </c>
    </row>
    <row r="4679" spans="2:14" x14ac:dyDescent="0.3">
      <c r="B4679" s="44">
        <v>46109</v>
      </c>
      <c r="C4679" s="3" t="s">
        <v>416</v>
      </c>
      <c r="D4679" s="3" t="s">
        <v>63</v>
      </c>
      <c r="E4679" s="42"/>
      <c r="F4679" s="104" t="s">
        <v>712</v>
      </c>
      <c r="G4679" s="104" t="s">
        <v>334</v>
      </c>
      <c r="H4679" s="74">
        <v>3198009</v>
      </c>
      <c r="I4679" s="104" t="s">
        <v>645</v>
      </c>
      <c r="J4679" s="104" t="s">
        <v>333</v>
      </c>
      <c r="K4679" s="74">
        <v>3198801</v>
      </c>
    </row>
    <row r="4680" spans="2:14" x14ac:dyDescent="0.3">
      <c r="B4680" s="44">
        <v>46109</v>
      </c>
      <c r="C4680" s="3" t="s">
        <v>416</v>
      </c>
      <c r="D4680" s="3" t="s">
        <v>492</v>
      </c>
      <c r="E4680" s="42"/>
      <c r="F4680" s="4" t="s">
        <v>713</v>
      </c>
      <c r="G4680" s="4" t="s">
        <v>165</v>
      </c>
      <c r="H4680" s="4">
        <v>3349006</v>
      </c>
      <c r="I4680" s="3" t="s">
        <v>714</v>
      </c>
      <c r="J4680" s="3" t="s">
        <v>162</v>
      </c>
      <c r="K4680" s="4">
        <v>3348903</v>
      </c>
    </row>
    <row r="4681" spans="2:14" x14ac:dyDescent="0.3">
      <c r="B4681" s="44">
        <v>46109</v>
      </c>
      <c r="C4681" s="3" t="s">
        <v>416</v>
      </c>
      <c r="D4681" s="3" t="s">
        <v>62</v>
      </c>
      <c r="E4681" s="42"/>
      <c r="F4681" s="4" t="s">
        <v>663</v>
      </c>
      <c r="G4681" s="4" t="s">
        <v>280</v>
      </c>
      <c r="H4681" s="4">
        <v>3198103</v>
      </c>
      <c r="I4681" s="3" t="s">
        <v>700</v>
      </c>
      <c r="J4681" s="3" t="s">
        <v>442</v>
      </c>
      <c r="K4681" s="4">
        <v>3205007</v>
      </c>
    </row>
    <row r="4682" spans="2:14" x14ac:dyDescent="0.3">
      <c r="B4682" s="44">
        <v>46109</v>
      </c>
      <c r="C4682" s="3" t="s">
        <v>416</v>
      </c>
      <c r="D4682" s="3" t="s">
        <v>500</v>
      </c>
      <c r="E4682" s="42"/>
      <c r="F4682" s="3" t="s">
        <v>663</v>
      </c>
      <c r="G4682" s="3" t="s">
        <v>239</v>
      </c>
      <c r="H4682" s="4">
        <v>3348809</v>
      </c>
      <c r="I4682" s="4" t="s">
        <v>476</v>
      </c>
      <c r="J4682" s="4" t="s">
        <v>575</v>
      </c>
      <c r="K4682" s="4">
        <v>3900005</v>
      </c>
    </row>
    <row r="4683" spans="2:14" x14ac:dyDescent="0.3">
      <c r="B4683" s="44">
        <v>46109</v>
      </c>
      <c r="C4683" s="3" t="s">
        <v>416</v>
      </c>
      <c r="D4683" s="3" t="s">
        <v>69</v>
      </c>
      <c r="E4683" s="42"/>
      <c r="F4683" s="3" t="s">
        <v>663</v>
      </c>
      <c r="G4683" s="3" t="s">
        <v>362</v>
      </c>
      <c r="H4683" s="4">
        <v>3197406</v>
      </c>
      <c r="I4683" s="3" t="s">
        <v>694</v>
      </c>
      <c r="J4683" s="3" t="s">
        <v>376</v>
      </c>
      <c r="K4683" s="53">
        <v>3201303</v>
      </c>
    </row>
    <row r="4684" spans="2:14" x14ac:dyDescent="0.3">
      <c r="B4684" s="44">
        <v>46109</v>
      </c>
      <c r="C4684" s="3" t="s">
        <v>416</v>
      </c>
      <c r="D4684" s="3" t="s">
        <v>487</v>
      </c>
      <c r="E4684" s="4"/>
      <c r="F4684" s="4" t="s">
        <v>471</v>
      </c>
      <c r="G4684" s="4" t="s">
        <v>133</v>
      </c>
      <c r="H4684" s="4">
        <v>3348705</v>
      </c>
      <c r="I4684" s="4" t="s">
        <v>692</v>
      </c>
      <c r="J4684" s="4" t="s">
        <v>115</v>
      </c>
      <c r="K4684" s="4">
        <v>3068106</v>
      </c>
    </row>
    <row r="4685" spans="2:14" x14ac:dyDescent="0.3">
      <c r="B4685" s="44">
        <v>46109</v>
      </c>
      <c r="C4685" s="3" t="s">
        <v>416</v>
      </c>
      <c r="D4685" s="3" t="s">
        <v>590</v>
      </c>
      <c r="E4685" s="42"/>
      <c r="F4685" s="4" t="s">
        <v>471</v>
      </c>
      <c r="G4685" s="4" t="s">
        <v>291</v>
      </c>
      <c r="H4685" s="4">
        <v>3196709</v>
      </c>
      <c r="I4685" s="3" t="s">
        <v>691</v>
      </c>
      <c r="J4685" s="3" t="s">
        <v>289</v>
      </c>
      <c r="K4685" s="4">
        <v>3068804</v>
      </c>
    </row>
    <row r="4686" spans="2:14" x14ac:dyDescent="0.3">
      <c r="B4686" s="44">
        <v>46109</v>
      </c>
      <c r="C4686" s="3" t="s">
        <v>416</v>
      </c>
      <c r="D4686" s="3" t="s">
        <v>493</v>
      </c>
      <c r="E4686" s="42"/>
      <c r="F4686" s="3" t="s">
        <v>471</v>
      </c>
      <c r="G4686" s="3" t="s">
        <v>217</v>
      </c>
      <c r="H4686" s="4">
        <v>3348309</v>
      </c>
      <c r="I4686" s="4" t="s">
        <v>657</v>
      </c>
      <c r="J4686" s="4" t="s">
        <v>167</v>
      </c>
      <c r="K4686" s="4">
        <v>3359804</v>
      </c>
    </row>
    <row r="4687" spans="2:14" x14ac:dyDescent="0.3">
      <c r="B4687" s="44">
        <v>46109</v>
      </c>
      <c r="C4687" s="3" t="s">
        <v>416</v>
      </c>
      <c r="D4687" s="3" t="s">
        <v>69</v>
      </c>
      <c r="E4687" s="42"/>
      <c r="F4687" s="3" t="s">
        <v>471</v>
      </c>
      <c r="G4687" s="3" t="s">
        <v>364</v>
      </c>
      <c r="H4687" s="4">
        <v>3197000</v>
      </c>
      <c r="I4687" s="3" t="s">
        <v>479</v>
      </c>
      <c r="J4687" s="3" t="s">
        <v>392</v>
      </c>
      <c r="K4687" s="53">
        <v>3210706</v>
      </c>
    </row>
    <row r="4688" spans="2:14" x14ac:dyDescent="0.3">
      <c r="B4688" s="44">
        <v>46109</v>
      </c>
      <c r="C4688" s="3" t="s">
        <v>416</v>
      </c>
      <c r="D4688" s="3" t="s">
        <v>497</v>
      </c>
      <c r="E4688" s="42"/>
      <c r="F4688" s="15" t="s">
        <v>471</v>
      </c>
      <c r="G4688" s="15" t="s">
        <v>240</v>
      </c>
      <c r="H4688" s="74">
        <v>3348403</v>
      </c>
      <c r="I4688" s="17" t="s">
        <v>653</v>
      </c>
      <c r="J4688" s="17" t="s">
        <v>209</v>
      </c>
      <c r="K4688" s="74">
        <v>3360705</v>
      </c>
    </row>
    <row r="4689" spans="2:11" x14ac:dyDescent="0.3">
      <c r="B4689" s="44">
        <v>46109</v>
      </c>
      <c r="C4689" s="3" t="s">
        <v>416</v>
      </c>
      <c r="D4689" s="3" t="s">
        <v>70</v>
      </c>
      <c r="E4689" s="42"/>
      <c r="F4689" s="3" t="s">
        <v>692</v>
      </c>
      <c r="G4689" s="3" t="s">
        <v>378</v>
      </c>
      <c r="H4689" s="4">
        <v>3197802</v>
      </c>
      <c r="I4689" s="3" t="s">
        <v>475</v>
      </c>
      <c r="J4689" s="3" t="s">
        <v>371</v>
      </c>
      <c r="K4689" s="53">
        <v>3212006</v>
      </c>
    </row>
    <row r="4690" spans="2:11" x14ac:dyDescent="0.3">
      <c r="B4690" s="44">
        <v>46109</v>
      </c>
      <c r="C4690" s="3" t="s">
        <v>416</v>
      </c>
      <c r="D4690" s="3" t="s">
        <v>498</v>
      </c>
      <c r="E4690" s="42"/>
      <c r="F4690" s="3" t="s">
        <v>692</v>
      </c>
      <c r="G4690" s="3" t="s">
        <v>223</v>
      </c>
      <c r="H4690" s="4">
        <v>3348007</v>
      </c>
      <c r="I4690" s="3" t="s">
        <v>688</v>
      </c>
      <c r="J4690" s="3" t="s">
        <v>146</v>
      </c>
      <c r="K4690" s="53">
        <v>3346405</v>
      </c>
    </row>
    <row r="4691" spans="2:11" x14ac:dyDescent="0.3">
      <c r="B4691" s="44">
        <v>46109</v>
      </c>
      <c r="C4691" s="3" t="s">
        <v>416</v>
      </c>
      <c r="D4691" s="3" t="s">
        <v>491</v>
      </c>
      <c r="E4691" s="42"/>
      <c r="F4691" s="3" t="s">
        <v>698</v>
      </c>
      <c r="G4691" s="3" t="s">
        <v>567</v>
      </c>
      <c r="H4691" s="4" t="s">
        <v>556</v>
      </c>
      <c r="I4691" s="3" t="s">
        <v>684</v>
      </c>
      <c r="J4691" s="3" t="s">
        <v>149</v>
      </c>
      <c r="K4691" s="4">
        <v>3354507</v>
      </c>
    </row>
    <row r="4692" spans="2:11" x14ac:dyDescent="0.3">
      <c r="B4692" s="44">
        <v>46109</v>
      </c>
      <c r="C4692" s="3" t="s">
        <v>416</v>
      </c>
      <c r="D4692" s="3" t="s">
        <v>495</v>
      </c>
      <c r="E4692" s="42"/>
      <c r="F4692" s="3" t="s">
        <v>699</v>
      </c>
      <c r="G4692" s="3" t="s">
        <v>569</v>
      </c>
      <c r="H4692" s="4">
        <v>3125708</v>
      </c>
      <c r="I4692" s="3" t="s">
        <v>666</v>
      </c>
      <c r="J4692" s="3" t="s">
        <v>193</v>
      </c>
      <c r="K4692" s="4">
        <v>3357108</v>
      </c>
    </row>
    <row r="4693" spans="2:11" x14ac:dyDescent="0.3">
      <c r="B4693" s="44">
        <v>46109</v>
      </c>
      <c r="C4693" s="3" t="s">
        <v>416</v>
      </c>
      <c r="D4693" s="3" t="s">
        <v>497</v>
      </c>
      <c r="E4693" s="42"/>
      <c r="F4693" s="3" t="s">
        <v>681</v>
      </c>
      <c r="G4693" s="3" t="s">
        <v>175</v>
      </c>
      <c r="H4693" s="74">
        <v>3347800</v>
      </c>
      <c r="I4693" s="17" t="s">
        <v>691</v>
      </c>
      <c r="J4693" s="17" t="s">
        <v>215</v>
      </c>
      <c r="K4693" s="74">
        <v>3350407</v>
      </c>
    </row>
    <row r="4694" spans="2:11" x14ac:dyDescent="0.3">
      <c r="B4694" s="44">
        <v>46109</v>
      </c>
      <c r="C4694" s="3" t="s">
        <v>416</v>
      </c>
      <c r="D4694" s="3" t="s">
        <v>69</v>
      </c>
      <c r="E4694" s="42"/>
      <c r="F4694" s="3" t="s">
        <v>681</v>
      </c>
      <c r="G4694" s="3" t="s">
        <v>365</v>
      </c>
      <c r="H4694" s="4">
        <v>3195804</v>
      </c>
      <c r="I4694" s="3" t="s">
        <v>694</v>
      </c>
      <c r="J4694" s="3" t="s">
        <v>402</v>
      </c>
      <c r="K4694" s="4">
        <v>3201407</v>
      </c>
    </row>
    <row r="4695" spans="2:11" x14ac:dyDescent="0.3">
      <c r="B4695" s="44">
        <v>46109</v>
      </c>
      <c r="C4695" s="3" t="s">
        <v>416</v>
      </c>
      <c r="D4695" s="3" t="s">
        <v>492</v>
      </c>
      <c r="E4695" s="42"/>
      <c r="F4695" s="4" t="s">
        <v>670</v>
      </c>
      <c r="G4695" s="4" t="s">
        <v>145</v>
      </c>
      <c r="H4695" s="4">
        <v>3347404</v>
      </c>
      <c r="I4695" s="4" t="s">
        <v>673</v>
      </c>
      <c r="J4695" s="4" t="s">
        <v>134</v>
      </c>
      <c r="K4695" s="4">
        <v>3347102</v>
      </c>
    </row>
    <row r="4696" spans="2:11" x14ac:dyDescent="0.3">
      <c r="B4696" s="44">
        <v>46109</v>
      </c>
      <c r="C4696" s="3" t="s">
        <v>416</v>
      </c>
      <c r="D4696" s="3" t="s">
        <v>495</v>
      </c>
      <c r="E4696" s="42"/>
      <c r="F4696" s="3" t="s">
        <v>670</v>
      </c>
      <c r="G4696" s="3" t="s">
        <v>224</v>
      </c>
      <c r="H4696" s="4">
        <v>3347008</v>
      </c>
      <c r="I4696" s="3" t="s">
        <v>713</v>
      </c>
      <c r="J4696" s="3" t="s">
        <v>199</v>
      </c>
      <c r="K4696" s="4">
        <v>3349100</v>
      </c>
    </row>
    <row r="4697" spans="2:11" x14ac:dyDescent="0.3">
      <c r="B4697" s="44">
        <v>46109</v>
      </c>
      <c r="C4697" s="3" t="s">
        <v>416</v>
      </c>
      <c r="D4697" s="3" t="s">
        <v>592</v>
      </c>
      <c r="E4697" s="42"/>
      <c r="F4697" s="3" t="s">
        <v>670</v>
      </c>
      <c r="G4697" s="3" t="s">
        <v>636</v>
      </c>
      <c r="H4697" s="74">
        <v>3195502</v>
      </c>
      <c r="I4697" s="3" t="s">
        <v>570</v>
      </c>
      <c r="J4697" s="3" t="s">
        <v>570</v>
      </c>
      <c r="K4697" s="4" t="s">
        <v>556</v>
      </c>
    </row>
    <row r="4698" spans="2:11" x14ac:dyDescent="0.3">
      <c r="B4698" s="44">
        <v>46109</v>
      </c>
      <c r="C4698" s="3" t="s">
        <v>416</v>
      </c>
      <c r="D4698" s="3" t="s">
        <v>64</v>
      </c>
      <c r="E4698" s="42">
        <v>4370907</v>
      </c>
      <c r="F4698" s="3" t="s">
        <v>673</v>
      </c>
      <c r="G4698" s="3" t="s">
        <v>355</v>
      </c>
      <c r="H4698" s="4">
        <v>3195002</v>
      </c>
      <c r="I4698" s="4" t="s">
        <v>688</v>
      </c>
      <c r="J4698" s="4" t="s">
        <v>318</v>
      </c>
      <c r="K4698" s="4">
        <v>3037401</v>
      </c>
    </row>
    <row r="4699" spans="2:11" x14ac:dyDescent="0.3">
      <c r="B4699" s="44">
        <v>46109</v>
      </c>
      <c r="C4699" s="3" t="s">
        <v>416</v>
      </c>
      <c r="D4699" s="3" t="s">
        <v>495</v>
      </c>
      <c r="E4699" s="42"/>
      <c r="F4699" s="3" t="s">
        <v>673</v>
      </c>
      <c r="G4699" s="3" t="s">
        <v>200</v>
      </c>
      <c r="H4699" s="53">
        <v>3901004</v>
      </c>
      <c r="I4699" s="3" t="s">
        <v>646</v>
      </c>
      <c r="J4699" s="3" t="s">
        <v>195</v>
      </c>
      <c r="K4699" s="74">
        <v>3361600</v>
      </c>
    </row>
    <row r="4700" spans="2:11" x14ac:dyDescent="0.3">
      <c r="B4700" s="44">
        <v>46109</v>
      </c>
      <c r="C4700" s="3" t="s">
        <v>416</v>
      </c>
      <c r="D4700" s="3" t="s">
        <v>64</v>
      </c>
      <c r="E4700" s="42">
        <v>4370907</v>
      </c>
      <c r="F4700" s="3" t="s">
        <v>717</v>
      </c>
      <c r="G4700" s="3" t="s">
        <v>432</v>
      </c>
      <c r="H4700" s="4">
        <v>3195106</v>
      </c>
      <c r="I4700" s="4" t="s">
        <v>662</v>
      </c>
      <c r="J4700" s="4" t="s">
        <v>372</v>
      </c>
      <c r="K4700" s="4">
        <v>3207703</v>
      </c>
    </row>
    <row r="4701" spans="2:11" x14ac:dyDescent="0.3">
      <c r="B4701" s="44">
        <v>46109</v>
      </c>
      <c r="C4701" s="3" t="s">
        <v>416</v>
      </c>
      <c r="D4701" s="3" t="s">
        <v>67</v>
      </c>
      <c r="E4701" s="42"/>
      <c r="F4701" s="4" t="s">
        <v>717</v>
      </c>
      <c r="G4701" s="4" t="s">
        <v>435</v>
      </c>
      <c r="H4701" s="4">
        <v>3195200</v>
      </c>
      <c r="I4701" s="3" t="s">
        <v>688</v>
      </c>
      <c r="J4701" s="3" t="s">
        <v>344</v>
      </c>
      <c r="K4701" s="4">
        <v>3194909</v>
      </c>
    </row>
    <row r="4702" spans="2:11" x14ac:dyDescent="0.3">
      <c r="B4702" s="44">
        <v>46109</v>
      </c>
      <c r="C4702" s="3" t="s">
        <v>416</v>
      </c>
      <c r="D4702" s="3" t="s">
        <v>62</v>
      </c>
      <c r="E4702" s="42"/>
      <c r="F4702" s="3" t="s">
        <v>679</v>
      </c>
      <c r="G4702" s="3" t="s">
        <v>292</v>
      </c>
      <c r="H4702" s="4">
        <v>3195304</v>
      </c>
      <c r="I4702" s="3" t="s">
        <v>479</v>
      </c>
      <c r="J4702" s="3" t="s">
        <v>319</v>
      </c>
      <c r="K4702" s="4">
        <v>3210508</v>
      </c>
    </row>
    <row r="4703" spans="2:11" x14ac:dyDescent="0.3">
      <c r="B4703" s="44">
        <v>46109</v>
      </c>
      <c r="C4703" s="3" t="s">
        <v>416</v>
      </c>
      <c r="D4703" s="3" t="s">
        <v>500</v>
      </c>
      <c r="E4703" s="42"/>
      <c r="F4703" s="3" t="s">
        <v>679</v>
      </c>
      <c r="G4703" s="3" t="s">
        <v>466</v>
      </c>
      <c r="H4703" s="4">
        <v>3346707</v>
      </c>
      <c r="I4703" s="4" t="s">
        <v>654</v>
      </c>
      <c r="J4703" s="4" t="s">
        <v>576</v>
      </c>
      <c r="K4703" s="4">
        <v>4009003</v>
      </c>
    </row>
    <row r="4704" spans="2:11" x14ac:dyDescent="0.3">
      <c r="B4704" s="44">
        <v>46109</v>
      </c>
      <c r="C4704" s="3" t="s">
        <v>416</v>
      </c>
      <c r="D4704" s="3" t="s">
        <v>487</v>
      </c>
      <c r="E4704" s="4"/>
      <c r="F4704" s="4" t="s">
        <v>721</v>
      </c>
      <c r="G4704" s="4" t="s">
        <v>124</v>
      </c>
      <c r="H4704" s="4">
        <v>3267501</v>
      </c>
      <c r="I4704" s="3" t="s">
        <v>709</v>
      </c>
      <c r="J4704" s="3" t="s">
        <v>111</v>
      </c>
      <c r="K4704" s="4">
        <v>3354601</v>
      </c>
    </row>
    <row r="4705" spans="1:43" x14ac:dyDescent="0.3">
      <c r="B4705" s="44">
        <v>46109</v>
      </c>
      <c r="C4705" s="3" t="s">
        <v>416</v>
      </c>
      <c r="D4705" s="3" t="s">
        <v>58</v>
      </c>
      <c r="E4705" s="42"/>
      <c r="F4705" s="3" t="s">
        <v>721</v>
      </c>
      <c r="G4705" s="3" t="s">
        <v>271</v>
      </c>
      <c r="H4705" s="4">
        <v>3194701</v>
      </c>
      <c r="I4705" s="3" t="s">
        <v>702</v>
      </c>
      <c r="J4705" s="3" t="s">
        <v>447</v>
      </c>
      <c r="K4705" s="32">
        <v>3055207</v>
      </c>
    </row>
    <row r="4706" spans="1:43" x14ac:dyDescent="0.3">
      <c r="B4706" s="44">
        <v>46109</v>
      </c>
      <c r="C4706" s="3" t="s">
        <v>416</v>
      </c>
      <c r="D4706" s="3" t="s">
        <v>60</v>
      </c>
      <c r="E4706" s="42"/>
      <c r="F4706" s="3" t="s">
        <v>721</v>
      </c>
      <c r="G4706" s="3" t="s">
        <v>300</v>
      </c>
      <c r="H4706" s="4">
        <v>3194805</v>
      </c>
      <c r="I4706" s="3" t="s">
        <v>707</v>
      </c>
      <c r="J4706" s="3" t="s">
        <v>295</v>
      </c>
      <c r="K4706" s="32">
        <v>3207505</v>
      </c>
    </row>
    <row r="4707" spans="1:43" x14ac:dyDescent="0.3">
      <c r="B4707" s="44">
        <v>46109</v>
      </c>
      <c r="C4707" s="3" t="s">
        <v>416</v>
      </c>
      <c r="D4707" s="3" t="s">
        <v>489</v>
      </c>
      <c r="E4707" s="4"/>
      <c r="F4707" s="3" t="s">
        <v>688</v>
      </c>
      <c r="G4707" s="3" t="s">
        <v>10</v>
      </c>
      <c r="H4707" s="4">
        <v>3036204</v>
      </c>
      <c r="I4707" s="4" t="s">
        <v>476</v>
      </c>
      <c r="J4707" s="4" t="s">
        <v>128</v>
      </c>
      <c r="K4707" s="4">
        <v>3357202</v>
      </c>
    </row>
    <row r="4708" spans="1:43" x14ac:dyDescent="0.3">
      <c r="B4708" s="44">
        <v>46109</v>
      </c>
      <c r="C4708" s="3" t="s">
        <v>416</v>
      </c>
      <c r="D4708" s="3" t="s">
        <v>56</v>
      </c>
      <c r="E4708" s="42"/>
      <c r="F4708" s="4" t="s">
        <v>688</v>
      </c>
      <c r="G4708" s="4" t="s">
        <v>264</v>
      </c>
      <c r="H4708" s="4">
        <v>3055603</v>
      </c>
      <c r="I4708" s="3" t="s">
        <v>690</v>
      </c>
      <c r="J4708" s="3" t="s">
        <v>250</v>
      </c>
      <c r="K4708" s="4">
        <v>3070100</v>
      </c>
    </row>
    <row r="4709" spans="1:43" x14ac:dyDescent="0.3">
      <c r="B4709" s="44">
        <v>46109</v>
      </c>
      <c r="C4709" s="3" t="s">
        <v>416</v>
      </c>
      <c r="D4709" s="3" t="s">
        <v>70</v>
      </c>
      <c r="E4709" s="42"/>
      <c r="F4709" s="3" t="s">
        <v>688</v>
      </c>
      <c r="G4709" s="3" t="s">
        <v>460</v>
      </c>
      <c r="H4709" s="4">
        <v>3194503</v>
      </c>
      <c r="I4709" s="3" t="s">
        <v>717</v>
      </c>
      <c r="J4709" s="3" t="s">
        <v>434</v>
      </c>
      <c r="K4709" s="4">
        <v>3195408</v>
      </c>
    </row>
    <row r="4710" spans="1:43" x14ac:dyDescent="0.3">
      <c r="B4710" s="44">
        <v>46109</v>
      </c>
      <c r="C4710" s="3" t="s">
        <v>416</v>
      </c>
      <c r="D4710" s="3" t="s">
        <v>61</v>
      </c>
      <c r="E4710" s="42"/>
      <c r="F4710" s="4" t="s">
        <v>720</v>
      </c>
      <c r="G4710" s="4" t="s">
        <v>335</v>
      </c>
      <c r="H4710" s="4">
        <v>3194201</v>
      </c>
      <c r="I4710" s="4" t="s">
        <v>478</v>
      </c>
      <c r="J4710" s="4" t="s">
        <v>330</v>
      </c>
      <c r="K4710" s="4">
        <v>3205309</v>
      </c>
    </row>
    <row r="4711" spans="1:43" x14ac:dyDescent="0.3">
      <c r="B4711" s="44">
        <v>46109</v>
      </c>
      <c r="C4711" s="3" t="s">
        <v>416</v>
      </c>
      <c r="D4711" s="3" t="s">
        <v>487</v>
      </c>
      <c r="E4711" s="4"/>
      <c r="F4711" s="3" t="s">
        <v>647</v>
      </c>
      <c r="G4711" s="3" t="s">
        <v>116</v>
      </c>
      <c r="H4711" s="4">
        <v>3346009</v>
      </c>
      <c r="I4711" s="4" t="s">
        <v>657</v>
      </c>
      <c r="J4711" s="4" t="s">
        <v>107</v>
      </c>
      <c r="K4711" s="4">
        <v>3068408</v>
      </c>
    </row>
    <row r="4712" spans="1:43" x14ac:dyDescent="0.3">
      <c r="B4712" s="44">
        <v>46109</v>
      </c>
      <c r="C4712" s="3" t="s">
        <v>416</v>
      </c>
      <c r="D4712" s="3" t="s">
        <v>57</v>
      </c>
      <c r="E4712" s="42"/>
      <c r="F4712" s="4" t="s">
        <v>647</v>
      </c>
      <c r="G4712" s="4" t="s">
        <v>282</v>
      </c>
      <c r="H4712" s="4">
        <v>3193900</v>
      </c>
      <c r="I4712" s="73" t="s">
        <v>478</v>
      </c>
      <c r="J4712" s="73" t="s">
        <v>260</v>
      </c>
      <c r="K4712" s="15">
        <v>3205705</v>
      </c>
    </row>
    <row r="4713" spans="1:43" x14ac:dyDescent="0.3">
      <c r="B4713" s="44">
        <v>46109</v>
      </c>
      <c r="C4713" s="3" t="s">
        <v>416</v>
      </c>
      <c r="D4713" s="3" t="s">
        <v>67</v>
      </c>
      <c r="E4713" s="42"/>
      <c r="F4713" s="4" t="s">
        <v>647</v>
      </c>
      <c r="G4713" s="4" t="s">
        <v>345</v>
      </c>
      <c r="H4713" s="4">
        <v>3194003</v>
      </c>
      <c r="I4713" s="3" t="s">
        <v>689</v>
      </c>
      <c r="J4713" s="3" t="s">
        <v>341</v>
      </c>
      <c r="K4713" s="4">
        <v>3197708</v>
      </c>
    </row>
    <row r="4714" spans="1:43" x14ac:dyDescent="0.3">
      <c r="B4714" s="44">
        <v>46109</v>
      </c>
      <c r="C4714" s="3" t="s">
        <v>416</v>
      </c>
      <c r="D4714" s="3" t="s">
        <v>592</v>
      </c>
      <c r="E4714" s="42"/>
      <c r="F4714" s="3" t="s">
        <v>647</v>
      </c>
      <c r="G4714" s="3" t="s">
        <v>405</v>
      </c>
      <c r="H4714" s="74">
        <v>3901108</v>
      </c>
      <c r="I4714" s="3" t="s">
        <v>475</v>
      </c>
      <c r="J4714" s="3" t="s">
        <v>398</v>
      </c>
      <c r="K4714" s="74">
        <v>3211601</v>
      </c>
    </row>
    <row r="4715" spans="1:43" x14ac:dyDescent="0.3">
      <c r="B4715" s="44">
        <v>46109</v>
      </c>
      <c r="C4715" s="3" t="s">
        <v>416</v>
      </c>
      <c r="D4715" s="3" t="s">
        <v>496</v>
      </c>
      <c r="E4715" s="42"/>
      <c r="F4715" s="4" t="s">
        <v>687</v>
      </c>
      <c r="G4715" s="4" t="s">
        <v>207</v>
      </c>
      <c r="H4715" s="4">
        <v>3346801</v>
      </c>
      <c r="I4715" s="3" t="s">
        <v>650</v>
      </c>
      <c r="J4715" s="3" t="s">
        <v>205</v>
      </c>
      <c r="K4715" s="74">
        <v>3351906</v>
      </c>
    </row>
    <row r="4716" spans="1:43" x14ac:dyDescent="0.3">
      <c r="B4716" s="44">
        <v>46109</v>
      </c>
      <c r="C4716" s="3" t="s">
        <v>416</v>
      </c>
      <c r="D4716" s="3" t="s">
        <v>59</v>
      </c>
      <c r="E4716" s="42"/>
      <c r="F4716" s="3" t="s">
        <v>687</v>
      </c>
      <c r="G4716" s="3" t="s">
        <v>283</v>
      </c>
      <c r="H4716" s="4">
        <v>3194107</v>
      </c>
      <c r="I4716" s="3" t="s">
        <v>476</v>
      </c>
      <c r="J4716" s="3" t="s">
        <v>274</v>
      </c>
      <c r="K4716" s="4">
        <v>3206902</v>
      </c>
    </row>
    <row r="4717" spans="1:43" x14ac:dyDescent="0.3">
      <c r="B4717" s="44">
        <v>46109</v>
      </c>
      <c r="C4717" s="3" t="s">
        <v>416</v>
      </c>
      <c r="D4717" s="3" t="s">
        <v>499</v>
      </c>
      <c r="E4717" s="42"/>
      <c r="F4717" s="3" t="s">
        <v>687</v>
      </c>
      <c r="G4717" s="3" t="s">
        <v>231</v>
      </c>
      <c r="H4717" s="4">
        <v>3819503</v>
      </c>
      <c r="I4717" s="3" t="s">
        <v>650</v>
      </c>
      <c r="J4717" s="3" t="s">
        <v>571</v>
      </c>
      <c r="K4717" s="4">
        <v>3900505</v>
      </c>
      <c r="M4717" s="51"/>
    </row>
    <row r="4718" spans="1:43" x14ac:dyDescent="0.3">
      <c r="A4718" s="4"/>
      <c r="B4718" s="100">
        <v>46110</v>
      </c>
      <c r="C4718" s="98" t="s">
        <v>553</v>
      </c>
      <c r="D4718" s="4" t="s">
        <v>516</v>
      </c>
      <c r="E4718" s="4"/>
      <c r="F4718" s="73" t="s">
        <v>533</v>
      </c>
      <c r="G4718" s="73" t="s">
        <v>533</v>
      </c>
      <c r="H4718" s="73"/>
      <c r="I4718" s="73" t="s">
        <v>474</v>
      </c>
      <c r="J4718" s="73" t="s">
        <v>474</v>
      </c>
      <c r="K4718" s="15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</row>
    <row r="4719" spans="1:43" x14ac:dyDescent="0.3">
      <c r="A4719" s="4"/>
      <c r="B4719" s="100">
        <v>46110</v>
      </c>
      <c r="C4719" s="98" t="s">
        <v>553</v>
      </c>
      <c r="D4719" s="4" t="s">
        <v>521</v>
      </c>
      <c r="E4719" s="4"/>
      <c r="F4719" s="73" t="s">
        <v>479</v>
      </c>
      <c r="G4719" s="73" t="s">
        <v>479</v>
      </c>
      <c r="H4719" s="73"/>
      <c r="I4719" s="73" t="s">
        <v>530</v>
      </c>
      <c r="J4719" s="73" t="s">
        <v>530</v>
      </c>
      <c r="K4719" s="15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</row>
    <row r="4720" spans="1:43" x14ac:dyDescent="0.3">
      <c r="A4720" s="4"/>
      <c r="B4720" s="100">
        <v>46110</v>
      </c>
      <c r="C4720" s="98" t="s">
        <v>553</v>
      </c>
      <c r="D4720" s="4" t="s">
        <v>516</v>
      </c>
      <c r="E4720" s="4"/>
      <c r="F4720" s="73" t="s">
        <v>476</v>
      </c>
      <c r="G4720" s="73" t="s">
        <v>476</v>
      </c>
      <c r="H4720" s="73"/>
      <c r="I4720" s="73" t="s">
        <v>519</v>
      </c>
      <c r="J4720" s="73" t="s">
        <v>519</v>
      </c>
      <c r="K4720" s="15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</row>
    <row r="4721" spans="1:43" x14ac:dyDescent="0.3">
      <c r="A4721" s="4"/>
      <c r="B4721" s="100">
        <v>46110</v>
      </c>
      <c r="C4721" s="98" t="s">
        <v>553</v>
      </c>
      <c r="D4721" s="4" t="s">
        <v>521</v>
      </c>
      <c r="E4721" s="4"/>
      <c r="F4721" s="73" t="s">
        <v>541</v>
      </c>
      <c r="G4721" s="73" t="s">
        <v>541</v>
      </c>
      <c r="H4721" s="73"/>
      <c r="I4721" s="73" t="s">
        <v>472</v>
      </c>
      <c r="J4721" s="73" t="s">
        <v>472</v>
      </c>
      <c r="K4721" s="15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</row>
    <row r="4722" spans="1:43" x14ac:dyDescent="0.3">
      <c r="A4722" s="4"/>
      <c r="B4722" s="100">
        <v>46110</v>
      </c>
      <c r="C4722" s="98" t="s">
        <v>553</v>
      </c>
      <c r="D4722" s="4" t="s">
        <v>516</v>
      </c>
      <c r="E4722" s="4"/>
      <c r="F4722" s="73" t="s">
        <v>520</v>
      </c>
      <c r="G4722" s="73" t="s">
        <v>520</v>
      </c>
      <c r="H4722" s="73"/>
      <c r="I4722" s="73" t="s">
        <v>518</v>
      </c>
      <c r="J4722" s="73" t="s">
        <v>518</v>
      </c>
      <c r="K4722" s="7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</row>
    <row r="4723" spans="1:43" x14ac:dyDescent="0.3">
      <c r="A4723" s="4"/>
      <c r="B4723" s="100">
        <v>46110</v>
      </c>
      <c r="C4723" s="98" t="s">
        <v>553</v>
      </c>
      <c r="D4723" s="4" t="s">
        <v>521</v>
      </c>
      <c r="E4723" s="4"/>
      <c r="F4723" s="73" t="s">
        <v>471</v>
      </c>
      <c r="G4723" s="73" t="s">
        <v>471</v>
      </c>
      <c r="H4723" s="73"/>
      <c r="I4723" s="73" t="s">
        <v>529</v>
      </c>
      <c r="J4723" s="73" t="s">
        <v>529</v>
      </c>
      <c r="K4723" s="15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</row>
  </sheetData>
  <autoFilter ref="A11:AR11" xr:uid="{50E34F2D-E474-43DD-8ECC-985F307C8504}"/>
  <sortState xmlns:xlrd2="http://schemas.microsoft.com/office/spreadsheetml/2017/richdata2" ref="A12:AQ4723">
    <sortCondition ref="B12:B4723"/>
    <sortCondition ref="F12:F4723"/>
    <sortCondition ref="G12:G4723"/>
  </sortState>
  <conditionalFormatting sqref="F1:J12 F166:J217 F4724:J1048576">
    <cfRule type="containsText" dxfId="6070" priority="2483" operator="containsText" text="bye">
      <formula>NOT(ISERROR(SEARCH("bye",F1)))</formula>
    </cfRule>
  </conditionalFormatting>
  <conditionalFormatting sqref="M11:N11">
    <cfRule type="containsText" dxfId="2480" priority="2481" operator="containsText" text="Code">
      <formula>NOT(ISERROR(SEARCH("Code",M11)))</formula>
    </cfRule>
  </conditionalFormatting>
  <conditionalFormatting sqref="K3">
    <cfRule type="containsText" dxfId="2479" priority="2480" operator="containsText" text="bye">
      <formula>NOT(ISERROR(SEARCH("bye",K3)))</formula>
    </cfRule>
  </conditionalFormatting>
  <conditionalFormatting sqref="G281:K433">
    <cfRule type="containsText" dxfId="2478" priority="2478" operator="containsText" text="Code">
      <formula>NOT(ISERROR(SEARCH("Code",G281)))</formula>
    </cfRule>
    <cfRule type="containsText" dxfId="2477" priority="2479" operator="containsText" text="c'[Fixtures All.xlsx]Women Filtered'!$F$2">
      <formula>NOT(ISERROR(SEARCH("c'[Fixtures All.xlsx]Women Filtered'!$F$2",G281)))</formula>
    </cfRule>
  </conditionalFormatting>
  <conditionalFormatting sqref="G589:G594">
    <cfRule type="duplicateValues" dxfId="2476" priority="2235"/>
  </conditionalFormatting>
  <conditionalFormatting sqref="F596:H596">
    <cfRule type="duplicateValues" dxfId="2475" priority="2458"/>
  </conditionalFormatting>
  <conditionalFormatting sqref="F597:H597">
    <cfRule type="duplicateValues" dxfId="2474" priority="2340"/>
  </conditionalFormatting>
  <conditionalFormatting sqref="F598:H598">
    <cfRule type="duplicateValues" dxfId="2473" priority="2319"/>
  </conditionalFormatting>
  <conditionalFormatting sqref="F599:H599">
    <cfRule type="duplicateValues" dxfId="2472" priority="2298"/>
  </conditionalFormatting>
  <conditionalFormatting sqref="F600:H600">
    <cfRule type="duplicateValues" dxfId="2471" priority="2260"/>
  </conditionalFormatting>
  <conditionalFormatting sqref="F601:H601">
    <cfRule type="duplicateValues" dxfId="2470" priority="2279"/>
  </conditionalFormatting>
  <conditionalFormatting sqref="F603:H603">
    <cfRule type="duplicateValues" dxfId="2469" priority="2457"/>
  </conditionalFormatting>
  <conditionalFormatting sqref="F604:H604">
    <cfRule type="duplicateValues" dxfId="2468" priority="2441"/>
  </conditionalFormatting>
  <conditionalFormatting sqref="F605:H605">
    <cfRule type="duplicateValues" dxfId="2467" priority="2420"/>
  </conditionalFormatting>
  <conditionalFormatting sqref="F606:H606">
    <cfRule type="duplicateValues" dxfId="2466" priority="2400"/>
  </conditionalFormatting>
  <conditionalFormatting sqref="F607:H607">
    <cfRule type="duplicateValues" dxfId="2465" priority="2379"/>
  </conditionalFormatting>
  <conditionalFormatting sqref="F608:H608">
    <cfRule type="duplicateValues" dxfId="2464" priority="2359"/>
  </conditionalFormatting>
  <conditionalFormatting sqref="F610:H610">
    <cfRule type="duplicateValues" dxfId="2463" priority="2475"/>
  </conditionalFormatting>
  <conditionalFormatting sqref="F611:H611">
    <cfRule type="duplicateValues" dxfId="2462" priority="2440"/>
  </conditionalFormatting>
  <conditionalFormatting sqref="F612:H612">
    <cfRule type="duplicateValues" dxfId="2461" priority="2317"/>
  </conditionalFormatting>
  <conditionalFormatting sqref="F613:H613">
    <cfRule type="duplicateValues" dxfId="2460" priority="2296"/>
  </conditionalFormatting>
  <conditionalFormatting sqref="F614:H614">
    <cfRule type="duplicateValues" dxfId="2459" priority="2258"/>
  </conditionalFormatting>
  <conditionalFormatting sqref="F615:H615">
    <cfRule type="duplicateValues" dxfId="2458" priority="2277"/>
  </conditionalFormatting>
  <conditionalFormatting sqref="F617:H617">
    <cfRule type="duplicateValues" dxfId="2457" priority="2456"/>
  </conditionalFormatting>
  <conditionalFormatting sqref="F618:H618">
    <cfRule type="duplicateValues" dxfId="2456" priority="2336"/>
  </conditionalFormatting>
  <conditionalFormatting sqref="F619:H619">
    <cfRule type="duplicateValues" dxfId="2455" priority="2418"/>
  </conditionalFormatting>
  <conditionalFormatting sqref="F620:H620">
    <cfRule type="duplicateValues" dxfId="2454" priority="2398"/>
  </conditionalFormatting>
  <conditionalFormatting sqref="F621:H621">
    <cfRule type="duplicateValues" dxfId="2453" priority="2377"/>
  </conditionalFormatting>
  <conditionalFormatting sqref="F622:H622">
    <cfRule type="duplicateValues" dxfId="2452" priority="2357"/>
  </conditionalFormatting>
  <conditionalFormatting sqref="F624:H624">
    <cfRule type="duplicateValues" dxfId="2451" priority="2473"/>
  </conditionalFormatting>
  <conditionalFormatting sqref="F625:H625">
    <cfRule type="duplicateValues" dxfId="2450" priority="2438"/>
  </conditionalFormatting>
  <conditionalFormatting sqref="F626:H626">
    <cfRule type="duplicateValues" dxfId="2449" priority="2417"/>
  </conditionalFormatting>
  <conditionalFormatting sqref="F627:H627">
    <cfRule type="duplicateValues" dxfId="2448" priority="2294"/>
  </conditionalFormatting>
  <conditionalFormatting sqref="F628:H628">
    <cfRule type="duplicateValues" dxfId="2447" priority="2256"/>
  </conditionalFormatting>
  <conditionalFormatting sqref="F629:H629">
    <cfRule type="duplicateValues" dxfId="2446" priority="2275"/>
  </conditionalFormatting>
  <conditionalFormatting sqref="F631:H631">
    <cfRule type="duplicateValues" dxfId="2445" priority="2454"/>
  </conditionalFormatting>
  <conditionalFormatting sqref="F632:H632">
    <cfRule type="duplicateValues" dxfId="2444" priority="2334"/>
  </conditionalFormatting>
  <conditionalFormatting sqref="F633:H633">
    <cfRule type="duplicateValues" dxfId="2443" priority="2314"/>
  </conditionalFormatting>
  <conditionalFormatting sqref="F634:H634">
    <cfRule type="duplicateValues" dxfId="2442" priority="2396"/>
  </conditionalFormatting>
  <conditionalFormatting sqref="F635:H635">
    <cfRule type="duplicateValues" dxfId="2441" priority="2375"/>
  </conditionalFormatting>
  <conditionalFormatting sqref="F636:H636">
    <cfRule type="duplicateValues" dxfId="2440" priority="2355"/>
  </conditionalFormatting>
  <conditionalFormatting sqref="F638:H638">
    <cfRule type="duplicateValues" dxfId="2439" priority="2471"/>
  </conditionalFormatting>
  <conditionalFormatting sqref="F639:H639">
    <cfRule type="duplicateValues" dxfId="2438" priority="2436"/>
  </conditionalFormatting>
  <conditionalFormatting sqref="F640:H640">
    <cfRule type="duplicateValues" dxfId="2437" priority="2415"/>
  </conditionalFormatting>
  <conditionalFormatting sqref="F641:H641">
    <cfRule type="duplicateValues" dxfId="2436" priority="2395"/>
  </conditionalFormatting>
  <conditionalFormatting sqref="F642:H642">
    <cfRule type="duplicateValues" dxfId="2435" priority="2292"/>
  </conditionalFormatting>
  <conditionalFormatting sqref="F643:H643">
    <cfRule type="duplicateValues" dxfId="2434" priority="2231"/>
  </conditionalFormatting>
  <conditionalFormatting sqref="F644:H644">
    <cfRule type="duplicateValues" dxfId="2433" priority="2273"/>
  </conditionalFormatting>
  <conditionalFormatting sqref="F645:H645">
    <cfRule type="duplicateValues" dxfId="2432" priority="2228"/>
  </conditionalFormatting>
  <conditionalFormatting sqref="F646:H646">
    <cfRule type="duplicateValues" dxfId="2431" priority="2222"/>
    <cfRule type="duplicateValues" dxfId="2430" priority="2452"/>
  </conditionalFormatting>
  <conditionalFormatting sqref="F647:H647">
    <cfRule type="duplicateValues" dxfId="2429" priority="2221"/>
    <cfRule type="duplicateValues" dxfId="2428" priority="2332"/>
  </conditionalFormatting>
  <conditionalFormatting sqref="F648:H648">
    <cfRule type="duplicateValues" dxfId="2427" priority="2224"/>
    <cfRule type="duplicateValues" dxfId="2426" priority="2312"/>
  </conditionalFormatting>
  <conditionalFormatting sqref="F649:H649">
    <cfRule type="duplicateValues" dxfId="2425" priority="2223"/>
    <cfRule type="duplicateValues" dxfId="2424" priority="2373"/>
  </conditionalFormatting>
  <conditionalFormatting sqref="F650:H650">
    <cfRule type="duplicateValues" dxfId="2423" priority="2218"/>
    <cfRule type="duplicateValues" dxfId="2422" priority="2353"/>
  </conditionalFormatting>
  <conditionalFormatting sqref="F651:H651">
    <cfRule type="duplicateValues" dxfId="2421" priority="2253"/>
  </conditionalFormatting>
  <conditionalFormatting sqref="F652:H652">
    <cfRule type="duplicateValues" dxfId="2420" priority="2217"/>
  </conditionalFormatting>
  <conditionalFormatting sqref="F653:H653">
    <cfRule type="duplicateValues" dxfId="2419" priority="2469"/>
  </conditionalFormatting>
  <conditionalFormatting sqref="F654:H654">
    <cfRule type="duplicateValues" dxfId="2418" priority="2434"/>
  </conditionalFormatting>
  <conditionalFormatting sqref="F655:H655">
    <cfRule type="duplicateValues" dxfId="2417" priority="2239"/>
  </conditionalFormatting>
  <conditionalFormatting sqref="F656:H656">
    <cfRule type="duplicateValues" dxfId="2416" priority="2393"/>
  </conditionalFormatting>
  <conditionalFormatting sqref="F657:H657">
    <cfRule type="duplicateValues" dxfId="2415" priority="2372"/>
  </conditionalFormatting>
  <conditionalFormatting sqref="F658:H658">
    <cfRule type="duplicateValues" dxfId="2414" priority="2290"/>
  </conditionalFormatting>
  <conditionalFormatting sqref="F659:H659">
    <cfRule type="duplicateValues" dxfId="2413" priority="2215"/>
  </conditionalFormatting>
  <conditionalFormatting sqref="F660:H660">
    <cfRule type="duplicateValues" dxfId="2412" priority="2450"/>
  </conditionalFormatting>
  <conditionalFormatting sqref="F661:H661">
    <cfRule type="duplicateValues" dxfId="2411" priority="2330"/>
  </conditionalFormatting>
  <conditionalFormatting sqref="F662:H662">
    <cfRule type="duplicateValues" dxfId="2410" priority="2310"/>
  </conditionalFormatting>
  <conditionalFormatting sqref="F663:H663">
    <cfRule type="duplicateValues" dxfId="2409" priority="2351"/>
  </conditionalFormatting>
  <conditionalFormatting sqref="F664:H664">
    <cfRule type="duplicateValues" dxfId="2408" priority="2251"/>
  </conditionalFormatting>
  <conditionalFormatting sqref="F665:H665">
    <cfRule type="duplicateValues" dxfId="2407" priority="2270"/>
  </conditionalFormatting>
  <conditionalFormatting sqref="F666:H666">
    <cfRule type="duplicateValues" dxfId="2406" priority="2212"/>
  </conditionalFormatting>
  <conditionalFormatting sqref="F667:H667">
    <cfRule type="duplicateValues" dxfId="2405" priority="2449"/>
  </conditionalFormatting>
  <conditionalFormatting sqref="F668:H668">
    <cfRule type="duplicateValues" dxfId="2404" priority="2329"/>
  </conditionalFormatting>
  <conditionalFormatting sqref="F669:H669">
    <cfRule type="duplicateValues" dxfId="2403" priority="2309"/>
  </conditionalFormatting>
  <conditionalFormatting sqref="F670:H670">
    <cfRule type="duplicateValues" dxfId="2402" priority="2288"/>
  </conditionalFormatting>
  <conditionalFormatting sqref="F671:H671">
    <cfRule type="duplicateValues" dxfId="2401" priority="2250"/>
  </conditionalFormatting>
  <conditionalFormatting sqref="F672:H672">
    <cfRule type="duplicateValues" dxfId="2400" priority="2269"/>
  </conditionalFormatting>
  <conditionalFormatting sqref="F673:H673">
    <cfRule type="duplicateValues" dxfId="2399" priority="2211"/>
  </conditionalFormatting>
  <conditionalFormatting sqref="F674:H674">
    <cfRule type="duplicateValues" dxfId="2398" priority="2468"/>
  </conditionalFormatting>
  <conditionalFormatting sqref="F675:H675">
    <cfRule type="duplicateValues" dxfId="2397" priority="2430"/>
  </conditionalFormatting>
  <conditionalFormatting sqref="F676:H676">
    <cfRule type="duplicateValues" dxfId="2396" priority="2411"/>
  </conditionalFormatting>
  <conditionalFormatting sqref="F677:H677">
    <cfRule type="duplicateValues" dxfId="2395" priority="2390"/>
  </conditionalFormatting>
  <conditionalFormatting sqref="F678:H678">
    <cfRule type="duplicateValues" dxfId="2394" priority="2369"/>
  </conditionalFormatting>
  <conditionalFormatting sqref="F679:H679">
    <cfRule type="duplicateValues" dxfId="2393" priority="2349"/>
  </conditionalFormatting>
  <conditionalFormatting sqref="F680:H680">
    <cfRule type="duplicateValues" dxfId="2392" priority="2208"/>
  </conditionalFormatting>
  <conditionalFormatting sqref="F681:H681">
    <cfRule type="duplicateValues" dxfId="2391" priority="2466"/>
  </conditionalFormatting>
  <conditionalFormatting sqref="F682:H682">
    <cfRule type="duplicateValues" dxfId="2390" priority="2327"/>
  </conditionalFormatting>
  <conditionalFormatting sqref="F683:H683">
    <cfRule type="duplicateValues" dxfId="2389" priority="2307"/>
  </conditionalFormatting>
  <conditionalFormatting sqref="F684:H684">
    <cfRule type="duplicateValues" dxfId="2388" priority="2286"/>
  </conditionalFormatting>
  <conditionalFormatting sqref="F685:H685">
    <cfRule type="duplicateValues" dxfId="2387" priority="2248"/>
  </conditionalFormatting>
  <conditionalFormatting sqref="F686:H686">
    <cfRule type="duplicateValues" dxfId="2386" priority="2267"/>
  </conditionalFormatting>
  <conditionalFormatting sqref="F687:H687">
    <cfRule type="duplicateValues" dxfId="2385" priority="2207"/>
  </conditionalFormatting>
  <conditionalFormatting sqref="F688:H688">
    <cfRule type="duplicateValues" dxfId="2384" priority="2447"/>
  </conditionalFormatting>
  <conditionalFormatting sqref="F689:H689">
    <cfRule type="duplicateValues" dxfId="2383" priority="2326"/>
  </conditionalFormatting>
  <conditionalFormatting sqref="F690:H690">
    <cfRule type="duplicateValues" dxfId="2382" priority="2409"/>
  </conditionalFormatting>
  <conditionalFormatting sqref="F691:H691">
    <cfRule type="duplicateValues" dxfId="2381" priority="2388"/>
  </conditionalFormatting>
  <conditionalFormatting sqref="F692:H692">
    <cfRule type="duplicateValues" dxfId="2380" priority="2367"/>
  </conditionalFormatting>
  <conditionalFormatting sqref="F693:H693">
    <cfRule type="duplicateValues" dxfId="2379" priority="2346"/>
  </conditionalFormatting>
  <conditionalFormatting sqref="F694:H694">
    <cfRule type="duplicateValues" dxfId="2378" priority="2204"/>
  </conditionalFormatting>
  <conditionalFormatting sqref="F695:H695">
    <cfRule type="duplicateValues" dxfId="2377" priority="2464"/>
  </conditionalFormatting>
  <conditionalFormatting sqref="F696:H696">
    <cfRule type="duplicateValues" dxfId="2376" priority="2428"/>
  </conditionalFormatting>
  <conditionalFormatting sqref="F697:H697">
    <cfRule type="duplicateValues" dxfId="2375" priority="2305"/>
  </conditionalFormatting>
  <conditionalFormatting sqref="F698:H698">
    <cfRule type="duplicateValues" dxfId="2374" priority="2284"/>
  </conditionalFormatting>
  <conditionalFormatting sqref="F699:H699">
    <cfRule type="duplicateValues" dxfId="2373" priority="2246"/>
  </conditionalFormatting>
  <conditionalFormatting sqref="F700:H700">
    <cfRule type="duplicateValues" dxfId="2372" priority="2265"/>
  </conditionalFormatting>
  <conditionalFormatting sqref="F701:H701">
    <cfRule type="duplicateValues" dxfId="2371" priority="2203"/>
  </conditionalFormatting>
  <conditionalFormatting sqref="F702:H702">
    <cfRule type="duplicateValues" dxfId="2370" priority="2446"/>
  </conditionalFormatting>
  <conditionalFormatting sqref="F703:H703">
    <cfRule type="duplicateValues" dxfId="2369" priority="2324"/>
  </conditionalFormatting>
  <conditionalFormatting sqref="F704:H704">
    <cfRule type="duplicateValues" dxfId="2368" priority="2304"/>
  </conditionalFormatting>
  <conditionalFormatting sqref="F705:H705">
    <cfRule type="duplicateValues" dxfId="2367" priority="2386"/>
  </conditionalFormatting>
  <conditionalFormatting sqref="F706:H706">
    <cfRule type="duplicateValues" dxfId="2366" priority="2365"/>
  </conditionalFormatting>
  <conditionalFormatting sqref="F707:H707">
    <cfRule type="duplicateValues" dxfId="2365" priority="2345"/>
  </conditionalFormatting>
  <conditionalFormatting sqref="F708:H708">
    <cfRule type="duplicateValues" dxfId="2364" priority="2200"/>
  </conditionalFormatting>
  <conditionalFormatting sqref="F709:H709">
    <cfRule type="duplicateValues" dxfId="2363" priority="2462"/>
  </conditionalFormatting>
  <conditionalFormatting sqref="F710:H710">
    <cfRule type="duplicateValues" dxfId="2362" priority="2426"/>
  </conditionalFormatting>
  <conditionalFormatting sqref="F711:H711">
    <cfRule type="duplicateValues" dxfId="2361" priority="2406"/>
  </conditionalFormatting>
  <conditionalFormatting sqref="F712:H712">
    <cfRule type="duplicateValues" dxfId="2360" priority="2282"/>
  </conditionalFormatting>
  <conditionalFormatting sqref="F713:H713">
    <cfRule type="duplicateValues" dxfId="2359" priority="2244"/>
  </conditionalFormatting>
  <conditionalFormatting sqref="F714:H714">
    <cfRule type="duplicateValues" dxfId="2358" priority="2263"/>
  </conditionalFormatting>
  <conditionalFormatting sqref="F715:H715">
    <cfRule type="duplicateValues" dxfId="2357" priority="2198"/>
  </conditionalFormatting>
  <conditionalFormatting sqref="F716:H716">
    <cfRule type="duplicateValues" dxfId="2356" priority="2445"/>
  </conditionalFormatting>
  <conditionalFormatting sqref="F717:H717">
    <cfRule type="duplicateValues" dxfId="2355" priority="2302"/>
  </conditionalFormatting>
  <conditionalFormatting sqref="F718:H718">
    <cfRule type="duplicateValues" dxfId="2354" priority="2363"/>
  </conditionalFormatting>
  <conditionalFormatting sqref="F719:H719">
    <cfRule type="duplicateValues" dxfId="2353" priority="2343"/>
  </conditionalFormatting>
  <conditionalFormatting sqref="G720:H721">
    <cfRule type="duplicateValues" dxfId="2352" priority="2243"/>
  </conditionalFormatting>
  <conditionalFormatting sqref="F722:H722">
    <cfRule type="duplicateValues" dxfId="2351" priority="2196"/>
  </conditionalFormatting>
  <conditionalFormatting sqref="F723:H723">
    <cfRule type="duplicateValues" dxfId="2350" priority="2195"/>
  </conditionalFormatting>
  <conditionalFormatting sqref="F724:H724">
    <cfRule type="duplicateValues" dxfId="2349" priority="2461"/>
  </conditionalFormatting>
  <conditionalFormatting sqref="F725:H725">
    <cfRule type="duplicateValues" dxfId="2348" priority="2424"/>
  </conditionalFormatting>
  <conditionalFormatting sqref="F726:H726">
    <cfRule type="duplicateValues" dxfId="2347" priority="2404"/>
  </conditionalFormatting>
  <conditionalFormatting sqref="F727:H727">
    <cfRule type="duplicateValues" dxfId="2346" priority="2383"/>
  </conditionalFormatting>
  <conditionalFormatting sqref="F728:H728">
    <cfRule type="duplicateValues" dxfId="2345" priority="2280"/>
  </conditionalFormatting>
  <conditionalFormatting sqref="F729:H729">
    <cfRule type="duplicateValues" dxfId="2344" priority="2190"/>
  </conditionalFormatting>
  <conditionalFormatting sqref="F730:H730">
    <cfRule type="duplicateValues" dxfId="2343" priority="2191"/>
  </conditionalFormatting>
  <conditionalFormatting sqref="F731:H731">
    <cfRule type="duplicateValues" dxfId="2342" priority="2443"/>
  </conditionalFormatting>
  <conditionalFormatting sqref="F732:H732">
    <cfRule type="duplicateValues" dxfId="2341" priority="2321"/>
  </conditionalFormatting>
  <conditionalFormatting sqref="F733:H733">
    <cfRule type="duplicateValues" dxfId="2340" priority="2300"/>
  </conditionalFormatting>
  <conditionalFormatting sqref="F734:H734">
    <cfRule type="duplicateValues" dxfId="2339" priority="2341"/>
  </conditionalFormatting>
  <conditionalFormatting sqref="F735:H735">
    <cfRule type="duplicateValues" dxfId="2338" priority="2241"/>
  </conditionalFormatting>
  <conditionalFormatting sqref="F736:H736">
    <cfRule type="duplicateValues" dxfId="2337" priority="2188"/>
  </conditionalFormatting>
  <conditionalFormatting sqref="F737:H737">
    <cfRule type="duplicateValues" dxfId="2336" priority="2186"/>
  </conditionalFormatting>
  <conditionalFormatting sqref="F738:H738">
    <cfRule type="duplicateValues" dxfId="2335" priority="2459"/>
  </conditionalFormatting>
  <conditionalFormatting sqref="F739:H739">
    <cfRule type="duplicateValues" dxfId="2334" priority="2422"/>
  </conditionalFormatting>
  <conditionalFormatting sqref="F740:H740">
    <cfRule type="duplicateValues" dxfId="2333" priority="2402"/>
  </conditionalFormatting>
  <conditionalFormatting sqref="F741:H741">
    <cfRule type="duplicateValues" dxfId="2332" priority="2381"/>
  </conditionalFormatting>
  <conditionalFormatting sqref="H589:H594">
    <cfRule type="duplicateValues" dxfId="2331" priority="2233"/>
  </conditionalFormatting>
  <conditionalFormatting sqref="J589:J594">
    <cfRule type="duplicateValues" dxfId="2330" priority="2234"/>
  </conditionalFormatting>
  <conditionalFormatting sqref="I596:K596">
    <cfRule type="duplicateValues" dxfId="2329" priority="2477"/>
  </conditionalFormatting>
  <conditionalFormatting sqref="I597:K597">
    <cfRule type="duplicateValues" dxfId="2328" priority="2360"/>
  </conditionalFormatting>
  <conditionalFormatting sqref="I598:K598">
    <cfRule type="duplicateValues" dxfId="2327" priority="2380"/>
  </conditionalFormatting>
  <conditionalFormatting sqref="I599:K599">
    <cfRule type="duplicateValues" dxfId="2326" priority="2442"/>
  </conditionalFormatting>
  <conditionalFormatting sqref="I600:K600">
    <cfRule type="duplicateValues" dxfId="2325" priority="2401"/>
  </conditionalFormatting>
  <conditionalFormatting sqref="I601:K601">
    <cfRule type="duplicateValues" dxfId="2324" priority="2421"/>
  </conditionalFormatting>
  <conditionalFormatting sqref="I603:K603">
    <cfRule type="duplicateValues" dxfId="2323" priority="2339"/>
  </conditionalFormatting>
  <conditionalFormatting sqref="I604:K604">
    <cfRule type="duplicateValues" dxfId="2322" priority="2476"/>
  </conditionalFormatting>
  <conditionalFormatting sqref="I605:K605">
    <cfRule type="duplicateValues" dxfId="2321" priority="2297"/>
  </conditionalFormatting>
  <conditionalFormatting sqref="I606:K606">
    <cfRule type="duplicateValues" dxfId="2320" priority="2278"/>
  </conditionalFormatting>
  <conditionalFormatting sqref="I607:K607">
    <cfRule type="duplicateValues" dxfId="2319" priority="2259"/>
  </conditionalFormatting>
  <conditionalFormatting sqref="I608:K608">
    <cfRule type="duplicateValues" dxfId="2318" priority="2318"/>
  </conditionalFormatting>
  <conditionalFormatting sqref="I610:K610">
    <cfRule type="duplicateValues" dxfId="2317" priority="2419"/>
  </conditionalFormatting>
  <conditionalFormatting sqref="I611:K611">
    <cfRule type="duplicateValues" dxfId="2316" priority="2337"/>
  </conditionalFormatting>
  <conditionalFormatting sqref="I612:K612">
    <cfRule type="duplicateValues" dxfId="2315" priority="2338"/>
  </conditionalFormatting>
  <conditionalFormatting sqref="I613:K613">
    <cfRule type="duplicateValues" dxfId="2314" priority="2399"/>
  </conditionalFormatting>
  <conditionalFormatting sqref="I614:K614">
    <cfRule type="duplicateValues" dxfId="2313" priority="2358"/>
  </conditionalFormatting>
  <conditionalFormatting sqref="I615:K615">
    <cfRule type="duplicateValues" dxfId="2312" priority="2378"/>
  </conditionalFormatting>
  <conditionalFormatting sqref="I617:K617">
    <cfRule type="duplicateValues" dxfId="2311" priority="2316"/>
  </conditionalFormatting>
  <conditionalFormatting sqref="I618:K618">
    <cfRule type="duplicateValues" dxfId="2310" priority="2257"/>
  </conditionalFormatting>
  <conditionalFormatting sqref="I619:K619">
    <cfRule type="duplicateValues" dxfId="2309" priority="2439"/>
  </conditionalFormatting>
  <conditionalFormatting sqref="I620:K620">
    <cfRule type="duplicateValues" dxfId="2308" priority="2474"/>
  </conditionalFormatting>
  <conditionalFormatting sqref="I621:K621">
    <cfRule type="duplicateValues" dxfId="2307" priority="2295"/>
  </conditionalFormatting>
  <conditionalFormatting sqref="I622:K622">
    <cfRule type="duplicateValues" dxfId="2306" priority="2276"/>
  </conditionalFormatting>
  <conditionalFormatting sqref="I624:K624">
    <cfRule type="duplicateValues" dxfId="2305" priority="2376"/>
  </conditionalFormatting>
  <conditionalFormatting sqref="I625:K625">
    <cfRule type="duplicateValues" dxfId="2304" priority="2397"/>
  </conditionalFormatting>
  <conditionalFormatting sqref="I626:K626">
    <cfRule type="duplicateValues" dxfId="2303" priority="2455"/>
  </conditionalFormatting>
  <conditionalFormatting sqref="I627:K627">
    <cfRule type="duplicateValues" dxfId="2302" priority="2356"/>
  </conditionalFormatting>
  <conditionalFormatting sqref="I628:K628">
    <cfRule type="duplicateValues" dxfId="2301" priority="2315"/>
  </conditionalFormatting>
  <conditionalFormatting sqref="I629:K629">
    <cfRule type="duplicateValues" dxfId="2300" priority="2335"/>
  </conditionalFormatting>
  <conditionalFormatting sqref="I631:K631">
    <cfRule type="duplicateValues" dxfId="2299" priority="2255"/>
  </conditionalFormatting>
  <conditionalFormatting sqref="I632:K632">
    <cfRule type="duplicateValues" dxfId="2298" priority="2293"/>
  </conditionalFormatting>
  <conditionalFormatting sqref="I633:K633">
    <cfRule type="duplicateValues" dxfId="2297" priority="2274"/>
  </conditionalFormatting>
  <conditionalFormatting sqref="I634:K634">
    <cfRule type="duplicateValues" dxfId="2296" priority="2416"/>
  </conditionalFormatting>
  <conditionalFormatting sqref="I635:K635">
    <cfRule type="duplicateValues" dxfId="2295" priority="2437"/>
  </conditionalFormatting>
  <conditionalFormatting sqref="I636:K636">
    <cfRule type="duplicateValues" dxfId="2294" priority="2472"/>
  </conditionalFormatting>
  <conditionalFormatting sqref="I638:K638">
    <cfRule type="duplicateValues" dxfId="2293" priority="2333"/>
  </conditionalFormatting>
  <conditionalFormatting sqref="I639:K639">
    <cfRule type="duplicateValues" dxfId="2292" priority="2354"/>
  </conditionalFormatting>
  <conditionalFormatting sqref="I640:K640">
    <cfRule type="duplicateValues" dxfId="2291" priority="2374"/>
  </conditionalFormatting>
  <conditionalFormatting sqref="I641:K641">
    <cfRule type="duplicateValues" dxfId="2290" priority="2453"/>
  </conditionalFormatting>
  <conditionalFormatting sqref="I642:K642">
    <cfRule type="duplicateValues" dxfId="2289" priority="2313"/>
  </conditionalFormatting>
  <conditionalFormatting sqref="I643:K643">
    <cfRule type="duplicateValues" dxfId="2288" priority="2230"/>
  </conditionalFormatting>
  <conditionalFormatting sqref="I644:K644">
    <cfRule type="duplicateValues" dxfId="2287" priority="2254"/>
  </conditionalFormatting>
  <conditionalFormatting sqref="I645:K645">
    <cfRule type="duplicateValues" dxfId="2286" priority="2219"/>
  </conditionalFormatting>
  <conditionalFormatting sqref="I646:K646">
    <cfRule type="duplicateValues" dxfId="2285" priority="2227"/>
    <cfRule type="duplicateValues" dxfId="2284" priority="2272"/>
  </conditionalFormatting>
  <conditionalFormatting sqref="I647:K647">
    <cfRule type="duplicateValues" dxfId="2283" priority="2229"/>
    <cfRule type="duplicateValues" dxfId="2282" priority="2435"/>
  </conditionalFormatting>
  <conditionalFormatting sqref="I648:K648">
    <cfRule type="duplicateValues" dxfId="2281" priority="2225"/>
    <cfRule type="duplicateValues" dxfId="2280" priority="2470"/>
  </conditionalFormatting>
  <conditionalFormatting sqref="I649:K649">
    <cfRule type="duplicateValues" dxfId="2279" priority="2226"/>
    <cfRule type="duplicateValues" dxfId="2278" priority="2394"/>
  </conditionalFormatting>
  <conditionalFormatting sqref="I650:K650">
    <cfRule type="duplicateValues" dxfId="2277" priority="2220"/>
    <cfRule type="duplicateValues" dxfId="2276" priority="2414"/>
  </conditionalFormatting>
  <conditionalFormatting sqref="I651:K651">
    <cfRule type="duplicateValues" dxfId="2275" priority="2291"/>
  </conditionalFormatting>
  <conditionalFormatting sqref="I652:K652">
    <cfRule type="duplicateValues" dxfId="2274" priority="2216"/>
  </conditionalFormatting>
  <conditionalFormatting sqref="I653:K653">
    <cfRule type="duplicateValues" dxfId="2273" priority="2252"/>
  </conditionalFormatting>
  <conditionalFormatting sqref="I654:K654">
    <cfRule type="duplicateValues" dxfId="2272" priority="2311"/>
  </conditionalFormatting>
  <conditionalFormatting sqref="I655:K655">
    <cfRule type="duplicateValues" dxfId="2271" priority="2331"/>
  </conditionalFormatting>
  <conditionalFormatting sqref="I656:K656">
    <cfRule type="duplicateValues" dxfId="2270" priority="2352"/>
  </conditionalFormatting>
  <conditionalFormatting sqref="I657:K657">
    <cfRule type="duplicateValues" dxfId="2269" priority="2451"/>
  </conditionalFormatting>
  <conditionalFormatting sqref="I658:K658">
    <cfRule type="duplicateValues" dxfId="2268" priority="2271"/>
  </conditionalFormatting>
  <conditionalFormatting sqref="I659:K659">
    <cfRule type="duplicateValues" dxfId="2267" priority="2214"/>
  </conditionalFormatting>
  <conditionalFormatting sqref="I660:K660">
    <cfRule type="duplicateValues" dxfId="2266" priority="2289"/>
  </conditionalFormatting>
  <conditionalFormatting sqref="I661:K661">
    <cfRule type="duplicateValues" dxfId="2265" priority="2392"/>
  </conditionalFormatting>
  <conditionalFormatting sqref="I662:K662">
    <cfRule type="duplicateValues" dxfId="2264" priority="2413"/>
  </conditionalFormatting>
  <conditionalFormatting sqref="I663:K663">
    <cfRule type="duplicateValues" dxfId="2263" priority="2371"/>
  </conditionalFormatting>
  <conditionalFormatting sqref="I664:K664">
    <cfRule type="duplicateValues" dxfId="2262" priority="2433"/>
  </conditionalFormatting>
  <conditionalFormatting sqref="I665:K665">
    <cfRule type="duplicateValues" dxfId="2261" priority="2238"/>
  </conditionalFormatting>
  <conditionalFormatting sqref="I666:K666">
    <cfRule type="duplicateValues" dxfId="2260" priority="2213"/>
  </conditionalFormatting>
  <conditionalFormatting sqref="I667:K667">
    <cfRule type="duplicateValues" dxfId="2259" priority="2350"/>
  </conditionalFormatting>
  <conditionalFormatting sqref="I668:K668">
    <cfRule type="duplicateValues" dxfId="2258" priority="2370"/>
  </conditionalFormatting>
  <conditionalFormatting sqref="I669:K669">
    <cfRule type="duplicateValues" dxfId="2257" priority="2391"/>
  </conditionalFormatting>
  <conditionalFormatting sqref="I670:K670">
    <cfRule type="duplicateValues" dxfId="2256" priority="2467"/>
  </conditionalFormatting>
  <conditionalFormatting sqref="I671:K671">
    <cfRule type="duplicateValues" dxfId="2255" priority="2412"/>
  </conditionalFormatting>
  <conditionalFormatting sqref="I672:K672">
    <cfRule type="duplicateValues" dxfId="2254" priority="2432"/>
  </conditionalFormatting>
  <conditionalFormatting sqref="I673:K673">
    <cfRule type="duplicateValues" dxfId="2253" priority="2210"/>
  </conditionalFormatting>
  <conditionalFormatting sqref="I674:K674">
    <cfRule type="duplicateValues" dxfId="2252" priority="2448"/>
  </conditionalFormatting>
  <conditionalFormatting sqref="I675:K675">
    <cfRule type="duplicateValues" dxfId="2251" priority="2287"/>
  </conditionalFormatting>
  <conditionalFormatting sqref="I676:K676">
    <cfRule type="duplicateValues" dxfId="2250" priority="2268"/>
  </conditionalFormatting>
  <conditionalFormatting sqref="I677:K677">
    <cfRule type="duplicateValues" dxfId="2249" priority="2249"/>
  </conditionalFormatting>
  <conditionalFormatting sqref="I678:K678">
    <cfRule type="duplicateValues" dxfId="2248" priority="2308"/>
  </conditionalFormatting>
  <conditionalFormatting sqref="I679:K679">
    <cfRule type="duplicateValues" dxfId="2247" priority="2328"/>
  </conditionalFormatting>
  <conditionalFormatting sqref="I680:K680">
    <cfRule type="duplicateValues" dxfId="2246" priority="2209"/>
  </conditionalFormatting>
  <conditionalFormatting sqref="I681:K681">
    <cfRule type="duplicateValues" dxfId="2245" priority="2431"/>
  </conditionalFormatting>
  <conditionalFormatting sqref="I682:K682">
    <cfRule type="duplicateValues" dxfId="2244" priority="2237"/>
  </conditionalFormatting>
  <conditionalFormatting sqref="I683:K683">
    <cfRule type="duplicateValues" dxfId="2243" priority="2348"/>
  </conditionalFormatting>
  <conditionalFormatting sqref="I684:K684">
    <cfRule type="duplicateValues" dxfId="2242" priority="2410"/>
  </conditionalFormatting>
  <conditionalFormatting sqref="I685:K685">
    <cfRule type="duplicateValues" dxfId="2241" priority="2368"/>
  </conditionalFormatting>
  <conditionalFormatting sqref="I686:K686">
    <cfRule type="duplicateValues" dxfId="2240" priority="2389"/>
  </conditionalFormatting>
  <conditionalFormatting sqref="I687:K687">
    <cfRule type="duplicateValues" dxfId="2239" priority="2206"/>
  </conditionalFormatting>
  <conditionalFormatting sqref="I688:K688">
    <cfRule type="duplicateValues" dxfId="2238" priority="2429"/>
  </conditionalFormatting>
  <conditionalFormatting sqref="I689:K689">
    <cfRule type="duplicateValues" dxfId="2237" priority="2306"/>
  </conditionalFormatting>
  <conditionalFormatting sqref="I690:K690">
    <cfRule type="duplicateValues" dxfId="2236" priority="2465"/>
  </conditionalFormatting>
  <conditionalFormatting sqref="I691:K691">
    <cfRule type="duplicateValues" dxfId="2235" priority="2285"/>
  </conditionalFormatting>
  <conditionalFormatting sqref="I692:K692">
    <cfRule type="duplicateValues" dxfId="2234" priority="2266"/>
  </conditionalFormatting>
  <conditionalFormatting sqref="I693:K693">
    <cfRule type="duplicateValues" dxfId="2233" priority="2247"/>
  </conditionalFormatting>
  <conditionalFormatting sqref="I694:K694">
    <cfRule type="duplicateValues" dxfId="2232" priority="2205"/>
  </conditionalFormatting>
  <conditionalFormatting sqref="I695:K695">
    <cfRule type="duplicateValues" dxfId="2231" priority="2387"/>
  </conditionalFormatting>
  <conditionalFormatting sqref="I696:K696">
    <cfRule type="duplicateValues" dxfId="2230" priority="2408"/>
  </conditionalFormatting>
  <conditionalFormatting sqref="I697:K697">
    <cfRule type="duplicateValues" dxfId="2229" priority="2236"/>
  </conditionalFormatting>
  <conditionalFormatting sqref="I698:K698">
    <cfRule type="duplicateValues" dxfId="2228" priority="2366"/>
  </conditionalFormatting>
  <conditionalFormatting sqref="I699:K699">
    <cfRule type="duplicateValues" dxfId="2227" priority="2325"/>
  </conditionalFormatting>
  <conditionalFormatting sqref="I700:K700">
    <cfRule type="duplicateValues" dxfId="2226" priority="2347"/>
  </conditionalFormatting>
  <conditionalFormatting sqref="I701:K701">
    <cfRule type="duplicateValues" dxfId="2225" priority="2202"/>
  </conditionalFormatting>
  <conditionalFormatting sqref="I702:K702">
    <cfRule type="duplicateValues" dxfId="2224" priority="2407"/>
  </conditionalFormatting>
  <conditionalFormatting sqref="I703:K703">
    <cfRule type="duplicateValues" dxfId="2223" priority="2264"/>
  </conditionalFormatting>
  <conditionalFormatting sqref="I704:K704">
    <cfRule type="duplicateValues" dxfId="2222" priority="2245"/>
  </conditionalFormatting>
  <conditionalFormatting sqref="I705:K705">
    <cfRule type="duplicateValues" dxfId="2221" priority="2427"/>
  </conditionalFormatting>
  <conditionalFormatting sqref="I706:K706">
    <cfRule type="duplicateValues" dxfId="2220" priority="2463"/>
  </conditionalFormatting>
  <conditionalFormatting sqref="I707:K707">
    <cfRule type="duplicateValues" dxfId="2219" priority="2283"/>
  </conditionalFormatting>
  <conditionalFormatting sqref="I708:K708">
    <cfRule type="duplicateValues" dxfId="2218" priority="2201"/>
  </conditionalFormatting>
  <conditionalFormatting sqref="I709:K709">
    <cfRule type="duplicateValues" dxfId="2217" priority="2344"/>
  </conditionalFormatting>
  <conditionalFormatting sqref="I710:K710">
    <cfRule type="duplicateValues" dxfId="2216" priority="2364"/>
  </conditionalFormatting>
  <conditionalFormatting sqref="I711:K711">
    <cfRule type="duplicateValues" dxfId="2215" priority="2385"/>
  </conditionalFormatting>
  <conditionalFormatting sqref="I712:K712">
    <cfRule type="duplicateValues" dxfId="2214" priority="2323"/>
  </conditionalFormatting>
  <conditionalFormatting sqref="I713:K713">
    <cfRule type="duplicateValues" dxfId="2213" priority="2444"/>
  </conditionalFormatting>
  <conditionalFormatting sqref="I714:K714">
    <cfRule type="duplicateValues" dxfId="2212" priority="2303"/>
  </conditionalFormatting>
  <conditionalFormatting sqref="I715:K715">
    <cfRule type="duplicateValues" dxfId="2211" priority="2199"/>
  </conditionalFormatting>
  <conditionalFormatting sqref="I716:K716">
    <cfRule type="duplicateValues" dxfId="2210" priority="2384"/>
  </conditionalFormatting>
  <conditionalFormatting sqref="I717:K717">
    <cfRule type="duplicateValues" dxfId="2209" priority="2281"/>
  </conditionalFormatting>
  <conditionalFormatting sqref="I718:K718">
    <cfRule type="duplicateValues" dxfId="2208" priority="2405"/>
  </conditionalFormatting>
  <conditionalFormatting sqref="I719:K719">
    <cfRule type="duplicateValues" dxfId="2207" priority="2425"/>
  </conditionalFormatting>
  <conditionalFormatting sqref="J720:K721">
    <cfRule type="duplicateValues" dxfId="2206" priority="2262"/>
  </conditionalFormatting>
  <conditionalFormatting sqref="I722:K722">
    <cfRule type="duplicateValues" dxfId="2205" priority="2194"/>
  </conditionalFormatting>
  <conditionalFormatting sqref="I723:K723">
    <cfRule type="duplicateValues" dxfId="2204" priority="2197"/>
  </conditionalFormatting>
  <conditionalFormatting sqref="I724:K724">
    <cfRule type="duplicateValues" dxfId="2203" priority="2301"/>
  </conditionalFormatting>
  <conditionalFormatting sqref="I725:K725">
    <cfRule type="duplicateValues" dxfId="2202" priority="2322"/>
  </conditionalFormatting>
  <conditionalFormatting sqref="I726:K726">
    <cfRule type="duplicateValues" dxfId="2201" priority="2342"/>
  </conditionalFormatting>
  <conditionalFormatting sqref="I727:K727">
    <cfRule type="duplicateValues" dxfId="2200" priority="2362"/>
  </conditionalFormatting>
  <conditionalFormatting sqref="I728:K728">
    <cfRule type="duplicateValues" dxfId="2199" priority="2242"/>
  </conditionalFormatting>
  <conditionalFormatting sqref="I729:K729">
    <cfRule type="duplicateValues" dxfId="2198" priority="2193"/>
  </conditionalFormatting>
  <conditionalFormatting sqref="I730:K730">
    <cfRule type="duplicateValues" dxfId="2197" priority="2192"/>
  </conditionalFormatting>
  <conditionalFormatting sqref="I731:K731">
    <cfRule type="duplicateValues" dxfId="2196" priority="2361"/>
  </conditionalFormatting>
  <conditionalFormatting sqref="I732:K732">
    <cfRule type="duplicateValues" dxfId="2195" priority="2403"/>
  </conditionalFormatting>
  <conditionalFormatting sqref="I733:K733">
    <cfRule type="duplicateValues" dxfId="2194" priority="2423"/>
  </conditionalFormatting>
  <conditionalFormatting sqref="I734:K734">
    <cfRule type="duplicateValues" dxfId="2193" priority="2382"/>
  </conditionalFormatting>
  <conditionalFormatting sqref="I735:K735">
    <cfRule type="duplicateValues" dxfId="2192" priority="2460"/>
  </conditionalFormatting>
  <conditionalFormatting sqref="I736:K736">
    <cfRule type="duplicateValues" dxfId="2191" priority="2187"/>
  </conditionalFormatting>
  <conditionalFormatting sqref="I737:K737">
    <cfRule type="duplicateValues" dxfId="2190" priority="2189"/>
  </conditionalFormatting>
  <conditionalFormatting sqref="I738:K738">
    <cfRule type="duplicateValues" dxfId="2189" priority="2261"/>
  </conditionalFormatting>
  <conditionalFormatting sqref="I739:K739">
    <cfRule type="duplicateValues" dxfId="2188" priority="2240"/>
  </conditionalFormatting>
  <conditionalFormatting sqref="I740:K740">
    <cfRule type="duplicateValues" dxfId="2187" priority="2299"/>
  </conditionalFormatting>
  <conditionalFormatting sqref="I741:K741">
    <cfRule type="duplicateValues" dxfId="2186" priority="2320"/>
  </conditionalFormatting>
  <conditionalFormatting sqref="K589:K594">
    <cfRule type="duplicateValues" dxfId="2185" priority="2232"/>
  </conditionalFormatting>
  <conditionalFormatting sqref="F745:H750 F752:H757 F766:H771 F773:H778 F780:H785 F787:H792 F808:H813 F815:H820 F822:H827 F829:H834 F836:H841 F850:H855 F857:H862 F864:H869 F871:H876 F885:H890 F892:H895 F743:H743 F759:H764 F794:H799 F801:H806 F843:H848 F878:H883 I748:K752 I754:K756 I767:K772 I774:K782 I784:K788 I790:K791 I809:K816 I818:K824 I826:K831 I833:K833 I835:K840 I853:K857 I859:K864 I866:K872 I874:K876 I886:K892 I894:K895 I743:K746 I758:K765 I793:K799 I801:K807 I842:K851 I878:K884">
    <cfRule type="containsText" dxfId="2184" priority="2182" operator="containsText" text="ley dev">
      <formula>NOT(ISERROR(SEARCH("ley dev",F743)))</formula>
    </cfRule>
    <cfRule type="containsText" dxfId="2183" priority="2183" operator="containsText" text="fyl">
      <formula>NOT(ISERROR(SEARCH("fyl",F743)))</formula>
    </cfRule>
  </conditionalFormatting>
  <conditionalFormatting sqref="F745:H750 F752:H757 F766:H771 F773:H778 F780:H785 F787:H792 F808:H813 F815:H820 F822:H827 F829:H834 F836:H841 F850:H855 F857:H862 F864:H869 F871:H876 F885:H890 F892:H895 F743:H743 F759:H764 F794:H799 F801:H806 F843:H848 F878:H883 I748:K752 I754:K756 I767:K772 I774:K782 I784:K788 I790:K791 I809:K816 I818:K824 I826:K831 I833:K833 I835:K840 I853:K857 I859:K864 I866:K872 I874:K876 I886:K892 I894:K895 I743:K746 I758:K765 I793:K799 I801:K807 I842:K851 I878:K884">
    <cfRule type="containsText" dxfId="2182" priority="2184" operator="containsText" text="Code">
      <formula>NOT(ISERROR(SEARCH("Code",F743)))</formula>
    </cfRule>
    <cfRule type="containsText" dxfId="2181" priority="2185" operator="containsText" text="c'[Fixtures All.xlsx]Women Filtered'!$F$2">
      <formula>NOT(ISERROR(SEARCH("c'[Fixtures All.xlsx]Women Filtered'!$F$2",F743)))</formula>
    </cfRule>
  </conditionalFormatting>
  <conditionalFormatting sqref="G1051:K1203">
    <cfRule type="containsText" dxfId="2180" priority="2181" operator="containsText" text="BM5E!$F$26M5E!$F$26">
      <formula>NOT(ISERROR(SEARCH("BM5E!$F$26M5E!$F$26",G1051)))</formula>
    </cfRule>
  </conditionalFormatting>
  <conditionalFormatting sqref="G1205:K1357">
    <cfRule type="containsText" dxfId="2179" priority="2179" operator="containsText" text="Code">
      <formula>NOT(ISERROR(SEARCH("Code",G1205)))</formula>
    </cfRule>
    <cfRule type="containsText" dxfId="2178" priority="2180" operator="containsText" text="c'[Fixtures All.xlsx]Women Filtered'!$F$2">
      <formula>NOT(ISERROR(SEARCH("c'[Fixtures All.xlsx]Women Filtered'!$F$2",G1205)))</formula>
    </cfRule>
  </conditionalFormatting>
  <conditionalFormatting sqref="G1359:K1511">
    <cfRule type="containsText" dxfId="2177" priority="2178" operator="containsText" text="Code">
      <formula>NOT(ISERROR(SEARCH("Code",G1359)))</formula>
    </cfRule>
  </conditionalFormatting>
  <conditionalFormatting sqref="F1518:G1518">
    <cfRule type="duplicateValues" dxfId="2176" priority="2173"/>
  </conditionalFormatting>
  <conditionalFormatting sqref="F1532:G1532">
    <cfRule type="duplicateValues" dxfId="2175" priority="2171"/>
  </conditionalFormatting>
  <conditionalFormatting sqref="F1546:G1546">
    <cfRule type="duplicateValues" dxfId="2174" priority="2169"/>
  </conditionalFormatting>
  <conditionalFormatting sqref="F1560:G1560">
    <cfRule type="duplicateValues" dxfId="2173" priority="2167"/>
  </conditionalFormatting>
  <conditionalFormatting sqref="F1573:G1573">
    <cfRule type="duplicateValues" dxfId="2172" priority="2165"/>
  </conditionalFormatting>
  <conditionalFormatting sqref="F1586:G1586">
    <cfRule type="duplicateValues" dxfId="2171" priority="2163"/>
  </conditionalFormatting>
  <conditionalFormatting sqref="F1602:G1602">
    <cfRule type="duplicateValues" dxfId="2170" priority="2161"/>
  </conditionalFormatting>
  <conditionalFormatting sqref="F1616:G1616">
    <cfRule type="duplicateValues" dxfId="2169" priority="2159"/>
  </conditionalFormatting>
  <conditionalFormatting sqref="F1630:G1630">
    <cfRule type="duplicateValues" dxfId="2168" priority="2157"/>
  </conditionalFormatting>
  <conditionalFormatting sqref="F1643:G1643">
    <cfRule type="duplicateValues" dxfId="2167" priority="2155"/>
  </conditionalFormatting>
  <conditionalFormatting sqref="F1656:G1656">
    <cfRule type="duplicateValues" dxfId="2166" priority="2153"/>
  </conditionalFormatting>
  <conditionalFormatting sqref="F1513:H1517 F1519:H1524 F1526:H1531 F1533:H1538 F1547:H1552 F1554:H1559 F1561:H1566 F1568:H1572 F1574:H1585 F1589:H1594 F1596:H1601 F1603:H1608 F1610:H1615 F1624:H1629 F1631:H1636 F1644:H1650 F1659:H1665 F1540:H1545 F1587:H1587 F1617:H1622 F1638:H1642 F1652:H1655 F1657:H1657 I1513:K1513 I1515:K1520 I1522:K1529 I1531:K1537 I1547:K1550 I1552:K1556 I1558:K1562 I1564:K1568 I1570:K1578 I1580:K1580 I1591:K1598 I1600:K1605 I1607:K1614 I1624:K1625 I1627:K1631 I1645:K1647 I1661:K1663 I1665:K1665 I1539:K1545 I1582:K1589 I1616:K1622 I1633:K1643 I1649:K1659">
    <cfRule type="containsText" dxfId="2165" priority="2174" operator="containsText" text="nor">
      <formula>NOT(ISERROR(SEARCH("nor",F1513)))</formula>
    </cfRule>
    <cfRule type="containsText" dxfId="2164" priority="2175" operator="containsText" text="beb">
      <formula>NOT(ISERROR(SEARCH("beb",F1513)))</formula>
    </cfRule>
  </conditionalFormatting>
  <conditionalFormatting sqref="F1513:H1517 F1519:H1524 F1526:H1531 F1533:H1538 F1547:H1552 F1554:H1559 F1561:H1566 F1568:H1572 F1574:H1585 F1589:H1594 F1596:H1601 F1603:H1608 F1610:H1615 F1624:H1629 F1631:H1636 F1644:H1650 F1659:H1665 F1540:H1545 F1587:H1587 F1617:H1622 F1638:H1642 F1652:H1655 F1657:H1657 I1513:K1513 I1515:K1520 I1522:K1529 I1531:K1537 I1547:K1550 I1552:K1556 I1558:K1562 I1564:K1568 I1570:K1578 I1580:K1580 I1591:K1598 I1600:K1605 I1607:K1614 I1624:K1625 I1627:K1631 I1645:K1647 I1661:K1663 I1665:K1665 I1539:K1545 I1582:K1589 I1616:K1622 I1633:K1643 I1649:K1659">
    <cfRule type="containsText" dxfId="2163" priority="2176" operator="containsText" text="Code">
      <formula>NOT(ISERROR(SEARCH("Code",F1513)))</formula>
    </cfRule>
    <cfRule type="containsText" dxfId="2162" priority="2177" operator="containsText" text="c'[Fixtures All.xlsx]Women Filtered'!$F$2">
      <formula>NOT(ISERROR(SEARCH("c'[Fixtures All.xlsx]Women Filtered'!$F$2",F1513)))</formula>
    </cfRule>
  </conditionalFormatting>
  <conditionalFormatting sqref="I1521:J1521">
    <cfRule type="duplicateValues" dxfId="2161" priority="2172"/>
  </conditionalFormatting>
  <conditionalFormatting sqref="I1538:J1538">
    <cfRule type="duplicateValues" dxfId="2160" priority="2170"/>
  </conditionalFormatting>
  <conditionalFormatting sqref="I1551:J1551">
    <cfRule type="duplicateValues" dxfId="2159" priority="2168"/>
  </conditionalFormatting>
  <conditionalFormatting sqref="I1563:J1563">
    <cfRule type="duplicateValues" dxfId="2158" priority="2166"/>
  </conditionalFormatting>
  <conditionalFormatting sqref="I1579:J1579">
    <cfRule type="duplicateValues" dxfId="2157" priority="2164"/>
  </conditionalFormatting>
  <conditionalFormatting sqref="I1590:J1590">
    <cfRule type="duplicateValues" dxfId="2156" priority="2162"/>
  </conditionalFormatting>
  <conditionalFormatting sqref="I1606:J1606">
    <cfRule type="duplicateValues" dxfId="2155" priority="2160"/>
  </conditionalFormatting>
  <conditionalFormatting sqref="I1623:J1623">
    <cfRule type="duplicateValues" dxfId="2154" priority="2158"/>
  </conditionalFormatting>
  <conditionalFormatting sqref="I1632:J1632">
    <cfRule type="duplicateValues" dxfId="2153" priority="2156"/>
  </conditionalFormatting>
  <conditionalFormatting sqref="I1648:J1648">
    <cfRule type="duplicateValues" dxfId="2152" priority="2154"/>
  </conditionalFormatting>
  <conditionalFormatting sqref="I1664:J1664">
    <cfRule type="duplicateValues" dxfId="2151" priority="2152"/>
  </conditionalFormatting>
  <conditionalFormatting sqref="G1821:K1927">
    <cfRule type="containsText" dxfId="2150" priority="2151" operator="containsText" text="Code">
      <formula>NOT(ISERROR(SEARCH("Code",G1821)))</formula>
    </cfRule>
  </conditionalFormatting>
  <conditionalFormatting sqref="M1822">
    <cfRule type="containsText" dxfId="2149" priority="2149" operator="containsText" text="Code">
      <formula>NOT(ISERROR(SEARCH("Code",M1822)))</formula>
    </cfRule>
  </conditionalFormatting>
  <conditionalFormatting sqref="M1825">
    <cfRule type="containsText" dxfId="2148" priority="2113" operator="containsText" text="Code">
      <formula>NOT(ISERROR(SEARCH("Code",M1825)))</formula>
    </cfRule>
  </conditionalFormatting>
  <conditionalFormatting sqref="M1828">
    <cfRule type="containsText" dxfId="2147" priority="2111" operator="containsText" text="code">
      <formula>NOT(ISERROR(SEARCH("code",M1828)))</formula>
    </cfRule>
  </conditionalFormatting>
  <conditionalFormatting sqref="M1830">
    <cfRule type="containsText" dxfId="2146" priority="2147" operator="containsText" text="code">
      <formula>NOT(ISERROR(SEARCH("code",M1830)))</formula>
    </cfRule>
  </conditionalFormatting>
  <conditionalFormatting sqref="M1835">
    <cfRule type="containsText" dxfId="2145" priority="2145" operator="containsText" text="Code">
      <formula>NOT(ISERROR(SEARCH("Code",M1835)))</formula>
    </cfRule>
  </conditionalFormatting>
  <conditionalFormatting sqref="M1837">
    <cfRule type="containsText" dxfId="2144" priority="2109" operator="containsText" text="Code">
      <formula>NOT(ISERROR(SEARCH("Code",M1837)))</formula>
    </cfRule>
  </conditionalFormatting>
  <conditionalFormatting sqref="M1840">
    <cfRule type="containsText" dxfId="2143" priority="2143" operator="containsText" text="Code">
      <formula>NOT(ISERROR(SEARCH("Code",M1840)))</formula>
    </cfRule>
  </conditionalFormatting>
  <conditionalFormatting sqref="M1843">
    <cfRule type="containsText" dxfId="2142" priority="2107" operator="containsText" text="Code">
      <formula>NOT(ISERROR(SEARCH("Code",M1843)))</formula>
    </cfRule>
  </conditionalFormatting>
  <conditionalFormatting sqref="M1847">
    <cfRule type="containsText" dxfId="2141" priority="2141" operator="containsText" text="code">
      <formula>NOT(ISERROR(SEARCH("code",M1847)))</formula>
    </cfRule>
  </conditionalFormatting>
  <conditionalFormatting sqref="M1849">
    <cfRule type="containsText" dxfId="2140" priority="2105" operator="containsText" text="code">
      <formula>NOT(ISERROR(SEARCH("code",M1849)))</formula>
    </cfRule>
  </conditionalFormatting>
  <conditionalFormatting sqref="M1853:M1854">
    <cfRule type="containsText" dxfId="2139" priority="2139" operator="containsText" text="code">
      <formula>NOT(ISERROR(SEARCH("code",M1853)))</formula>
    </cfRule>
  </conditionalFormatting>
  <conditionalFormatting sqref="M1858">
    <cfRule type="containsText" dxfId="2138" priority="2137" operator="containsText" text="Code">
      <formula>NOT(ISERROR(SEARCH("Code",M1858)))</formula>
    </cfRule>
  </conditionalFormatting>
  <conditionalFormatting sqref="M1861">
    <cfRule type="containsText" dxfId="2137" priority="2103" operator="containsText" text="Code">
      <formula>NOT(ISERROR(SEARCH("Code",M1861)))</formula>
    </cfRule>
  </conditionalFormatting>
  <conditionalFormatting sqref="M1863">
    <cfRule type="containsText" dxfId="2136" priority="2135" operator="containsText" text="code">
      <formula>NOT(ISERROR(SEARCH("code",M1863)))</formula>
    </cfRule>
  </conditionalFormatting>
  <conditionalFormatting sqref="M1867">
    <cfRule type="containsText" dxfId="2135" priority="2101" operator="containsText" text="code">
      <formula>NOT(ISERROR(SEARCH("code",M1867)))</formula>
    </cfRule>
  </conditionalFormatting>
  <conditionalFormatting sqref="M1870">
    <cfRule type="containsText" dxfId="2134" priority="2133" operator="containsText" text="Code">
      <formula>NOT(ISERROR(SEARCH("Code",M1870)))</formula>
    </cfRule>
  </conditionalFormatting>
  <conditionalFormatting sqref="M1875">
    <cfRule type="containsText" dxfId="2133" priority="2131" operator="containsText" text="code">
      <formula>NOT(ISERROR(SEARCH("code",M1875)))</formula>
    </cfRule>
  </conditionalFormatting>
  <conditionalFormatting sqref="M1878">
    <cfRule type="containsText" dxfId="2132" priority="2099" operator="containsText" text="code">
      <formula>NOT(ISERROR(SEARCH("code",M1878)))</formula>
    </cfRule>
  </conditionalFormatting>
  <conditionalFormatting sqref="M1882">
    <cfRule type="containsText" dxfId="2131" priority="2129" operator="containsText" text="Code">
      <formula>NOT(ISERROR(SEARCH("Code",M1882)))</formula>
    </cfRule>
  </conditionalFormatting>
  <conditionalFormatting sqref="M1885">
    <cfRule type="containsText" dxfId="2130" priority="2097" operator="containsText" text="Code">
      <formula>NOT(ISERROR(SEARCH("Code",M1885)))</formula>
    </cfRule>
  </conditionalFormatting>
  <conditionalFormatting sqref="M1887:M1888">
    <cfRule type="containsText" dxfId="2129" priority="2127" operator="containsText" text="code">
      <formula>NOT(ISERROR(SEARCH("code",M1887)))</formula>
    </cfRule>
  </conditionalFormatting>
  <conditionalFormatting sqref="M1895">
    <cfRule type="containsText" dxfId="2128" priority="2125" operator="containsText" text="code">
      <formula>NOT(ISERROR(SEARCH("code",M1895)))</formula>
    </cfRule>
  </conditionalFormatting>
  <conditionalFormatting sqref="M1897">
    <cfRule type="containsText" dxfId="2127" priority="2095" operator="containsText" text="code">
      <formula>NOT(ISERROR(SEARCH("code",M1897)))</formula>
    </cfRule>
  </conditionalFormatting>
  <conditionalFormatting sqref="M1901">
    <cfRule type="containsText" dxfId="2126" priority="2093" operator="containsText" text="code">
      <formula>NOT(ISERROR(SEARCH("code",M1901)))</formula>
    </cfRule>
  </conditionalFormatting>
  <conditionalFormatting sqref="M1903">
    <cfRule type="containsText" dxfId="2125" priority="2123" operator="containsText" text="code">
      <formula>NOT(ISERROR(SEARCH("code",M1903)))</formula>
    </cfRule>
  </conditionalFormatting>
  <conditionalFormatting sqref="M1906">
    <cfRule type="containsText" dxfId="2124" priority="2121" operator="containsText" text="Code">
      <formula>NOT(ISERROR(SEARCH("Code",M1906)))</formula>
    </cfRule>
  </conditionalFormatting>
  <conditionalFormatting sqref="M1909">
    <cfRule type="containsText" dxfId="2123" priority="2091" operator="containsText" text="Code">
      <formula>NOT(ISERROR(SEARCH("Code",M1909)))</formula>
    </cfRule>
  </conditionalFormatting>
  <conditionalFormatting sqref="M1911">
    <cfRule type="containsText" dxfId="2122" priority="2089" operator="containsText" text="code">
      <formula>NOT(ISERROR(SEARCH("code",M1911)))</formula>
    </cfRule>
  </conditionalFormatting>
  <conditionalFormatting sqref="M1914">
    <cfRule type="containsText" dxfId="2121" priority="2119" operator="containsText" text="code">
      <formula>NOT(ISERROR(SEARCH("code",M1914)))</formula>
    </cfRule>
  </conditionalFormatting>
  <conditionalFormatting sqref="M1917:M1918">
    <cfRule type="containsText" dxfId="2120" priority="2117" operator="containsText" text="Code">
      <formula>NOT(ISERROR(SEARCH("Code",M1917)))</formula>
    </cfRule>
  </conditionalFormatting>
  <conditionalFormatting sqref="M1927">
    <cfRule type="containsText" dxfId="2119" priority="2115" operator="containsText" text="code">
      <formula>NOT(ISERROR(SEARCH("code",M1927)))</formula>
    </cfRule>
  </conditionalFormatting>
  <conditionalFormatting sqref="M1856:N1857 M1859:N1860 M1862:N1862 M1864:N1866 M1868:N1869 M1871:N1874 M1876:N1877 M1879:N1881 M1883:N1884 M1886:N1886 M1889:N1889">
    <cfRule type="containsText" dxfId="2118" priority="2150" operator="containsText" text="cre">
      <formula>NOT(ISERROR(SEARCH("cre",M1856)))</formula>
    </cfRule>
  </conditionalFormatting>
  <conditionalFormatting sqref="N1822">
    <cfRule type="containsText" dxfId="2117" priority="2148" operator="containsText" text="code">
      <formula>NOT(ISERROR(SEARCH("code",N1822)))</formula>
    </cfRule>
  </conditionalFormatting>
  <conditionalFormatting sqref="N1825">
    <cfRule type="containsText" dxfId="2116" priority="2112" operator="containsText" text="code">
      <formula>NOT(ISERROR(SEARCH("code",N1825)))</formula>
    </cfRule>
  </conditionalFormatting>
  <conditionalFormatting sqref="N1828">
    <cfRule type="containsText" dxfId="2115" priority="2110" operator="containsText" text="Code">
      <formula>NOT(ISERROR(SEARCH("Code",N1828)))</formula>
    </cfRule>
  </conditionalFormatting>
  <conditionalFormatting sqref="N1830">
    <cfRule type="containsText" dxfId="2114" priority="2146" operator="containsText" text="Code">
      <formula>NOT(ISERROR(SEARCH("Code",N1830)))</formula>
    </cfRule>
  </conditionalFormatting>
  <conditionalFormatting sqref="N1840">
    <cfRule type="containsText" dxfId="2113" priority="2142" operator="containsText" text="code">
      <formula>NOT(ISERROR(SEARCH("code",N1840)))</formula>
    </cfRule>
  </conditionalFormatting>
  <conditionalFormatting sqref="N1843">
    <cfRule type="containsText" dxfId="2112" priority="2106" operator="containsText" text="code">
      <formula>NOT(ISERROR(SEARCH("code",N1843)))</formula>
    </cfRule>
  </conditionalFormatting>
  <conditionalFormatting sqref="N1847">
    <cfRule type="containsText" dxfId="2111" priority="2140" operator="containsText" text="Code">
      <formula>NOT(ISERROR(SEARCH("Code",N1847)))</formula>
    </cfRule>
  </conditionalFormatting>
  <conditionalFormatting sqref="N1849">
    <cfRule type="containsText" dxfId="2110" priority="2104" operator="containsText" text="Code">
      <formula>NOT(ISERROR(SEARCH("Code",N1849)))</formula>
    </cfRule>
  </conditionalFormatting>
  <conditionalFormatting sqref="N1853:N1854">
    <cfRule type="containsText" dxfId="2109" priority="2138" operator="containsText" text="Code">
      <formula>NOT(ISERROR(SEARCH("Code",N1853)))</formula>
    </cfRule>
  </conditionalFormatting>
  <conditionalFormatting sqref="N1858">
    <cfRule type="containsText" dxfId="2108" priority="2136" operator="containsText" text="code">
      <formula>NOT(ISERROR(SEARCH("code",N1858)))</formula>
    </cfRule>
  </conditionalFormatting>
  <conditionalFormatting sqref="N1861">
    <cfRule type="containsText" dxfId="2107" priority="2102" operator="containsText" text="code">
      <formula>NOT(ISERROR(SEARCH("code",N1861)))</formula>
    </cfRule>
  </conditionalFormatting>
  <conditionalFormatting sqref="N1863">
    <cfRule type="containsText" dxfId="2106" priority="2134" operator="containsText" text="Code">
      <formula>NOT(ISERROR(SEARCH("Code",N1863)))</formula>
    </cfRule>
  </conditionalFormatting>
  <conditionalFormatting sqref="N1867">
    <cfRule type="containsText" dxfId="2105" priority="2100" operator="containsText" text="Code">
      <formula>NOT(ISERROR(SEARCH("Code",N1867)))</formula>
    </cfRule>
  </conditionalFormatting>
  <conditionalFormatting sqref="N1870">
    <cfRule type="containsText" dxfId="2104" priority="2132" operator="containsText" text="code">
      <formula>NOT(ISERROR(SEARCH("code",N1870)))</formula>
    </cfRule>
  </conditionalFormatting>
  <conditionalFormatting sqref="N1875">
    <cfRule type="containsText" dxfId="2103" priority="2130" operator="containsText" text="Code">
      <formula>NOT(ISERROR(SEARCH("Code",N1875)))</formula>
    </cfRule>
  </conditionalFormatting>
  <conditionalFormatting sqref="N1878">
    <cfRule type="containsText" dxfId="2102" priority="2098" operator="containsText" text="Code">
      <formula>NOT(ISERROR(SEARCH("Code",N1878)))</formula>
    </cfRule>
  </conditionalFormatting>
  <conditionalFormatting sqref="N1882">
    <cfRule type="containsText" dxfId="2101" priority="2128" operator="containsText" text="code">
      <formula>NOT(ISERROR(SEARCH("code",N1882)))</formula>
    </cfRule>
  </conditionalFormatting>
  <conditionalFormatting sqref="N1885">
    <cfRule type="containsText" dxfId="2100" priority="2096" operator="containsText" text="code">
      <formula>NOT(ISERROR(SEARCH("code",N1885)))</formula>
    </cfRule>
  </conditionalFormatting>
  <conditionalFormatting sqref="N1887:N1888">
    <cfRule type="containsText" dxfId="2099" priority="2126" operator="containsText" text="Code">
      <formula>NOT(ISERROR(SEARCH("Code",N1887)))</formula>
    </cfRule>
  </conditionalFormatting>
  <conditionalFormatting sqref="N1895">
    <cfRule type="containsText" dxfId="2098" priority="2124" operator="containsText" text="Code">
      <formula>NOT(ISERROR(SEARCH("Code",N1895)))</formula>
    </cfRule>
  </conditionalFormatting>
  <conditionalFormatting sqref="N1897">
    <cfRule type="containsText" dxfId="2097" priority="2094" operator="containsText" text="Code">
      <formula>NOT(ISERROR(SEARCH("Code",N1897)))</formula>
    </cfRule>
  </conditionalFormatting>
  <conditionalFormatting sqref="N1901">
    <cfRule type="containsText" dxfId="2096" priority="2092" operator="containsText" text="Code">
      <formula>NOT(ISERROR(SEARCH("Code",N1901)))</formula>
    </cfRule>
  </conditionalFormatting>
  <conditionalFormatting sqref="N1903">
    <cfRule type="containsText" dxfId="2095" priority="2122" operator="containsText" text="Code">
      <formula>NOT(ISERROR(SEARCH("Code",N1903)))</formula>
    </cfRule>
  </conditionalFormatting>
  <conditionalFormatting sqref="N1906">
    <cfRule type="containsText" dxfId="2094" priority="2120" operator="containsText" text="code">
      <formula>NOT(ISERROR(SEARCH("code",N1906)))</formula>
    </cfRule>
  </conditionalFormatting>
  <conditionalFormatting sqref="N1909">
    <cfRule type="containsText" dxfId="2093" priority="2090" operator="containsText" text="code">
      <formula>NOT(ISERROR(SEARCH("code",N1909)))</formula>
    </cfRule>
  </conditionalFormatting>
  <conditionalFormatting sqref="N1911">
    <cfRule type="containsText" dxfId="2092" priority="2088" operator="containsText" text="Code">
      <formula>NOT(ISERROR(SEARCH("Code",N1911)))</formula>
    </cfRule>
  </conditionalFormatting>
  <conditionalFormatting sqref="N1914">
    <cfRule type="containsText" dxfId="2091" priority="2118" operator="containsText" text="Code">
      <formula>NOT(ISERROR(SEARCH("Code",N1914)))</formula>
    </cfRule>
  </conditionalFormatting>
  <conditionalFormatting sqref="N1917:N1918">
    <cfRule type="containsText" dxfId="2090" priority="2116" operator="containsText" text="code">
      <formula>NOT(ISERROR(SEARCH("code",N1917)))</formula>
    </cfRule>
  </conditionalFormatting>
  <conditionalFormatting sqref="N1927">
    <cfRule type="containsText" dxfId="2089" priority="2114" operator="containsText" text="Code">
      <formula>NOT(ISERROR(SEARCH("Code",N1927)))</formula>
    </cfRule>
  </conditionalFormatting>
  <conditionalFormatting sqref="N1835">
    <cfRule type="containsText" dxfId="2088" priority="2144" operator="containsText" text="code">
      <formula>NOT(ISERROR(SEARCH("code",N1835)))</formula>
    </cfRule>
  </conditionalFormatting>
  <conditionalFormatting sqref="N1837">
    <cfRule type="containsText" dxfId="2087" priority="2108" operator="containsText" text="code">
      <formula>NOT(ISERROR(SEARCH("code",N1837)))</formula>
    </cfRule>
  </conditionalFormatting>
  <conditionalFormatting sqref="G2037:G2042">
    <cfRule type="duplicateValues" dxfId="2086" priority="1845"/>
  </conditionalFormatting>
  <conditionalFormatting sqref="F2044:H2044">
    <cfRule type="duplicateValues" dxfId="2085" priority="2068"/>
  </conditionalFormatting>
  <conditionalFormatting sqref="F2045:H2045">
    <cfRule type="duplicateValues" dxfId="2084" priority="1950"/>
  </conditionalFormatting>
  <conditionalFormatting sqref="F2046:H2046">
    <cfRule type="duplicateValues" dxfId="2083" priority="1929"/>
  </conditionalFormatting>
  <conditionalFormatting sqref="F2047:H2047">
    <cfRule type="duplicateValues" dxfId="2082" priority="1908"/>
  </conditionalFormatting>
  <conditionalFormatting sqref="F2048:H2048">
    <cfRule type="duplicateValues" dxfId="2081" priority="1870"/>
  </conditionalFormatting>
  <conditionalFormatting sqref="F2049:H2049">
    <cfRule type="duplicateValues" dxfId="2080" priority="1889"/>
  </conditionalFormatting>
  <conditionalFormatting sqref="F2051:H2051">
    <cfRule type="duplicateValues" dxfId="2079" priority="2067"/>
  </conditionalFormatting>
  <conditionalFormatting sqref="F2052:H2052">
    <cfRule type="duplicateValues" dxfId="2078" priority="2051"/>
  </conditionalFormatting>
  <conditionalFormatting sqref="F2053:H2053">
    <cfRule type="duplicateValues" dxfId="2077" priority="2030"/>
  </conditionalFormatting>
  <conditionalFormatting sqref="F2054:H2054">
    <cfRule type="duplicateValues" dxfId="2076" priority="2010"/>
  </conditionalFormatting>
  <conditionalFormatting sqref="F2055:H2055">
    <cfRule type="duplicateValues" dxfId="2075" priority="1989"/>
  </conditionalFormatting>
  <conditionalFormatting sqref="F2056:H2056">
    <cfRule type="duplicateValues" dxfId="2074" priority="1969"/>
  </conditionalFormatting>
  <conditionalFormatting sqref="F2058:H2058">
    <cfRule type="duplicateValues" dxfId="2073" priority="2085"/>
  </conditionalFormatting>
  <conditionalFormatting sqref="F2059:H2059">
    <cfRule type="duplicateValues" dxfId="2072" priority="2050"/>
  </conditionalFormatting>
  <conditionalFormatting sqref="F2060:H2060">
    <cfRule type="duplicateValues" dxfId="2071" priority="1927"/>
  </conditionalFormatting>
  <conditionalFormatting sqref="F2061:H2061">
    <cfRule type="duplicateValues" dxfId="2070" priority="1906"/>
  </conditionalFormatting>
  <conditionalFormatting sqref="F2062:H2062">
    <cfRule type="duplicateValues" dxfId="2069" priority="1868"/>
  </conditionalFormatting>
  <conditionalFormatting sqref="F2063:H2063">
    <cfRule type="duplicateValues" dxfId="2068" priority="1887"/>
  </conditionalFormatting>
  <conditionalFormatting sqref="F2065:H2065">
    <cfRule type="duplicateValues" dxfId="2067" priority="2066"/>
  </conditionalFormatting>
  <conditionalFormatting sqref="F2066:H2066">
    <cfRule type="duplicateValues" dxfId="2066" priority="1946"/>
  </conditionalFormatting>
  <conditionalFormatting sqref="F2067:H2067">
    <cfRule type="duplicateValues" dxfId="2065" priority="2028"/>
  </conditionalFormatting>
  <conditionalFormatting sqref="F2068:H2068">
    <cfRule type="duplicateValues" dxfId="2064" priority="2008"/>
  </conditionalFormatting>
  <conditionalFormatting sqref="F2069:H2069">
    <cfRule type="duplicateValues" dxfId="2063" priority="1987"/>
  </conditionalFormatting>
  <conditionalFormatting sqref="F2070:H2070">
    <cfRule type="duplicateValues" dxfId="2062" priority="1967"/>
  </conditionalFormatting>
  <conditionalFormatting sqref="F2072:H2072">
    <cfRule type="duplicateValues" dxfId="2061" priority="2083"/>
  </conditionalFormatting>
  <conditionalFormatting sqref="F2073:H2073">
    <cfRule type="duplicateValues" dxfId="2060" priority="2048"/>
  </conditionalFormatting>
  <conditionalFormatting sqref="F2074:H2074">
    <cfRule type="duplicateValues" dxfId="2059" priority="2027"/>
  </conditionalFormatting>
  <conditionalFormatting sqref="F2075:H2075">
    <cfRule type="duplicateValues" dxfId="2058" priority="1904"/>
  </conditionalFormatting>
  <conditionalFormatting sqref="F2076:H2076">
    <cfRule type="duplicateValues" dxfId="2057" priority="1866"/>
  </conditionalFormatting>
  <conditionalFormatting sqref="F2077:H2077">
    <cfRule type="duplicateValues" dxfId="2056" priority="1885"/>
  </conditionalFormatting>
  <conditionalFormatting sqref="F2079:H2079">
    <cfRule type="duplicateValues" dxfId="2055" priority="2064"/>
  </conditionalFormatting>
  <conditionalFormatting sqref="F2080:H2080">
    <cfRule type="duplicateValues" dxfId="2054" priority="1944"/>
  </conditionalFormatting>
  <conditionalFormatting sqref="F2081:H2081">
    <cfRule type="duplicateValues" dxfId="2053" priority="1924"/>
  </conditionalFormatting>
  <conditionalFormatting sqref="F2082:H2082">
    <cfRule type="duplicateValues" dxfId="2052" priority="2006"/>
  </conditionalFormatting>
  <conditionalFormatting sqref="F2083:H2083">
    <cfRule type="duplicateValues" dxfId="2051" priority="1985"/>
  </conditionalFormatting>
  <conditionalFormatting sqref="F2084:H2084">
    <cfRule type="duplicateValues" dxfId="2050" priority="1965"/>
  </conditionalFormatting>
  <conditionalFormatting sqref="F2086:H2086">
    <cfRule type="duplicateValues" dxfId="2049" priority="2081"/>
  </conditionalFormatting>
  <conditionalFormatting sqref="F2087:H2087">
    <cfRule type="duplicateValues" dxfId="2048" priority="2046"/>
  </conditionalFormatting>
  <conditionalFormatting sqref="F2088:H2088">
    <cfRule type="duplicateValues" dxfId="2047" priority="2025"/>
  </conditionalFormatting>
  <conditionalFormatting sqref="F2089:H2089">
    <cfRule type="duplicateValues" dxfId="2046" priority="2005"/>
  </conditionalFormatting>
  <conditionalFormatting sqref="F2090:H2090">
    <cfRule type="duplicateValues" dxfId="2045" priority="1902"/>
  </conditionalFormatting>
  <conditionalFormatting sqref="F2091:H2091">
    <cfRule type="duplicateValues" dxfId="2044" priority="1841"/>
  </conditionalFormatting>
  <conditionalFormatting sqref="F2092:H2092">
    <cfRule type="duplicateValues" dxfId="2043" priority="1883"/>
  </conditionalFormatting>
  <conditionalFormatting sqref="F2093:H2093">
    <cfRule type="duplicateValues" dxfId="2042" priority="1838"/>
  </conditionalFormatting>
  <conditionalFormatting sqref="F2094:H2094">
    <cfRule type="duplicateValues" dxfId="2041" priority="1832"/>
    <cfRule type="duplicateValues" dxfId="2040" priority="2062"/>
  </conditionalFormatting>
  <conditionalFormatting sqref="F2095:H2095">
    <cfRule type="duplicateValues" dxfId="2039" priority="1831"/>
    <cfRule type="duplicateValues" dxfId="2038" priority="1942"/>
  </conditionalFormatting>
  <conditionalFormatting sqref="F2096:H2096">
    <cfRule type="duplicateValues" dxfId="2037" priority="1834"/>
    <cfRule type="duplicateValues" dxfId="2036" priority="1922"/>
  </conditionalFormatting>
  <conditionalFormatting sqref="F2097:H2097">
    <cfRule type="duplicateValues" dxfId="2035" priority="1833"/>
    <cfRule type="duplicateValues" dxfId="2034" priority="1983"/>
  </conditionalFormatting>
  <conditionalFormatting sqref="F2098:H2098">
    <cfRule type="duplicateValues" dxfId="2033" priority="1828"/>
    <cfRule type="duplicateValues" dxfId="2032" priority="1963"/>
  </conditionalFormatting>
  <conditionalFormatting sqref="F2099:H2099">
    <cfRule type="duplicateValues" dxfId="2031" priority="1863"/>
  </conditionalFormatting>
  <conditionalFormatting sqref="F2100:H2100">
    <cfRule type="duplicateValues" dxfId="2030" priority="1827"/>
  </conditionalFormatting>
  <conditionalFormatting sqref="F2101:H2101">
    <cfRule type="duplicateValues" dxfId="2029" priority="2079"/>
  </conditionalFormatting>
  <conditionalFormatting sqref="F2102:H2102">
    <cfRule type="duplicateValues" dxfId="2028" priority="2044"/>
  </conditionalFormatting>
  <conditionalFormatting sqref="F2103:H2103">
    <cfRule type="duplicateValues" dxfId="2027" priority="1849"/>
  </conditionalFormatting>
  <conditionalFormatting sqref="F2104:H2104">
    <cfRule type="duplicateValues" dxfId="2026" priority="2003"/>
  </conditionalFormatting>
  <conditionalFormatting sqref="F2105:H2105">
    <cfRule type="duplicateValues" dxfId="2025" priority="1982"/>
  </conditionalFormatting>
  <conditionalFormatting sqref="F2106:H2106">
    <cfRule type="duplicateValues" dxfId="2024" priority="1900"/>
  </conditionalFormatting>
  <conditionalFormatting sqref="F2107:H2107">
    <cfRule type="duplicateValues" dxfId="2023" priority="1825"/>
  </conditionalFormatting>
  <conditionalFormatting sqref="F2108:H2108">
    <cfRule type="duplicateValues" dxfId="2022" priority="2060"/>
  </conditionalFormatting>
  <conditionalFormatting sqref="F2109:H2109">
    <cfRule type="duplicateValues" dxfId="2021" priority="1940"/>
  </conditionalFormatting>
  <conditionalFormatting sqref="F2110:H2110">
    <cfRule type="duplicateValues" dxfId="2020" priority="1920"/>
  </conditionalFormatting>
  <conditionalFormatting sqref="F2111:H2111">
    <cfRule type="duplicateValues" dxfId="2019" priority="1961"/>
  </conditionalFormatting>
  <conditionalFormatting sqref="F2112:H2112">
    <cfRule type="duplicateValues" dxfId="2018" priority="1861"/>
  </conditionalFormatting>
  <conditionalFormatting sqref="F2113:H2113">
    <cfRule type="duplicateValues" dxfId="2017" priority="1880"/>
  </conditionalFormatting>
  <conditionalFormatting sqref="F2114:H2114">
    <cfRule type="duplicateValues" dxfId="2016" priority="1822"/>
  </conditionalFormatting>
  <conditionalFormatting sqref="F2115:H2115">
    <cfRule type="duplicateValues" dxfId="2015" priority="2059"/>
  </conditionalFormatting>
  <conditionalFormatting sqref="F2116:H2116">
    <cfRule type="duplicateValues" dxfId="2014" priority="1939"/>
  </conditionalFormatting>
  <conditionalFormatting sqref="F2117:H2117">
    <cfRule type="duplicateValues" dxfId="2013" priority="1919"/>
  </conditionalFormatting>
  <conditionalFormatting sqref="F2118:H2118">
    <cfRule type="duplicateValues" dxfId="2012" priority="1898"/>
  </conditionalFormatting>
  <conditionalFormatting sqref="F2119:H2119">
    <cfRule type="duplicateValues" dxfId="2011" priority="1860"/>
  </conditionalFormatting>
  <conditionalFormatting sqref="F2120:H2120">
    <cfRule type="duplicateValues" dxfId="2010" priority="1879"/>
  </conditionalFormatting>
  <conditionalFormatting sqref="F2121:H2121">
    <cfRule type="duplicateValues" dxfId="2009" priority="1821"/>
  </conditionalFormatting>
  <conditionalFormatting sqref="F2122:H2122">
    <cfRule type="duplicateValues" dxfId="2008" priority="2078"/>
  </conditionalFormatting>
  <conditionalFormatting sqref="F2123:H2123">
    <cfRule type="duplicateValues" dxfId="2007" priority="2040"/>
  </conditionalFormatting>
  <conditionalFormatting sqref="F2124:H2124">
    <cfRule type="duplicateValues" dxfId="2006" priority="2021"/>
  </conditionalFormatting>
  <conditionalFormatting sqref="F2125:H2125">
    <cfRule type="duplicateValues" dxfId="2005" priority="2000"/>
  </conditionalFormatting>
  <conditionalFormatting sqref="F2126:H2126">
    <cfRule type="duplicateValues" dxfId="2004" priority="1979"/>
  </conditionalFormatting>
  <conditionalFormatting sqref="F2127:H2127">
    <cfRule type="duplicateValues" dxfId="2003" priority="1959"/>
  </conditionalFormatting>
  <conditionalFormatting sqref="F2128:H2128">
    <cfRule type="duplicateValues" dxfId="2002" priority="1818"/>
  </conditionalFormatting>
  <conditionalFormatting sqref="F2129:H2129">
    <cfRule type="duplicateValues" dxfId="2001" priority="2076"/>
  </conditionalFormatting>
  <conditionalFormatting sqref="F2130:H2130">
    <cfRule type="duplicateValues" dxfId="2000" priority="1937"/>
  </conditionalFormatting>
  <conditionalFormatting sqref="F2131:H2131">
    <cfRule type="duplicateValues" dxfId="1999" priority="1917"/>
  </conditionalFormatting>
  <conditionalFormatting sqref="F2132:H2132">
    <cfRule type="duplicateValues" dxfId="1998" priority="1896"/>
  </conditionalFormatting>
  <conditionalFormatting sqref="F2133:H2133">
    <cfRule type="duplicateValues" dxfId="1997" priority="1858"/>
  </conditionalFormatting>
  <conditionalFormatting sqref="F2134:H2134">
    <cfRule type="duplicateValues" dxfId="1996" priority="1877"/>
  </conditionalFormatting>
  <conditionalFormatting sqref="F2135:H2135">
    <cfRule type="duplicateValues" dxfId="1995" priority="1817"/>
  </conditionalFormatting>
  <conditionalFormatting sqref="F2136:H2136">
    <cfRule type="duplicateValues" dxfId="1994" priority="2057"/>
  </conditionalFormatting>
  <conditionalFormatting sqref="F2137:H2137">
    <cfRule type="duplicateValues" dxfId="1993" priority="1936"/>
  </conditionalFormatting>
  <conditionalFormatting sqref="F2138:H2138">
    <cfRule type="duplicateValues" dxfId="1992" priority="2019"/>
  </conditionalFormatting>
  <conditionalFormatting sqref="F2139:H2139">
    <cfRule type="duplicateValues" dxfId="1991" priority="1998"/>
  </conditionalFormatting>
  <conditionalFormatting sqref="F2140:H2140">
    <cfRule type="duplicateValues" dxfId="1990" priority="1977"/>
  </conditionalFormatting>
  <conditionalFormatting sqref="F2141:H2141">
    <cfRule type="duplicateValues" dxfId="1989" priority="1956"/>
  </conditionalFormatting>
  <conditionalFormatting sqref="F2142:H2142">
    <cfRule type="duplicateValues" dxfId="1988" priority="1814"/>
  </conditionalFormatting>
  <conditionalFormatting sqref="F2143:H2143">
    <cfRule type="duplicateValues" dxfId="1987" priority="2074"/>
  </conditionalFormatting>
  <conditionalFormatting sqref="F2144:H2144">
    <cfRule type="duplicateValues" dxfId="1986" priority="2038"/>
  </conditionalFormatting>
  <conditionalFormatting sqref="F2145:H2145">
    <cfRule type="duplicateValues" dxfId="1985" priority="1915"/>
  </conditionalFormatting>
  <conditionalFormatting sqref="F2146:H2146">
    <cfRule type="duplicateValues" dxfId="1984" priority="1894"/>
  </conditionalFormatting>
  <conditionalFormatting sqref="F2147:H2147">
    <cfRule type="duplicateValues" dxfId="1983" priority="1856"/>
  </conditionalFormatting>
  <conditionalFormatting sqref="F2148:H2148">
    <cfRule type="duplicateValues" dxfId="1982" priority="1875"/>
  </conditionalFormatting>
  <conditionalFormatting sqref="F2149:H2149">
    <cfRule type="duplicateValues" dxfId="1981" priority="1813"/>
  </conditionalFormatting>
  <conditionalFormatting sqref="F2150:H2150">
    <cfRule type="duplicateValues" dxfId="1980" priority="2056"/>
  </conditionalFormatting>
  <conditionalFormatting sqref="F2151:H2151">
    <cfRule type="duplicateValues" dxfId="1979" priority="1934"/>
  </conditionalFormatting>
  <conditionalFormatting sqref="F2152:H2152">
    <cfRule type="duplicateValues" dxfId="1978" priority="1914"/>
  </conditionalFormatting>
  <conditionalFormatting sqref="F2153:H2153">
    <cfRule type="duplicateValues" dxfId="1977" priority="1996"/>
  </conditionalFormatting>
  <conditionalFormatting sqref="F2154:H2154">
    <cfRule type="duplicateValues" dxfId="1976" priority="1975"/>
  </conditionalFormatting>
  <conditionalFormatting sqref="F2155:H2155">
    <cfRule type="duplicateValues" dxfId="1975" priority="1955"/>
  </conditionalFormatting>
  <conditionalFormatting sqref="F2156:H2156">
    <cfRule type="duplicateValues" dxfId="1974" priority="1810"/>
  </conditionalFormatting>
  <conditionalFormatting sqref="F2157:H2157">
    <cfRule type="duplicateValues" dxfId="1973" priority="2072"/>
  </conditionalFormatting>
  <conditionalFormatting sqref="F2158:H2158">
    <cfRule type="duplicateValues" dxfId="1972" priority="2036"/>
  </conditionalFormatting>
  <conditionalFormatting sqref="F2159:H2159">
    <cfRule type="duplicateValues" dxfId="1971" priority="2016"/>
  </conditionalFormatting>
  <conditionalFormatting sqref="F2160:H2160">
    <cfRule type="duplicateValues" dxfId="1970" priority="1892"/>
  </conditionalFormatting>
  <conditionalFormatting sqref="F2161:H2161">
    <cfRule type="duplicateValues" dxfId="1969" priority="1854"/>
  </conditionalFormatting>
  <conditionalFormatting sqref="F2162:H2162">
    <cfRule type="duplicateValues" dxfId="1968" priority="1873"/>
  </conditionalFormatting>
  <conditionalFormatting sqref="F2163:H2163">
    <cfRule type="duplicateValues" dxfId="1967" priority="1808"/>
  </conditionalFormatting>
  <conditionalFormatting sqref="F2164:H2164">
    <cfRule type="duplicateValues" dxfId="1966" priority="2055"/>
  </conditionalFormatting>
  <conditionalFormatting sqref="F2165:H2165">
    <cfRule type="duplicateValues" dxfId="1965" priority="1912"/>
  </conditionalFormatting>
  <conditionalFormatting sqref="F2166:H2166">
    <cfRule type="duplicateValues" dxfId="1964" priority="1973"/>
  </conditionalFormatting>
  <conditionalFormatting sqref="F2167:H2167">
    <cfRule type="duplicateValues" dxfId="1963" priority="1953"/>
  </conditionalFormatting>
  <conditionalFormatting sqref="G2168:H2169">
    <cfRule type="duplicateValues" dxfId="1962" priority="1853"/>
  </conditionalFormatting>
  <conditionalFormatting sqref="F2170:H2170">
    <cfRule type="duplicateValues" dxfId="1961" priority="1806"/>
  </conditionalFormatting>
  <conditionalFormatting sqref="F2171:H2171">
    <cfRule type="duplicateValues" dxfId="1960" priority="1805"/>
  </conditionalFormatting>
  <conditionalFormatting sqref="F2172:H2172">
    <cfRule type="duplicateValues" dxfId="1959" priority="2071"/>
  </conditionalFormatting>
  <conditionalFormatting sqref="F2173:H2173">
    <cfRule type="duplicateValues" dxfId="1958" priority="2034"/>
  </conditionalFormatting>
  <conditionalFormatting sqref="F2174:H2174">
    <cfRule type="duplicateValues" dxfId="1957" priority="2014"/>
  </conditionalFormatting>
  <conditionalFormatting sqref="F2175:H2175">
    <cfRule type="duplicateValues" dxfId="1956" priority="1993"/>
  </conditionalFormatting>
  <conditionalFormatting sqref="F2176:H2176">
    <cfRule type="duplicateValues" dxfId="1955" priority="1890"/>
  </conditionalFormatting>
  <conditionalFormatting sqref="F2177:H2177">
    <cfRule type="duplicateValues" dxfId="1954" priority="1800"/>
  </conditionalFormatting>
  <conditionalFormatting sqref="F2178:H2178">
    <cfRule type="duplicateValues" dxfId="1953" priority="1801"/>
  </conditionalFormatting>
  <conditionalFormatting sqref="F2179:H2179">
    <cfRule type="duplicateValues" dxfId="1952" priority="2053"/>
  </conditionalFormatting>
  <conditionalFormatting sqref="F2180:H2180">
    <cfRule type="duplicateValues" dxfId="1951" priority="1931"/>
  </conditionalFormatting>
  <conditionalFormatting sqref="F2181:H2181">
    <cfRule type="duplicateValues" dxfId="1950" priority="1910"/>
  </conditionalFormatting>
  <conditionalFormatting sqref="F2182:H2182">
    <cfRule type="duplicateValues" dxfId="1949" priority="1951"/>
  </conditionalFormatting>
  <conditionalFormatting sqref="F2183:H2183">
    <cfRule type="duplicateValues" dxfId="1948" priority="1851"/>
  </conditionalFormatting>
  <conditionalFormatting sqref="F2184:H2184">
    <cfRule type="duplicateValues" dxfId="1947" priority="1798"/>
  </conditionalFormatting>
  <conditionalFormatting sqref="F2185:H2185">
    <cfRule type="duplicateValues" dxfId="1946" priority="1796"/>
  </conditionalFormatting>
  <conditionalFormatting sqref="F2186:H2186">
    <cfRule type="duplicateValues" dxfId="1945" priority="2069"/>
  </conditionalFormatting>
  <conditionalFormatting sqref="F2187:H2187">
    <cfRule type="duplicateValues" dxfId="1944" priority="2032"/>
  </conditionalFormatting>
  <conditionalFormatting sqref="F2188:H2188">
    <cfRule type="duplicateValues" dxfId="1943" priority="2012"/>
  </conditionalFormatting>
  <conditionalFormatting sqref="F2189:H2189">
    <cfRule type="duplicateValues" dxfId="1942" priority="1991"/>
  </conditionalFormatting>
  <conditionalFormatting sqref="H2037:H2042">
    <cfRule type="duplicateValues" dxfId="1941" priority="1843"/>
  </conditionalFormatting>
  <conditionalFormatting sqref="J2037:J2042">
    <cfRule type="duplicateValues" dxfId="1940" priority="1844"/>
  </conditionalFormatting>
  <conditionalFormatting sqref="I2044:K2044">
    <cfRule type="duplicateValues" dxfId="1939" priority="2087"/>
  </conditionalFormatting>
  <conditionalFormatting sqref="I2045:K2045">
    <cfRule type="duplicateValues" dxfId="1938" priority="1970"/>
  </conditionalFormatting>
  <conditionalFormatting sqref="I2046:K2046">
    <cfRule type="duplicateValues" dxfId="1937" priority="1990"/>
  </conditionalFormatting>
  <conditionalFormatting sqref="I2047:K2047">
    <cfRule type="duplicateValues" dxfId="1936" priority="2052"/>
  </conditionalFormatting>
  <conditionalFormatting sqref="I2048:K2048">
    <cfRule type="duplicateValues" dxfId="1935" priority="2011"/>
  </conditionalFormatting>
  <conditionalFormatting sqref="I2049:K2049">
    <cfRule type="duplicateValues" dxfId="1934" priority="2031"/>
  </conditionalFormatting>
  <conditionalFormatting sqref="I2051:K2051">
    <cfRule type="duplicateValues" dxfId="1933" priority="1949"/>
  </conditionalFormatting>
  <conditionalFormatting sqref="I2052:K2052">
    <cfRule type="duplicateValues" dxfId="1932" priority="2086"/>
  </conditionalFormatting>
  <conditionalFormatting sqref="I2053:K2053">
    <cfRule type="duplicateValues" dxfId="1931" priority="1907"/>
  </conditionalFormatting>
  <conditionalFormatting sqref="I2054:K2054">
    <cfRule type="duplicateValues" dxfId="1930" priority="1888"/>
  </conditionalFormatting>
  <conditionalFormatting sqref="I2055:K2055">
    <cfRule type="duplicateValues" dxfId="1929" priority="1869"/>
  </conditionalFormatting>
  <conditionalFormatting sqref="I2056:K2056">
    <cfRule type="duplicateValues" dxfId="1928" priority="1928"/>
  </conditionalFormatting>
  <conditionalFormatting sqref="I2058:K2058">
    <cfRule type="duplicateValues" dxfId="1927" priority="2029"/>
  </conditionalFormatting>
  <conditionalFormatting sqref="I2059:K2059">
    <cfRule type="duplicateValues" dxfId="1926" priority="1947"/>
  </conditionalFormatting>
  <conditionalFormatting sqref="I2060:K2060">
    <cfRule type="duplicateValues" dxfId="1925" priority="1948"/>
  </conditionalFormatting>
  <conditionalFormatting sqref="I2061:K2061">
    <cfRule type="duplicateValues" dxfId="1924" priority="2009"/>
  </conditionalFormatting>
  <conditionalFormatting sqref="I2062:K2062">
    <cfRule type="duplicateValues" dxfId="1923" priority="1968"/>
  </conditionalFormatting>
  <conditionalFormatting sqref="I2063:K2063">
    <cfRule type="duplicateValues" dxfId="1922" priority="1988"/>
  </conditionalFormatting>
  <conditionalFormatting sqref="I2065:K2065">
    <cfRule type="duplicateValues" dxfId="1921" priority="1926"/>
  </conditionalFormatting>
  <conditionalFormatting sqref="I2066:K2066">
    <cfRule type="duplicateValues" dxfId="1920" priority="1867"/>
  </conditionalFormatting>
  <conditionalFormatting sqref="I2067:K2067">
    <cfRule type="duplicateValues" dxfId="1919" priority="2049"/>
  </conditionalFormatting>
  <conditionalFormatting sqref="I2068:K2068">
    <cfRule type="duplicateValues" dxfId="1918" priority="2084"/>
  </conditionalFormatting>
  <conditionalFormatting sqref="I2069:K2069">
    <cfRule type="duplicateValues" dxfId="1917" priority="1905"/>
  </conditionalFormatting>
  <conditionalFormatting sqref="I2070:K2070">
    <cfRule type="duplicateValues" dxfId="1916" priority="1886"/>
  </conditionalFormatting>
  <conditionalFormatting sqref="I2072:K2072">
    <cfRule type="duplicateValues" dxfId="1915" priority="1986"/>
  </conditionalFormatting>
  <conditionalFormatting sqref="I2073:K2073">
    <cfRule type="duplicateValues" dxfId="1914" priority="2007"/>
  </conditionalFormatting>
  <conditionalFormatting sqref="I2074:K2074">
    <cfRule type="duplicateValues" dxfId="1913" priority="2065"/>
  </conditionalFormatting>
  <conditionalFormatting sqref="I2075:K2075">
    <cfRule type="duplicateValues" dxfId="1912" priority="1966"/>
  </conditionalFormatting>
  <conditionalFormatting sqref="I2076:K2076">
    <cfRule type="duplicateValues" dxfId="1911" priority="1925"/>
  </conditionalFormatting>
  <conditionalFormatting sqref="I2077:K2077">
    <cfRule type="duplicateValues" dxfId="1910" priority="1945"/>
  </conditionalFormatting>
  <conditionalFormatting sqref="I2079:K2079">
    <cfRule type="duplicateValues" dxfId="1909" priority="1865"/>
  </conditionalFormatting>
  <conditionalFormatting sqref="I2080:K2080">
    <cfRule type="duplicateValues" dxfId="1908" priority="1903"/>
  </conditionalFormatting>
  <conditionalFormatting sqref="I2081:K2081">
    <cfRule type="duplicateValues" dxfId="1907" priority="1884"/>
  </conditionalFormatting>
  <conditionalFormatting sqref="I2082:K2082">
    <cfRule type="duplicateValues" dxfId="1906" priority="2026"/>
  </conditionalFormatting>
  <conditionalFormatting sqref="I2083:K2083">
    <cfRule type="duplicateValues" dxfId="1905" priority="2047"/>
  </conditionalFormatting>
  <conditionalFormatting sqref="I2084:K2084">
    <cfRule type="duplicateValues" dxfId="1904" priority="2082"/>
  </conditionalFormatting>
  <conditionalFormatting sqref="I2086:K2086">
    <cfRule type="duplicateValues" dxfId="1903" priority="1943"/>
  </conditionalFormatting>
  <conditionalFormatting sqref="I2087:K2087">
    <cfRule type="duplicateValues" dxfId="1902" priority="1964"/>
  </conditionalFormatting>
  <conditionalFormatting sqref="I2088:K2088">
    <cfRule type="duplicateValues" dxfId="1901" priority="1984"/>
  </conditionalFormatting>
  <conditionalFormatting sqref="I2089:K2089">
    <cfRule type="duplicateValues" dxfId="1900" priority="2063"/>
  </conditionalFormatting>
  <conditionalFormatting sqref="I2090:K2090">
    <cfRule type="duplicateValues" dxfId="1899" priority="1923"/>
  </conditionalFormatting>
  <conditionalFormatting sqref="I2091:K2091">
    <cfRule type="duplicateValues" dxfId="1898" priority="1840"/>
  </conditionalFormatting>
  <conditionalFormatting sqref="I2092:K2092">
    <cfRule type="duplicateValues" dxfId="1897" priority="1864"/>
  </conditionalFormatting>
  <conditionalFormatting sqref="I2093:K2093">
    <cfRule type="duplicateValues" dxfId="1896" priority="1829"/>
  </conditionalFormatting>
  <conditionalFormatting sqref="I2094:K2094">
    <cfRule type="duplicateValues" dxfId="1895" priority="1837"/>
    <cfRule type="duplicateValues" dxfId="1894" priority="1882"/>
  </conditionalFormatting>
  <conditionalFormatting sqref="I2095:K2095">
    <cfRule type="duplicateValues" dxfId="1893" priority="1839"/>
    <cfRule type="duplicateValues" dxfId="1892" priority="2045"/>
  </conditionalFormatting>
  <conditionalFormatting sqref="I2096:K2096">
    <cfRule type="duplicateValues" dxfId="1891" priority="1835"/>
    <cfRule type="duplicateValues" dxfId="1890" priority="2080"/>
  </conditionalFormatting>
  <conditionalFormatting sqref="I2097:K2097">
    <cfRule type="duplicateValues" dxfId="1889" priority="1836"/>
    <cfRule type="duplicateValues" dxfId="1888" priority="2004"/>
  </conditionalFormatting>
  <conditionalFormatting sqref="I2098:K2098">
    <cfRule type="duplicateValues" dxfId="1887" priority="1830"/>
    <cfRule type="duplicateValues" dxfId="1886" priority="2024"/>
  </conditionalFormatting>
  <conditionalFormatting sqref="I2099:K2099">
    <cfRule type="duplicateValues" dxfId="1885" priority="1901"/>
  </conditionalFormatting>
  <conditionalFormatting sqref="I2100:K2100">
    <cfRule type="duplicateValues" dxfId="1884" priority="1826"/>
  </conditionalFormatting>
  <conditionalFormatting sqref="I2101:K2101">
    <cfRule type="duplicateValues" dxfId="1883" priority="1862"/>
  </conditionalFormatting>
  <conditionalFormatting sqref="I2102:K2102">
    <cfRule type="duplicateValues" dxfId="1882" priority="1921"/>
  </conditionalFormatting>
  <conditionalFormatting sqref="I2103:K2103">
    <cfRule type="duplicateValues" dxfId="1881" priority="1941"/>
  </conditionalFormatting>
  <conditionalFormatting sqref="I2104:K2104">
    <cfRule type="duplicateValues" dxfId="1880" priority="1962"/>
  </conditionalFormatting>
  <conditionalFormatting sqref="I2105:K2105">
    <cfRule type="duplicateValues" dxfId="1879" priority="2061"/>
  </conditionalFormatting>
  <conditionalFormatting sqref="I2106:K2106">
    <cfRule type="duplicateValues" dxfId="1878" priority="1881"/>
  </conditionalFormatting>
  <conditionalFormatting sqref="I2107:K2107">
    <cfRule type="duplicateValues" dxfId="1877" priority="1824"/>
  </conditionalFormatting>
  <conditionalFormatting sqref="I2108:K2108">
    <cfRule type="duplicateValues" dxfId="1876" priority="1899"/>
  </conditionalFormatting>
  <conditionalFormatting sqref="I2109:K2109">
    <cfRule type="duplicateValues" dxfId="1875" priority="2002"/>
  </conditionalFormatting>
  <conditionalFormatting sqref="I2110:K2110">
    <cfRule type="duplicateValues" dxfId="1874" priority="2023"/>
  </conditionalFormatting>
  <conditionalFormatting sqref="I2111:K2111">
    <cfRule type="duplicateValues" dxfId="1873" priority="1981"/>
  </conditionalFormatting>
  <conditionalFormatting sqref="I2112:K2112">
    <cfRule type="duplicateValues" dxfId="1872" priority="2043"/>
  </conditionalFormatting>
  <conditionalFormatting sqref="I2113:K2113">
    <cfRule type="duplicateValues" dxfId="1871" priority="1848"/>
  </conditionalFormatting>
  <conditionalFormatting sqref="I2114:K2114">
    <cfRule type="duplicateValues" dxfId="1870" priority="1823"/>
  </conditionalFormatting>
  <conditionalFormatting sqref="I2115:K2115">
    <cfRule type="duplicateValues" dxfId="1869" priority="1960"/>
  </conditionalFormatting>
  <conditionalFormatting sqref="I2116:K2116">
    <cfRule type="duplicateValues" dxfId="1868" priority="1980"/>
  </conditionalFormatting>
  <conditionalFormatting sqref="I2117:K2117">
    <cfRule type="duplicateValues" dxfId="1867" priority="2001"/>
  </conditionalFormatting>
  <conditionalFormatting sqref="I2118:K2118">
    <cfRule type="duplicateValues" dxfId="1866" priority="2077"/>
  </conditionalFormatting>
  <conditionalFormatting sqref="I2119:K2119">
    <cfRule type="duplicateValues" dxfId="1865" priority="2022"/>
  </conditionalFormatting>
  <conditionalFormatting sqref="I2120:K2120">
    <cfRule type="duplicateValues" dxfId="1864" priority="2042"/>
  </conditionalFormatting>
  <conditionalFormatting sqref="I2121:K2121">
    <cfRule type="duplicateValues" dxfId="1863" priority="1820"/>
  </conditionalFormatting>
  <conditionalFormatting sqref="I2122:K2122">
    <cfRule type="duplicateValues" dxfId="1862" priority="2058"/>
  </conditionalFormatting>
  <conditionalFormatting sqref="I2123:K2123">
    <cfRule type="duplicateValues" dxfId="1861" priority="1897"/>
  </conditionalFormatting>
  <conditionalFormatting sqref="I2124:K2124">
    <cfRule type="duplicateValues" dxfId="1860" priority="1878"/>
  </conditionalFormatting>
  <conditionalFormatting sqref="I2125:K2125">
    <cfRule type="duplicateValues" dxfId="1859" priority="1859"/>
  </conditionalFormatting>
  <conditionalFormatting sqref="I2126:K2126">
    <cfRule type="duplicateValues" dxfId="1858" priority="1918"/>
  </conditionalFormatting>
  <conditionalFormatting sqref="I2127:K2127">
    <cfRule type="duplicateValues" dxfId="1857" priority="1938"/>
  </conditionalFormatting>
  <conditionalFormatting sqref="I2128:K2128">
    <cfRule type="duplicateValues" dxfId="1856" priority="1819"/>
  </conditionalFormatting>
  <conditionalFormatting sqref="I2129:K2129">
    <cfRule type="duplicateValues" dxfId="1855" priority="2041"/>
  </conditionalFormatting>
  <conditionalFormatting sqref="I2130:K2130">
    <cfRule type="duplicateValues" dxfId="1854" priority="1847"/>
  </conditionalFormatting>
  <conditionalFormatting sqref="I2131:K2131">
    <cfRule type="duplicateValues" dxfId="1853" priority="1958"/>
  </conditionalFormatting>
  <conditionalFormatting sqref="I2132:K2132">
    <cfRule type="duplicateValues" dxfId="1852" priority="2020"/>
  </conditionalFormatting>
  <conditionalFormatting sqref="I2133:K2133">
    <cfRule type="duplicateValues" dxfId="1851" priority="1978"/>
  </conditionalFormatting>
  <conditionalFormatting sqref="I2134:K2134">
    <cfRule type="duplicateValues" dxfId="1850" priority="1999"/>
  </conditionalFormatting>
  <conditionalFormatting sqref="I2135:K2135">
    <cfRule type="duplicateValues" dxfId="1849" priority="1816"/>
  </conditionalFormatting>
  <conditionalFormatting sqref="I2136:K2136">
    <cfRule type="duplicateValues" dxfId="1848" priority="2039"/>
  </conditionalFormatting>
  <conditionalFormatting sqref="I2137:K2137">
    <cfRule type="duplicateValues" dxfId="1847" priority="1916"/>
  </conditionalFormatting>
  <conditionalFormatting sqref="I2138:K2138">
    <cfRule type="duplicateValues" dxfId="1846" priority="2075"/>
  </conditionalFormatting>
  <conditionalFormatting sqref="I2139:K2139">
    <cfRule type="duplicateValues" dxfId="1845" priority="1895"/>
  </conditionalFormatting>
  <conditionalFormatting sqref="I2140:K2140">
    <cfRule type="duplicateValues" dxfId="1844" priority="1876"/>
  </conditionalFormatting>
  <conditionalFormatting sqref="I2141:K2141">
    <cfRule type="duplicateValues" dxfId="1843" priority="1857"/>
  </conditionalFormatting>
  <conditionalFormatting sqref="I2142:K2142">
    <cfRule type="duplicateValues" dxfId="1842" priority="1815"/>
  </conditionalFormatting>
  <conditionalFormatting sqref="I2143:K2143">
    <cfRule type="duplicateValues" dxfId="1841" priority="1997"/>
  </conditionalFormatting>
  <conditionalFormatting sqref="I2144:K2144">
    <cfRule type="duplicateValues" dxfId="1840" priority="2018"/>
  </conditionalFormatting>
  <conditionalFormatting sqref="I2145:K2145">
    <cfRule type="duplicateValues" dxfId="1839" priority="1846"/>
  </conditionalFormatting>
  <conditionalFormatting sqref="I2146:K2146">
    <cfRule type="duplicateValues" dxfId="1838" priority="1976"/>
  </conditionalFormatting>
  <conditionalFormatting sqref="I2147:K2147">
    <cfRule type="duplicateValues" dxfId="1837" priority="1935"/>
  </conditionalFormatting>
  <conditionalFormatting sqref="I2148:K2148">
    <cfRule type="duplicateValues" dxfId="1836" priority="1957"/>
  </conditionalFormatting>
  <conditionalFormatting sqref="I2149:K2149">
    <cfRule type="duplicateValues" dxfId="1835" priority="1812"/>
  </conditionalFormatting>
  <conditionalFormatting sqref="I2150:K2150">
    <cfRule type="duplicateValues" dxfId="1834" priority="2017"/>
  </conditionalFormatting>
  <conditionalFormatting sqref="I2151:K2151">
    <cfRule type="duplicateValues" dxfId="1833" priority="1874"/>
  </conditionalFormatting>
  <conditionalFormatting sqref="I2152:K2152">
    <cfRule type="duplicateValues" dxfId="1832" priority="1855"/>
  </conditionalFormatting>
  <conditionalFormatting sqref="I2153:K2153">
    <cfRule type="duplicateValues" dxfId="1831" priority="2037"/>
  </conditionalFormatting>
  <conditionalFormatting sqref="I2154:K2154">
    <cfRule type="duplicateValues" dxfId="1830" priority="2073"/>
  </conditionalFormatting>
  <conditionalFormatting sqref="I2155:K2155">
    <cfRule type="duplicateValues" dxfId="1829" priority="1893"/>
  </conditionalFormatting>
  <conditionalFormatting sqref="I2156:K2156">
    <cfRule type="duplicateValues" dxfId="1828" priority="1811"/>
  </conditionalFormatting>
  <conditionalFormatting sqref="I2157:K2157">
    <cfRule type="duplicateValues" dxfId="1827" priority="1954"/>
  </conditionalFormatting>
  <conditionalFormatting sqref="I2158:K2158">
    <cfRule type="duplicateValues" dxfId="1826" priority="1974"/>
  </conditionalFormatting>
  <conditionalFormatting sqref="I2159:K2159">
    <cfRule type="duplicateValues" dxfId="1825" priority="1995"/>
  </conditionalFormatting>
  <conditionalFormatting sqref="I2160:K2160">
    <cfRule type="duplicateValues" dxfId="1824" priority="1933"/>
  </conditionalFormatting>
  <conditionalFormatting sqref="I2161:K2161">
    <cfRule type="duplicateValues" dxfId="1823" priority="2054"/>
  </conditionalFormatting>
  <conditionalFormatting sqref="I2162:K2162">
    <cfRule type="duplicateValues" dxfId="1822" priority="1913"/>
  </conditionalFormatting>
  <conditionalFormatting sqref="I2163:K2163">
    <cfRule type="duplicateValues" dxfId="1821" priority="1809"/>
  </conditionalFormatting>
  <conditionalFormatting sqref="I2164:K2164">
    <cfRule type="duplicateValues" dxfId="1820" priority="1994"/>
  </conditionalFormatting>
  <conditionalFormatting sqref="I2165:K2165">
    <cfRule type="duplicateValues" dxfId="1819" priority="1891"/>
  </conditionalFormatting>
  <conditionalFormatting sqref="I2166:K2166">
    <cfRule type="duplicateValues" dxfId="1818" priority="2015"/>
  </conditionalFormatting>
  <conditionalFormatting sqref="I2167:K2167">
    <cfRule type="duplicateValues" dxfId="1817" priority="2035"/>
  </conditionalFormatting>
  <conditionalFormatting sqref="J2168:K2169">
    <cfRule type="duplicateValues" dxfId="1816" priority="1872"/>
  </conditionalFormatting>
  <conditionalFormatting sqref="I2170:K2170">
    <cfRule type="duplicateValues" dxfId="1815" priority="1804"/>
  </conditionalFormatting>
  <conditionalFormatting sqref="I2171:K2171">
    <cfRule type="duplicateValues" dxfId="1814" priority="1807"/>
  </conditionalFormatting>
  <conditionalFormatting sqref="I2172:K2172">
    <cfRule type="duplicateValues" dxfId="1813" priority="1911"/>
  </conditionalFormatting>
  <conditionalFormatting sqref="I2173:K2173">
    <cfRule type="duplicateValues" dxfId="1812" priority="1932"/>
  </conditionalFormatting>
  <conditionalFormatting sqref="I2174:K2174">
    <cfRule type="duplicateValues" dxfId="1811" priority="1952"/>
  </conditionalFormatting>
  <conditionalFormatting sqref="I2175:K2175">
    <cfRule type="duplicateValues" dxfId="1810" priority="1972"/>
  </conditionalFormatting>
  <conditionalFormatting sqref="I2176:K2176">
    <cfRule type="duplicateValues" dxfId="1809" priority="1852"/>
  </conditionalFormatting>
  <conditionalFormatting sqref="I2177:K2177">
    <cfRule type="duplicateValues" dxfId="1808" priority="1803"/>
  </conditionalFormatting>
  <conditionalFormatting sqref="I2178:K2178">
    <cfRule type="duplicateValues" dxfId="1807" priority="1802"/>
  </conditionalFormatting>
  <conditionalFormatting sqref="I2179:K2179">
    <cfRule type="duplicateValues" dxfId="1806" priority="1971"/>
  </conditionalFormatting>
  <conditionalFormatting sqref="I2180:K2180">
    <cfRule type="duplicateValues" dxfId="1805" priority="2013"/>
  </conditionalFormatting>
  <conditionalFormatting sqref="I2181:K2181">
    <cfRule type="duplicateValues" dxfId="1804" priority="2033"/>
  </conditionalFormatting>
  <conditionalFormatting sqref="I2182:K2182">
    <cfRule type="duplicateValues" dxfId="1803" priority="1992"/>
  </conditionalFormatting>
  <conditionalFormatting sqref="I2183:K2183">
    <cfRule type="duplicateValues" dxfId="1802" priority="2070"/>
  </conditionalFormatting>
  <conditionalFormatting sqref="I2184:K2184">
    <cfRule type="duplicateValues" dxfId="1801" priority="1797"/>
  </conditionalFormatting>
  <conditionalFormatting sqref="I2185:K2185">
    <cfRule type="duplicateValues" dxfId="1800" priority="1799"/>
  </conditionalFormatting>
  <conditionalFormatting sqref="I2186:K2186">
    <cfRule type="duplicateValues" dxfId="1799" priority="1871"/>
  </conditionalFormatting>
  <conditionalFormatting sqref="I2187:K2187">
    <cfRule type="duplicateValues" dxfId="1798" priority="1850"/>
  </conditionalFormatting>
  <conditionalFormatting sqref="I2188:K2188">
    <cfRule type="duplicateValues" dxfId="1797" priority="1909"/>
  </conditionalFormatting>
  <conditionalFormatting sqref="I2189:K2189">
    <cfRule type="duplicateValues" dxfId="1796" priority="1930"/>
  </conditionalFormatting>
  <conditionalFormatting sqref="K2037:K2042">
    <cfRule type="duplicateValues" dxfId="1795" priority="1842"/>
  </conditionalFormatting>
  <conditionalFormatting sqref="G2037:K2189">
    <cfRule type="containsText" dxfId="1794" priority="1795" operator="containsText" text="Code">
      <formula>NOT(ISERROR(SEARCH("Code",G2037)))</formula>
    </cfRule>
  </conditionalFormatting>
  <conditionalFormatting sqref="G2191:K2297">
    <cfRule type="containsText" dxfId="1793" priority="1793" operator="containsText" text="code">
      <formula>NOT(ISERROR(SEARCH("code",G2191)))</formula>
    </cfRule>
  </conditionalFormatting>
  <conditionalFormatting sqref="L2226:N2227 L2228 L2229:N2232 L2233 L2234:N2239 L2240 L2241:N2244 L2245 L2246:N2251 L2252 L2253:N2256 L2257 L2258:N2259">
    <cfRule type="containsText" dxfId="1792" priority="1794" operator="containsText" text="cre">
      <formula>NOT(ISERROR(SEARCH("cre",L2226)))</formula>
    </cfRule>
  </conditionalFormatting>
  <conditionalFormatting sqref="M2192">
    <cfRule type="containsText" dxfId="1791" priority="1792" operator="containsText" text="Code">
      <formula>NOT(ISERROR(SEARCH("Code",M2192)))</formula>
    </cfRule>
  </conditionalFormatting>
  <conditionalFormatting sqref="M2200">
    <cfRule type="containsText" dxfId="1790" priority="1790" operator="containsText" text="code">
      <formula>NOT(ISERROR(SEARCH("code",M2200)))</formula>
    </cfRule>
  </conditionalFormatting>
  <conditionalFormatting sqref="M2205">
    <cfRule type="containsText" dxfId="1789" priority="1788" operator="containsText" text="Code">
      <formula>NOT(ISERROR(SEARCH("Code",M2205)))</formula>
    </cfRule>
  </conditionalFormatting>
  <conditionalFormatting sqref="M2210">
    <cfRule type="containsText" dxfId="1788" priority="1786" operator="containsText" text="Code">
      <formula>NOT(ISERROR(SEARCH("Code",M2210)))</formula>
    </cfRule>
  </conditionalFormatting>
  <conditionalFormatting sqref="M2217">
    <cfRule type="containsText" dxfId="1787" priority="1784" operator="containsText" text="code">
      <formula>NOT(ISERROR(SEARCH("code",M2217)))</formula>
    </cfRule>
  </conditionalFormatting>
  <conditionalFormatting sqref="M2223">
    <cfRule type="containsText" dxfId="1786" priority="1782" operator="containsText" text="code">
      <formula>NOT(ISERROR(SEARCH("code",M2223)))</formula>
    </cfRule>
  </conditionalFormatting>
  <conditionalFormatting sqref="M2228">
    <cfRule type="containsText" dxfId="1785" priority="1780" operator="containsText" text="Code">
      <formula>NOT(ISERROR(SEARCH("Code",M2228)))</formula>
    </cfRule>
  </conditionalFormatting>
  <conditionalFormatting sqref="M2233">
    <cfRule type="containsText" dxfId="1784" priority="1778" operator="containsText" text="code">
      <formula>NOT(ISERROR(SEARCH("code",M2233)))</formula>
    </cfRule>
  </conditionalFormatting>
  <conditionalFormatting sqref="M2240">
    <cfRule type="containsText" dxfId="1783" priority="1776" operator="containsText" text="Code">
      <formula>NOT(ISERROR(SEARCH("Code",M2240)))</formula>
    </cfRule>
  </conditionalFormatting>
  <conditionalFormatting sqref="M2245">
    <cfRule type="containsText" dxfId="1782" priority="1774" operator="containsText" text="code">
      <formula>NOT(ISERROR(SEARCH("code",M2245)))</formula>
    </cfRule>
  </conditionalFormatting>
  <conditionalFormatting sqref="M2252">
    <cfRule type="containsText" dxfId="1781" priority="1772" operator="containsText" text="Code">
      <formula>NOT(ISERROR(SEARCH("Code",M2252)))</formula>
    </cfRule>
  </conditionalFormatting>
  <conditionalFormatting sqref="M2257">
    <cfRule type="containsText" dxfId="1780" priority="1770" operator="containsText" text="code">
      <formula>NOT(ISERROR(SEARCH("code",M2257)))</formula>
    </cfRule>
  </conditionalFormatting>
  <conditionalFormatting sqref="M2265">
    <cfRule type="containsText" dxfId="1779" priority="1768" operator="containsText" text="code">
      <formula>NOT(ISERROR(SEARCH("code",M2265)))</formula>
    </cfRule>
  </conditionalFormatting>
  <conditionalFormatting sqref="M2273">
    <cfRule type="containsText" dxfId="1778" priority="1766" operator="containsText" text="code">
      <formula>NOT(ISERROR(SEARCH("code",M2273)))</formula>
    </cfRule>
  </conditionalFormatting>
  <conditionalFormatting sqref="M2276">
    <cfRule type="containsText" dxfId="1777" priority="1764" operator="containsText" text="Code">
      <formula>NOT(ISERROR(SEARCH("Code",M2276)))</formula>
    </cfRule>
  </conditionalFormatting>
  <conditionalFormatting sqref="M2284">
    <cfRule type="containsText" dxfId="1776" priority="1762" operator="containsText" text="code">
      <formula>NOT(ISERROR(SEARCH("code",M2284)))</formula>
    </cfRule>
  </conditionalFormatting>
  <conditionalFormatting sqref="M2288">
    <cfRule type="containsText" dxfId="1775" priority="1760" operator="containsText" text="Code">
      <formula>NOT(ISERROR(SEARCH("Code",M2288)))</formula>
    </cfRule>
  </conditionalFormatting>
  <conditionalFormatting sqref="M2297">
    <cfRule type="containsText" dxfId="1774" priority="1758" operator="containsText" text="code">
      <formula>NOT(ISERROR(SEARCH("code",M2297)))</formula>
    </cfRule>
  </conditionalFormatting>
  <conditionalFormatting sqref="N2192">
    <cfRule type="containsText" dxfId="1773" priority="1791" operator="containsText" text="code">
      <formula>NOT(ISERROR(SEARCH("code",N2192)))</formula>
    </cfRule>
  </conditionalFormatting>
  <conditionalFormatting sqref="N2200">
    <cfRule type="containsText" dxfId="1772" priority="1789" operator="containsText" text="Code">
      <formula>NOT(ISERROR(SEARCH("Code",N2200)))</formula>
    </cfRule>
  </conditionalFormatting>
  <conditionalFormatting sqref="N2210">
    <cfRule type="containsText" dxfId="1771" priority="1785" operator="containsText" text="code">
      <formula>NOT(ISERROR(SEARCH("code",N2210)))</formula>
    </cfRule>
  </conditionalFormatting>
  <conditionalFormatting sqref="N2217">
    <cfRule type="containsText" dxfId="1770" priority="1783" operator="containsText" text="Code">
      <formula>NOT(ISERROR(SEARCH("Code",N2217)))</formula>
    </cfRule>
  </conditionalFormatting>
  <conditionalFormatting sqref="N2223">
    <cfRule type="containsText" dxfId="1769" priority="1781" operator="containsText" text="Code">
      <formula>NOT(ISERROR(SEARCH("Code",N2223)))</formula>
    </cfRule>
  </conditionalFormatting>
  <conditionalFormatting sqref="N2228">
    <cfRule type="containsText" dxfId="1768" priority="1779" operator="containsText" text="code">
      <formula>NOT(ISERROR(SEARCH("code",N2228)))</formula>
    </cfRule>
  </conditionalFormatting>
  <conditionalFormatting sqref="N2233">
    <cfRule type="containsText" dxfId="1767" priority="1777" operator="containsText" text="Code">
      <formula>NOT(ISERROR(SEARCH("Code",N2233)))</formula>
    </cfRule>
  </conditionalFormatting>
  <conditionalFormatting sqref="N2240">
    <cfRule type="containsText" dxfId="1766" priority="1775" operator="containsText" text="code">
      <formula>NOT(ISERROR(SEARCH("code",N2240)))</formula>
    </cfRule>
  </conditionalFormatting>
  <conditionalFormatting sqref="N2245">
    <cfRule type="containsText" dxfId="1765" priority="1773" operator="containsText" text="Code">
      <formula>NOT(ISERROR(SEARCH("Code",N2245)))</formula>
    </cfRule>
  </conditionalFormatting>
  <conditionalFormatting sqref="N2252">
    <cfRule type="containsText" dxfId="1764" priority="1771" operator="containsText" text="code">
      <formula>NOT(ISERROR(SEARCH("code",N2252)))</formula>
    </cfRule>
  </conditionalFormatting>
  <conditionalFormatting sqref="N2257">
    <cfRule type="containsText" dxfId="1763" priority="1769" operator="containsText" text="Code">
      <formula>NOT(ISERROR(SEARCH("Code",N2257)))</formula>
    </cfRule>
  </conditionalFormatting>
  <conditionalFormatting sqref="N2265">
    <cfRule type="containsText" dxfId="1762" priority="1767" operator="containsText" text="Code">
      <formula>NOT(ISERROR(SEARCH("Code",N2265)))</formula>
    </cfRule>
  </conditionalFormatting>
  <conditionalFormatting sqref="N2273">
    <cfRule type="containsText" dxfId="1761" priority="1765" operator="containsText" text="Code">
      <formula>NOT(ISERROR(SEARCH("Code",N2273)))</formula>
    </cfRule>
  </conditionalFormatting>
  <conditionalFormatting sqref="N2276">
    <cfRule type="containsText" dxfId="1760" priority="1763" operator="containsText" text="code">
      <formula>NOT(ISERROR(SEARCH("code",N2276)))</formula>
    </cfRule>
  </conditionalFormatting>
  <conditionalFormatting sqref="N2284">
    <cfRule type="containsText" dxfId="1759" priority="1761" operator="containsText" text="Code">
      <formula>NOT(ISERROR(SEARCH("Code",N2284)))</formula>
    </cfRule>
  </conditionalFormatting>
  <conditionalFormatting sqref="N2288">
    <cfRule type="containsText" dxfId="1758" priority="1759" operator="containsText" text="code">
      <formula>NOT(ISERROR(SEARCH("code",N2288)))</formula>
    </cfRule>
  </conditionalFormatting>
  <conditionalFormatting sqref="N2297">
    <cfRule type="containsText" dxfId="1757" priority="1757" operator="containsText" text="Code">
      <formula>NOT(ISERROR(SEARCH("Code",N2297)))</formula>
    </cfRule>
  </conditionalFormatting>
  <conditionalFormatting sqref="N2205">
    <cfRule type="containsText" dxfId="1756" priority="1787" operator="containsText" text="code">
      <formula>NOT(ISERROR(SEARCH("code",N2205)))</formula>
    </cfRule>
  </conditionalFormatting>
  <conditionalFormatting sqref="F2300:H2307 F2309:H2319 F2323:H2333 F2335:H2342 F2344:H2347 F2349:H2356 F2363:H2370 F2372:H2377 F2379:H2382 F2384:H2389 F2393:H2403 F2414:H2417 F2419:H2426 F2442:H2445 F2447:H2451 F2321:H2321 F2358:H2361 F2391:H2391 F2405:H2405 F2407:H2412 F2428:H2431 F2433:H2440 I2299:K2301 I2303:K2305 I2307:K2313 I2315:K2317 I2328:K2329 I2331:K2337 I2339:K2345 I2347:K2351 I2353:K2356 I2364:K2373 I2375:K2378 I2380:K2386 I2416:K2422 I2424:K2425 I2444:K2447 I2449:K2451 I2319:K2326 I2358:K2362 I2388:K2397 I2400:K2414 I2427:K2431 I2433:K2442">
    <cfRule type="containsText" dxfId="1755" priority="1754" operator="containsText" text="Chester 1">
      <formula>NOT(ISERROR(SEARCH("Chester 1",F2299)))</formula>
    </cfRule>
  </conditionalFormatting>
  <conditionalFormatting sqref="F2300:H2307 F2312:H2319 F2326:H2333 F2335:H2338 F2344:H2347 F2349:H2352 F2354:H2356 F2363:H2370 F2379:H2380 F2384:H2389 F2396:H2403 F2410:H2412 F2414:H2417 F2424:H2426 F2428:H2431 F2442:H2443 F2447:H2451 F2309:H2310 F2321:H2321 F2323:H2324 F2340:H2342 F2358:H2361 F2372:H2373 F2375:H2377 F2382:H2382 F2391:H2391 F2393:H2394 F2405:H2405 F2407:H2408 F2419:H2422 F2433:H2436 F2438:H2440 F2445:H2445 I2299:K2299 I2301:K2301 I2303:K2305 I2315:K2315 I2317:K2317 I2328:K2329 I2331:K2331 I2333:K2337 I2344:K2345 I2347:K2351 I2353:K2354 I2356:K2356 I2364:K2366 I2386:K2386 I2400:K2400 I2413:K2414 I2424:K2425 I2427:K2429 I2431:K2431 I2447:K2447 I2449:K2451 I2307:K2313 I2319:K2326 I2339:K2342 I2358:K2362 I2368:K2373 I2375:K2378 I2380:K2384 I2388:K2397 I2402:K2411 I2416:K2422 I2433:K2442 I2444:K2445">
    <cfRule type="containsText" dxfId="1754" priority="1755" operator="containsText" text="Code">
      <formula>NOT(ISERROR(SEARCH("Code",F2299)))</formula>
    </cfRule>
    <cfRule type="containsText" dxfId="1753" priority="1756" operator="containsText" text="c'[Fixtures All.xlsx]Women Filtered'!$F$2">
      <formula>NOT(ISERROR(SEARCH("c'[Fixtures All.xlsx]Women Filtered'!$F$2",F2299)))</formula>
    </cfRule>
  </conditionalFormatting>
  <conditionalFormatting sqref="F2462:H2464 F2466:H2467 F2469:H2470 F2476:H2478 F2483:H2484 F2486:H2488 F2497:H2498 F2500:H2502 F2504:H2506 F2508:H2509 F2518:H2519 F2521:H2523 F2525:H2527 F2539:H2540 F2542:H2544 F2546:H2548 F2550:H2551 F2560:H2562 F2567:H2568 F2574:H2576 F2583:H2586 F2588:H2590 F2592:H2593 F2595:H2597 F2599:H2600 F2602:H2603 F2458:H2460 F2472:H2474 F2480:H2481 F2490:H2492 F2494:H2495 F2511:H2511 F2513:H2516 F2529:H2530 F2536:H2537 F2553:H2554 F2556:H2558 F2564:H2565 F2570:H2572 F2578:H2579 F2581:H2581 F2605:H2605 I2464:K2466 I2468:K2469 I2477:K2478 I2484:K2485 I2487:K2487 I2498:K2498 I2500:K2501 I2503:K2503 I2505:K2508 I2519:K2520 I2522:K2525 I2540:K2541 I2543:K2543 I2545:K2547 I2549:K2550 I2567:K2567 I2574:K2574 I2585:K2586 I2588:K2588 I2590:K2592 I2594:K2594 I2596:K2599 I2601:K2602 F2453:K2453 F2455:K2456 I2458:K2461 I2471:K2475 I2480:K2482 I2489:K2492 I2494:K2496 I2511:K2517 I2528:K2530 F2532:K2534 I2536:K2538 I2552:K2554 I2556:K2560 I2563:K2565 I2569:K2572 I2576:K2582 I2604:K2605">
    <cfRule type="containsText" dxfId="1752" priority="1752" operator="containsText" text="Fyl">
      <formula>NOT(ISERROR(SEARCH("Fyl",F2453)))</formula>
    </cfRule>
    <cfRule type="containsText" dxfId="1751" priority="1753" operator="containsText" text="Lancaster &amp;">
      <formula>NOT(ISERROR(SEARCH("Lancaster &amp;",F2453)))</formula>
    </cfRule>
  </conditionalFormatting>
  <conditionalFormatting sqref="J2454 G2458:H2464 G2476:H2478 G2479 G2480:H2484 G2490:H2492 G2504:H2506 G2529:H2534 G2535 G2536:H2537 G2542:H2548 G2550:H2554 J2555 G2560:H2562 G2574:H2576 G2588:H2590 G2466:H2467 G2465 F2469:H2470 F2486:H2488 G2493 G2494:H2498 G2507 G2508:H2511 G2521:H2527 G2528 F2539:H2540 G2549 G2563 G2564:H2568 G2578:H2581 G2577 F2583:H2586 G2592:H2597 G2591 G2598 G2599:H2600 F2453:H2453 F2455:H2456 F2472:H2474 F2476:F2484 F2500:H2502 F2513:H2516 F2518:H2519 F2556:H2558 F2570:H2572 F2602:H2603 F2605:H2605 F2458:F2467 F2490:F2498 F2504:F2511 F2521:F2537 F2542:F2554 F2560:F2568 F2574:F2581 F2588:F2600 J2601:K2605 J2453:K2453 J2600 J2584 J2566 J2567:K2567 J2539 J2521 J2509 J2497 J2498:K2498 J2486 J2470 J2596:K2599 J2585:K2588 J2562:K2565 J2556:K2560 J2552:K2554 J2540:K2543 J2536:K2538 J2522:K2525 J2511:K2520 J2505:K2508 J2489:K2496 J2487:K2487 J2484:K2485 J2471:K2478 J2464:K2469 J2455:K2461 I2480:K2482 I2532:K2534 I2545:K2547 I2594:K2594 I2484:I2487 I2489:I2498 I2505:I2509 I2528:K2530 I2536:I2543 I2549:K2550 I2562:I2567 I2574:K2582 I2584:I2588 I2590:K2592 I2453:I2461 I2464:I2478 I2500:K2503 I2511:I2525 I2552:I2560 I2569:K2572 I2596:I2605">
    <cfRule type="containsText" dxfId="1750" priority="1751" operator="containsText" text="northern 2">
      <formula>NOT(ISERROR(SEARCH("northern 2",F2453)))</formula>
    </cfRule>
  </conditionalFormatting>
  <conditionalFormatting sqref="H2453:K2605">
    <cfRule type="containsText" dxfId="1749" priority="1750" operator="containsText" text="Code">
      <formula>NOT(ISERROR(SEARCH("Code",H2453)))</formula>
    </cfRule>
  </conditionalFormatting>
  <conditionalFormatting sqref="H2721">
    <cfRule type="duplicateValues" dxfId="1748" priority="1737"/>
  </conditionalFormatting>
  <conditionalFormatting sqref="K2630">
    <cfRule type="duplicateValues" dxfId="1747" priority="1742"/>
  </conditionalFormatting>
  <conditionalFormatting sqref="K2644">
    <cfRule type="duplicateValues" dxfId="1746" priority="1738"/>
  </conditionalFormatting>
  <conditionalFormatting sqref="K2656">
    <cfRule type="duplicateValues" dxfId="1745" priority="1743"/>
  </conditionalFormatting>
  <conditionalFormatting sqref="K2675">
    <cfRule type="duplicateValues" dxfId="1744" priority="1739"/>
    <cfRule type="duplicateValues" dxfId="1743" priority="1744"/>
  </conditionalFormatting>
  <conditionalFormatting sqref="K2692">
    <cfRule type="duplicateValues" dxfId="1742" priority="1745"/>
  </conditionalFormatting>
  <conditionalFormatting sqref="K2698">
    <cfRule type="duplicateValues" dxfId="1741" priority="1746"/>
  </conditionalFormatting>
  <conditionalFormatting sqref="K2715">
    <cfRule type="duplicateValues" dxfId="1740" priority="1747"/>
  </conditionalFormatting>
  <conditionalFormatting sqref="K2745">
    <cfRule type="duplicateValues" dxfId="1739" priority="1748"/>
  </conditionalFormatting>
  <conditionalFormatting sqref="K2748">
    <cfRule type="duplicateValues" dxfId="1738" priority="1740"/>
  </conditionalFormatting>
  <conditionalFormatting sqref="K2756">
    <cfRule type="duplicateValues" dxfId="1737" priority="1749"/>
  </conditionalFormatting>
  <conditionalFormatting sqref="K2651">
    <cfRule type="duplicateValues" dxfId="1736" priority="1741"/>
  </conditionalFormatting>
  <conditionalFormatting sqref="G2607:K2759">
    <cfRule type="containsText" dxfId="1735" priority="1736" operator="containsText" text="cODE">
      <formula>NOT(ISERROR(SEARCH("cODE",G2607)))</formula>
    </cfRule>
  </conditionalFormatting>
  <conditionalFormatting sqref="G2761:G2766">
    <cfRule type="duplicateValues" dxfId="1734" priority="1483"/>
  </conditionalFormatting>
  <conditionalFormatting sqref="F2768:H2768">
    <cfRule type="duplicateValues" dxfId="1733" priority="1715"/>
  </conditionalFormatting>
  <conditionalFormatting sqref="F2769:H2769">
    <cfRule type="duplicateValues" dxfId="1732" priority="1593"/>
  </conditionalFormatting>
  <conditionalFormatting sqref="F2770:H2770">
    <cfRule type="duplicateValues" dxfId="1731" priority="1571"/>
  </conditionalFormatting>
  <conditionalFormatting sqref="F2771:H2771">
    <cfRule type="duplicateValues" dxfId="1730" priority="1550"/>
  </conditionalFormatting>
  <conditionalFormatting sqref="F2772:H2772">
    <cfRule type="duplicateValues" dxfId="1729" priority="1508"/>
  </conditionalFormatting>
  <conditionalFormatting sqref="F2773:H2773">
    <cfRule type="duplicateValues" dxfId="1728" priority="1529"/>
  </conditionalFormatting>
  <conditionalFormatting sqref="F2775:H2775">
    <cfRule type="duplicateValues" dxfId="1727" priority="1714"/>
  </conditionalFormatting>
  <conditionalFormatting sqref="F2776:H2776">
    <cfRule type="duplicateValues" dxfId="1726" priority="1696"/>
  </conditionalFormatting>
  <conditionalFormatting sqref="F2777:H2777">
    <cfRule type="duplicateValues" dxfId="1725" priority="1675"/>
  </conditionalFormatting>
  <conditionalFormatting sqref="F2778:H2778">
    <cfRule type="duplicateValues" dxfId="1724" priority="1655"/>
  </conditionalFormatting>
  <conditionalFormatting sqref="F2779:H2779">
    <cfRule type="duplicateValues" dxfId="1723" priority="1634"/>
  </conditionalFormatting>
  <conditionalFormatting sqref="F2780:H2780">
    <cfRule type="duplicateValues" dxfId="1722" priority="1613"/>
  </conditionalFormatting>
  <conditionalFormatting sqref="F2782:H2782">
    <cfRule type="duplicateValues" dxfId="1721" priority="1733"/>
  </conditionalFormatting>
  <conditionalFormatting sqref="F2783:H2783">
    <cfRule type="duplicateValues" dxfId="1720" priority="1695"/>
  </conditionalFormatting>
  <conditionalFormatting sqref="F2784:H2784">
    <cfRule type="duplicateValues" dxfId="1719" priority="1569"/>
  </conditionalFormatting>
  <conditionalFormatting sqref="F2785:H2785">
    <cfRule type="duplicateValues" dxfId="1718" priority="1548"/>
  </conditionalFormatting>
  <conditionalFormatting sqref="F2786:H2786">
    <cfRule type="duplicateValues" dxfId="1717" priority="1506"/>
  </conditionalFormatting>
  <conditionalFormatting sqref="F2787:H2787">
    <cfRule type="duplicateValues" dxfId="1716" priority="1527"/>
  </conditionalFormatting>
  <conditionalFormatting sqref="F2789:H2789">
    <cfRule type="duplicateValues" dxfId="1715" priority="1713"/>
  </conditionalFormatting>
  <conditionalFormatting sqref="F2790:H2790">
    <cfRule type="duplicateValues" dxfId="1714" priority="1589"/>
  </conditionalFormatting>
  <conditionalFormatting sqref="F2791:H2791">
    <cfRule type="duplicateValues" dxfId="1713" priority="1673"/>
  </conditionalFormatting>
  <conditionalFormatting sqref="F2792:H2792">
    <cfRule type="duplicateValues" dxfId="1712" priority="1653"/>
  </conditionalFormatting>
  <conditionalFormatting sqref="F2793:H2793">
    <cfRule type="duplicateValues" dxfId="1711" priority="1632"/>
  </conditionalFormatting>
  <conditionalFormatting sqref="F2794:H2794">
    <cfRule type="duplicateValues" dxfId="1710" priority="1611"/>
  </conditionalFormatting>
  <conditionalFormatting sqref="F2796:H2796">
    <cfRule type="duplicateValues" dxfId="1709" priority="1731"/>
  </conditionalFormatting>
  <conditionalFormatting sqref="F2797:H2797">
    <cfRule type="duplicateValues" dxfId="1708" priority="1693"/>
  </conditionalFormatting>
  <conditionalFormatting sqref="F2798:H2798">
    <cfRule type="duplicateValues" dxfId="1707" priority="1672"/>
  </conditionalFormatting>
  <conditionalFormatting sqref="F2799:H2799">
    <cfRule type="duplicateValues" dxfId="1706" priority="1546"/>
  </conditionalFormatting>
  <conditionalFormatting sqref="F2800:H2800">
    <cfRule type="duplicateValues" dxfId="1705" priority="1504"/>
  </conditionalFormatting>
  <conditionalFormatting sqref="F2801:H2801">
    <cfRule type="duplicateValues" dxfId="1704" priority="1525"/>
  </conditionalFormatting>
  <conditionalFormatting sqref="F2803:H2803">
    <cfRule type="duplicateValues" dxfId="1703" priority="1711"/>
  </conditionalFormatting>
  <conditionalFormatting sqref="F2804:H2804">
    <cfRule type="duplicateValues" dxfId="1702" priority="1587"/>
  </conditionalFormatting>
  <conditionalFormatting sqref="F2805:H2805">
    <cfRule type="duplicateValues" dxfId="1701" priority="1566"/>
  </conditionalFormatting>
  <conditionalFormatting sqref="F2806:H2806">
    <cfRule type="duplicateValues" dxfId="1700" priority="1651"/>
  </conditionalFormatting>
  <conditionalFormatting sqref="F2807:H2807">
    <cfRule type="duplicateValues" dxfId="1699" priority="1630"/>
  </conditionalFormatting>
  <conditionalFormatting sqref="F2808:H2808">
    <cfRule type="duplicateValues" dxfId="1698" priority="1609"/>
  </conditionalFormatting>
  <conditionalFormatting sqref="F2810:H2810">
    <cfRule type="duplicateValues" dxfId="1697" priority="1729"/>
  </conditionalFormatting>
  <conditionalFormatting sqref="F2811:H2811">
    <cfRule type="duplicateValues" dxfId="1696" priority="1691"/>
  </conditionalFormatting>
  <conditionalFormatting sqref="F2812:H2812">
    <cfRule type="duplicateValues" dxfId="1695" priority="1670"/>
  </conditionalFormatting>
  <conditionalFormatting sqref="F2813:H2813">
    <cfRule type="duplicateValues" dxfId="1694" priority="1650"/>
  </conditionalFormatting>
  <conditionalFormatting sqref="F2814:H2814">
    <cfRule type="duplicateValues" dxfId="1693" priority="1544"/>
  </conditionalFormatting>
  <conditionalFormatting sqref="F2815:H2815">
    <cfRule type="duplicateValues" dxfId="1692" priority="1523"/>
  </conditionalFormatting>
  <conditionalFormatting sqref="F2817:H2817">
    <cfRule type="duplicateValues" dxfId="1691" priority="1709"/>
  </conditionalFormatting>
  <conditionalFormatting sqref="F2818:H2818">
    <cfRule type="duplicateValues" dxfId="1690" priority="1585"/>
  </conditionalFormatting>
  <conditionalFormatting sqref="F2819:H2819">
    <cfRule type="duplicateValues" dxfId="1689" priority="1564"/>
  </conditionalFormatting>
  <conditionalFormatting sqref="F2820:H2820">
    <cfRule type="duplicateValues" dxfId="1688" priority="1628"/>
  </conditionalFormatting>
  <conditionalFormatting sqref="F2821:H2821">
    <cfRule type="duplicateValues" dxfId="1687" priority="1607"/>
  </conditionalFormatting>
  <conditionalFormatting sqref="F2822:H2822">
    <cfRule type="duplicateValues" dxfId="1686" priority="1501"/>
  </conditionalFormatting>
  <conditionalFormatting sqref="F2824:H2824">
    <cfRule type="duplicateValues" dxfId="1685" priority="1727"/>
  </conditionalFormatting>
  <conditionalFormatting sqref="F2825:H2825">
    <cfRule type="duplicateValues" dxfId="1684" priority="1689"/>
  </conditionalFormatting>
  <conditionalFormatting sqref="F2826:H2826">
    <cfRule type="duplicateValues" dxfId="1683" priority="1487"/>
  </conditionalFormatting>
  <conditionalFormatting sqref="F2827:H2827">
    <cfRule type="duplicateValues" dxfId="1682" priority="1648"/>
  </conditionalFormatting>
  <conditionalFormatting sqref="F2828:H2828">
    <cfRule type="duplicateValues" dxfId="1681" priority="1627"/>
  </conditionalFormatting>
  <conditionalFormatting sqref="F2829:H2829">
    <cfRule type="duplicateValues" dxfId="1680" priority="1542"/>
  </conditionalFormatting>
  <conditionalFormatting sqref="F2831:H2831">
    <cfRule type="duplicateValues" dxfId="1679" priority="1707"/>
  </conditionalFormatting>
  <conditionalFormatting sqref="F2832:H2832">
    <cfRule type="duplicateValues" dxfId="1678" priority="1583"/>
  </conditionalFormatting>
  <conditionalFormatting sqref="F2833:H2833">
    <cfRule type="duplicateValues" dxfId="1677" priority="1562"/>
  </conditionalFormatting>
  <conditionalFormatting sqref="F2834:H2834">
    <cfRule type="duplicateValues" dxfId="1676" priority="1605"/>
  </conditionalFormatting>
  <conditionalFormatting sqref="F2835:H2835">
    <cfRule type="duplicateValues" dxfId="1675" priority="1499"/>
  </conditionalFormatting>
  <conditionalFormatting sqref="F2836:H2836">
    <cfRule type="duplicateValues" dxfId="1674" priority="1520"/>
  </conditionalFormatting>
  <conditionalFormatting sqref="F2838:H2838">
    <cfRule type="duplicateValues" dxfId="1673" priority="1706"/>
  </conditionalFormatting>
  <conditionalFormatting sqref="F2839:H2839">
    <cfRule type="duplicateValues" dxfId="1672" priority="1582"/>
  </conditionalFormatting>
  <conditionalFormatting sqref="F2840:H2840">
    <cfRule type="duplicateValues" dxfId="1671" priority="1561"/>
  </conditionalFormatting>
  <conditionalFormatting sqref="F2841:H2841">
    <cfRule type="duplicateValues" dxfId="1670" priority="1540"/>
  </conditionalFormatting>
  <conditionalFormatting sqref="F2842:H2842">
    <cfRule type="duplicateValues" dxfId="1669" priority="1498"/>
  </conditionalFormatting>
  <conditionalFormatting sqref="F2843:H2843">
    <cfRule type="duplicateValues" dxfId="1668" priority="1519"/>
  </conditionalFormatting>
  <conditionalFormatting sqref="F2845:H2845">
    <cfRule type="duplicateValues" dxfId="1667" priority="1726"/>
  </conditionalFormatting>
  <conditionalFormatting sqref="F2846:H2846">
    <cfRule type="duplicateValues" dxfId="1666" priority="1685"/>
  </conditionalFormatting>
  <conditionalFormatting sqref="F2847:H2847">
    <cfRule type="duplicateValues" dxfId="1665" priority="1666"/>
  </conditionalFormatting>
  <conditionalFormatting sqref="F2848:H2848">
    <cfRule type="duplicateValues" dxfId="1664" priority="1645"/>
  </conditionalFormatting>
  <conditionalFormatting sqref="F2849:H2849">
    <cfRule type="duplicateValues" dxfId="1663" priority="1624"/>
  </conditionalFormatting>
  <conditionalFormatting sqref="F2850:H2850">
    <cfRule type="duplicateValues" dxfId="1662" priority="1603"/>
  </conditionalFormatting>
  <conditionalFormatting sqref="F2852:H2852">
    <cfRule type="duplicateValues" dxfId="1661" priority="1724"/>
  </conditionalFormatting>
  <conditionalFormatting sqref="F2853:H2853">
    <cfRule type="duplicateValues" dxfId="1660" priority="1580"/>
  </conditionalFormatting>
  <conditionalFormatting sqref="F2854:H2854">
    <cfRule type="duplicateValues" dxfId="1659" priority="1559"/>
  </conditionalFormatting>
  <conditionalFormatting sqref="F2855:H2855">
    <cfRule type="duplicateValues" dxfId="1658" priority="1538"/>
  </conditionalFormatting>
  <conditionalFormatting sqref="F2856:H2856">
    <cfRule type="duplicateValues" dxfId="1657" priority="1496"/>
  </conditionalFormatting>
  <conditionalFormatting sqref="F2857:H2857">
    <cfRule type="duplicateValues" dxfId="1656" priority="1517"/>
  </conditionalFormatting>
  <conditionalFormatting sqref="F2859:H2859">
    <cfRule type="duplicateValues" dxfId="1655" priority="1704"/>
  </conditionalFormatting>
  <conditionalFormatting sqref="F2860:H2860">
    <cfRule type="duplicateValues" dxfId="1654" priority="1579"/>
  </conditionalFormatting>
  <conditionalFormatting sqref="F2861:H2861">
    <cfRule type="duplicateValues" dxfId="1653" priority="1664"/>
  </conditionalFormatting>
  <conditionalFormatting sqref="F2862:H2862">
    <cfRule type="duplicateValues" dxfId="1652" priority="1643"/>
  </conditionalFormatting>
  <conditionalFormatting sqref="F2863:H2863">
    <cfRule type="duplicateValues" dxfId="1651" priority="1622"/>
  </conditionalFormatting>
  <conditionalFormatting sqref="F2864:H2864">
    <cfRule type="duplicateValues" dxfId="1650" priority="1600"/>
  </conditionalFormatting>
  <conditionalFormatting sqref="F2866:H2866">
    <cfRule type="duplicateValues" dxfId="1649" priority="1722"/>
  </conditionalFormatting>
  <conditionalFormatting sqref="F2867:H2867">
    <cfRule type="duplicateValues" dxfId="1648" priority="1683"/>
  </conditionalFormatting>
  <conditionalFormatting sqref="F2868:H2868">
    <cfRule type="duplicateValues" dxfId="1647" priority="1557"/>
  </conditionalFormatting>
  <conditionalFormatting sqref="F2869:H2869">
    <cfRule type="duplicateValues" dxfId="1646" priority="1536"/>
  </conditionalFormatting>
  <conditionalFormatting sqref="F2870:H2870">
    <cfRule type="duplicateValues" dxfId="1645" priority="1494"/>
  </conditionalFormatting>
  <conditionalFormatting sqref="F2871:H2871">
    <cfRule type="duplicateValues" dxfId="1644" priority="1515"/>
  </conditionalFormatting>
  <conditionalFormatting sqref="F2873:H2873">
    <cfRule type="duplicateValues" dxfId="1643" priority="1703"/>
  </conditionalFormatting>
  <conditionalFormatting sqref="F2874:H2874">
    <cfRule type="duplicateValues" dxfId="1642" priority="1577"/>
  </conditionalFormatting>
  <conditionalFormatting sqref="F2875:H2875">
    <cfRule type="duplicateValues" dxfId="1641" priority="1556"/>
  </conditionalFormatting>
  <conditionalFormatting sqref="F2876:H2876">
    <cfRule type="duplicateValues" dxfId="1640" priority="1641"/>
  </conditionalFormatting>
  <conditionalFormatting sqref="F2877:H2877">
    <cfRule type="duplicateValues" dxfId="1639" priority="1620"/>
  </conditionalFormatting>
  <conditionalFormatting sqref="F2878:H2878">
    <cfRule type="duplicateValues" dxfId="1638" priority="1599"/>
  </conditionalFormatting>
  <conditionalFormatting sqref="F2880:H2880">
    <cfRule type="duplicateValues" dxfId="1637" priority="1720"/>
  </conditionalFormatting>
  <conditionalFormatting sqref="F2881:H2881">
    <cfRule type="duplicateValues" dxfId="1636" priority="1681"/>
  </conditionalFormatting>
  <conditionalFormatting sqref="F2882:H2882">
    <cfRule type="duplicateValues" dxfId="1635" priority="1661"/>
  </conditionalFormatting>
  <conditionalFormatting sqref="F2883:H2883">
    <cfRule type="duplicateValues" dxfId="1634" priority="1534"/>
  </conditionalFormatting>
  <conditionalFormatting sqref="F2884:H2884">
    <cfRule type="duplicateValues" dxfId="1633" priority="1492"/>
  </conditionalFormatting>
  <conditionalFormatting sqref="F2885:H2885">
    <cfRule type="duplicateValues" dxfId="1632" priority="1513"/>
  </conditionalFormatting>
  <conditionalFormatting sqref="F2887:H2887">
    <cfRule type="duplicateValues" dxfId="1631" priority="1702"/>
  </conditionalFormatting>
  <conditionalFormatting sqref="F2888:H2888">
    <cfRule type="duplicateValues" dxfId="1630" priority="1575"/>
  </conditionalFormatting>
  <conditionalFormatting sqref="F2889:H2889">
    <cfRule type="duplicateValues" dxfId="1629" priority="1554"/>
  </conditionalFormatting>
  <conditionalFormatting sqref="F2890:H2890">
    <cfRule type="duplicateValues" dxfId="1628" priority="1618"/>
  </conditionalFormatting>
  <conditionalFormatting sqref="F2891:H2891">
    <cfRule type="duplicateValues" dxfId="1627" priority="1597"/>
  </conditionalFormatting>
  <conditionalFormatting sqref="F2892:H2892">
    <cfRule type="duplicateValues" dxfId="1626" priority="1491"/>
  </conditionalFormatting>
  <conditionalFormatting sqref="F2894:H2894">
    <cfRule type="duplicateValues" dxfId="1625" priority="1718"/>
  </conditionalFormatting>
  <conditionalFormatting sqref="F2895:H2895">
    <cfRule type="duplicateValues" dxfId="1624" priority="1679"/>
  </conditionalFormatting>
  <conditionalFormatting sqref="F2896:H2896">
    <cfRule type="duplicateValues" dxfId="1623" priority="1659"/>
  </conditionalFormatting>
  <conditionalFormatting sqref="F2897:H2897">
    <cfRule type="duplicateValues" dxfId="1622" priority="1638"/>
  </conditionalFormatting>
  <conditionalFormatting sqref="F2898:H2898">
    <cfRule type="duplicateValues" dxfId="1621" priority="1532"/>
  </conditionalFormatting>
  <conditionalFormatting sqref="F2899:H2899">
    <cfRule type="duplicateValues" dxfId="1620" priority="1511"/>
  </conditionalFormatting>
  <conditionalFormatting sqref="F2901:H2901">
    <cfRule type="duplicateValues" dxfId="1619" priority="1700"/>
  </conditionalFormatting>
  <conditionalFormatting sqref="F2902:H2902">
    <cfRule type="duplicateValues" dxfId="1618" priority="1573"/>
  </conditionalFormatting>
  <conditionalFormatting sqref="F2903:H2903">
    <cfRule type="duplicateValues" dxfId="1617" priority="1552"/>
  </conditionalFormatting>
  <conditionalFormatting sqref="F2904:H2904">
    <cfRule type="duplicateValues" dxfId="1616" priority="1595"/>
  </conditionalFormatting>
  <conditionalFormatting sqref="F2905:H2905">
    <cfRule type="duplicateValues" dxfId="1615" priority="1489"/>
  </conditionalFormatting>
  <conditionalFormatting sqref="F2906:H2906">
    <cfRule type="duplicateValues" dxfId="1614" priority="1510"/>
  </conditionalFormatting>
  <conditionalFormatting sqref="F2908:H2908">
    <cfRule type="duplicateValues" dxfId="1613" priority="1716"/>
  </conditionalFormatting>
  <conditionalFormatting sqref="F2909:H2909">
    <cfRule type="duplicateValues" dxfId="1612" priority="1677"/>
  </conditionalFormatting>
  <conditionalFormatting sqref="F2910:H2910">
    <cfRule type="duplicateValues" dxfId="1611" priority="1657"/>
  </conditionalFormatting>
  <conditionalFormatting sqref="F2911:H2911">
    <cfRule type="duplicateValues" dxfId="1610" priority="1636"/>
  </conditionalFormatting>
  <conditionalFormatting sqref="F2912:H2912">
    <cfRule type="duplicateValues" dxfId="1609" priority="1615"/>
  </conditionalFormatting>
  <conditionalFormatting sqref="F2913:H2913">
    <cfRule type="duplicateValues" dxfId="1608" priority="1530"/>
  </conditionalFormatting>
  <conditionalFormatting sqref="H2761:H2766">
    <cfRule type="duplicateValues" dxfId="1607" priority="1481"/>
  </conditionalFormatting>
  <conditionalFormatting sqref="J2761:J2766">
    <cfRule type="duplicateValues" dxfId="1606" priority="1482"/>
  </conditionalFormatting>
  <conditionalFormatting sqref="I2768:K2768">
    <cfRule type="duplicateValues" dxfId="1605" priority="1735"/>
  </conditionalFormatting>
  <conditionalFormatting sqref="I2769:K2769">
    <cfRule type="duplicateValues" dxfId="1604" priority="1614"/>
  </conditionalFormatting>
  <conditionalFormatting sqref="I2770:K2770">
    <cfRule type="duplicateValues" dxfId="1603" priority="1635"/>
  </conditionalFormatting>
  <conditionalFormatting sqref="I2771:K2771">
    <cfRule type="duplicateValues" dxfId="1602" priority="1697"/>
  </conditionalFormatting>
  <conditionalFormatting sqref="I2772:K2772">
    <cfRule type="duplicateValues" dxfId="1601" priority="1656"/>
  </conditionalFormatting>
  <conditionalFormatting sqref="I2773:K2773">
    <cfRule type="duplicateValues" dxfId="1600" priority="1676"/>
  </conditionalFormatting>
  <conditionalFormatting sqref="I2775:K2775">
    <cfRule type="duplicateValues" dxfId="1599" priority="1592"/>
  </conditionalFormatting>
  <conditionalFormatting sqref="I2776:K2776">
    <cfRule type="duplicateValues" dxfId="1598" priority="1734"/>
  </conditionalFormatting>
  <conditionalFormatting sqref="I2777:K2777">
    <cfRule type="duplicateValues" dxfId="1597" priority="1549"/>
  </conditionalFormatting>
  <conditionalFormatting sqref="I2778:K2778">
    <cfRule type="duplicateValues" dxfId="1596" priority="1528"/>
  </conditionalFormatting>
  <conditionalFormatting sqref="I2779:K2779">
    <cfRule type="duplicateValues" dxfId="1595" priority="1507"/>
  </conditionalFormatting>
  <conditionalFormatting sqref="I2780:K2780">
    <cfRule type="duplicateValues" dxfId="1594" priority="1570"/>
  </conditionalFormatting>
  <conditionalFormatting sqref="I2782:K2782">
    <cfRule type="duplicateValues" dxfId="1593" priority="1674"/>
  </conditionalFormatting>
  <conditionalFormatting sqref="I2783:K2783">
    <cfRule type="duplicateValues" dxfId="1592" priority="1590"/>
  </conditionalFormatting>
  <conditionalFormatting sqref="I2784:K2784">
    <cfRule type="duplicateValues" dxfId="1591" priority="1591"/>
  </conditionalFormatting>
  <conditionalFormatting sqref="I2785:K2785">
    <cfRule type="duplicateValues" dxfId="1590" priority="1654"/>
  </conditionalFormatting>
  <conditionalFormatting sqref="I2786:K2786">
    <cfRule type="duplicateValues" dxfId="1589" priority="1612"/>
  </conditionalFormatting>
  <conditionalFormatting sqref="I2787:K2787">
    <cfRule type="duplicateValues" dxfId="1588" priority="1633"/>
  </conditionalFormatting>
  <conditionalFormatting sqref="I2789:K2789">
    <cfRule type="duplicateValues" dxfId="1587" priority="1568"/>
  </conditionalFormatting>
  <conditionalFormatting sqref="I2790:K2790">
    <cfRule type="duplicateValues" dxfId="1586" priority="1505"/>
  </conditionalFormatting>
  <conditionalFormatting sqref="I2791:K2791">
    <cfRule type="duplicateValues" dxfId="1585" priority="1694"/>
  </conditionalFormatting>
  <conditionalFormatting sqref="I2792:K2792">
    <cfRule type="duplicateValues" dxfId="1584" priority="1732"/>
  </conditionalFormatting>
  <conditionalFormatting sqref="I2793:K2793">
    <cfRule type="duplicateValues" dxfId="1583" priority="1547"/>
  </conditionalFormatting>
  <conditionalFormatting sqref="I2794:K2794">
    <cfRule type="duplicateValues" dxfId="1582" priority="1526"/>
  </conditionalFormatting>
  <conditionalFormatting sqref="I2796:K2796">
    <cfRule type="duplicateValues" dxfId="1581" priority="1631"/>
  </conditionalFormatting>
  <conditionalFormatting sqref="I2797:K2797">
    <cfRule type="duplicateValues" dxfId="1580" priority="1652"/>
  </conditionalFormatting>
  <conditionalFormatting sqref="I2798:K2798">
    <cfRule type="duplicateValues" dxfId="1579" priority="1712"/>
  </conditionalFormatting>
  <conditionalFormatting sqref="I2799:K2799">
    <cfRule type="duplicateValues" dxfId="1578" priority="1610"/>
  </conditionalFormatting>
  <conditionalFormatting sqref="I2800:K2800">
    <cfRule type="duplicateValues" dxfId="1577" priority="1567"/>
  </conditionalFormatting>
  <conditionalFormatting sqref="I2801:K2801">
    <cfRule type="duplicateValues" dxfId="1576" priority="1588"/>
  </conditionalFormatting>
  <conditionalFormatting sqref="I2803:K2803">
    <cfRule type="duplicateValues" dxfId="1575" priority="1503"/>
  </conditionalFormatting>
  <conditionalFormatting sqref="I2804:K2804">
    <cfRule type="duplicateValues" dxfId="1574" priority="1545"/>
  </conditionalFormatting>
  <conditionalFormatting sqref="I2805:K2805">
    <cfRule type="duplicateValues" dxfId="1573" priority="1524"/>
  </conditionalFormatting>
  <conditionalFormatting sqref="I2806:K2806">
    <cfRule type="duplicateValues" dxfId="1572" priority="1671"/>
  </conditionalFormatting>
  <conditionalFormatting sqref="I2807:K2807">
    <cfRule type="duplicateValues" dxfId="1571" priority="1692"/>
  </conditionalFormatting>
  <conditionalFormatting sqref="I2808:K2808">
    <cfRule type="duplicateValues" dxfId="1570" priority="1730"/>
  </conditionalFormatting>
  <conditionalFormatting sqref="I2810:K2810">
    <cfRule type="duplicateValues" dxfId="1569" priority="1586"/>
  </conditionalFormatting>
  <conditionalFormatting sqref="I2811:K2811">
    <cfRule type="duplicateValues" dxfId="1568" priority="1608"/>
  </conditionalFormatting>
  <conditionalFormatting sqref="I2812:K2812">
    <cfRule type="duplicateValues" dxfId="1567" priority="1629"/>
  </conditionalFormatting>
  <conditionalFormatting sqref="I2813:K2813">
    <cfRule type="duplicateValues" dxfId="1566" priority="1710"/>
  </conditionalFormatting>
  <conditionalFormatting sqref="I2814:K2814">
    <cfRule type="duplicateValues" dxfId="1565" priority="1565"/>
  </conditionalFormatting>
  <conditionalFormatting sqref="I2815:K2815">
    <cfRule type="duplicateValues" dxfId="1564" priority="1502"/>
  </conditionalFormatting>
  <conditionalFormatting sqref="I2817:K2817">
    <cfRule type="duplicateValues" dxfId="1563" priority="1522"/>
  </conditionalFormatting>
  <conditionalFormatting sqref="I2818:K2818">
    <cfRule type="duplicateValues" dxfId="1562" priority="1690"/>
  </conditionalFormatting>
  <conditionalFormatting sqref="I2819:K2819">
    <cfRule type="duplicateValues" dxfId="1561" priority="1728"/>
  </conditionalFormatting>
  <conditionalFormatting sqref="I2820:K2820">
    <cfRule type="duplicateValues" dxfId="1560" priority="1649"/>
  </conditionalFormatting>
  <conditionalFormatting sqref="I2821:K2821">
    <cfRule type="duplicateValues" dxfId="1559" priority="1669"/>
  </conditionalFormatting>
  <conditionalFormatting sqref="I2822:K2822">
    <cfRule type="duplicateValues" dxfId="1558" priority="1543"/>
  </conditionalFormatting>
  <conditionalFormatting sqref="I2824:K2824">
    <cfRule type="duplicateValues" dxfId="1557" priority="1500"/>
  </conditionalFormatting>
  <conditionalFormatting sqref="I2825:K2825">
    <cfRule type="duplicateValues" dxfId="1556" priority="1563"/>
  </conditionalFormatting>
  <conditionalFormatting sqref="I2826:K2826">
    <cfRule type="duplicateValues" dxfId="1555" priority="1584"/>
  </conditionalFormatting>
  <conditionalFormatting sqref="I2827:K2827">
    <cfRule type="duplicateValues" dxfId="1554" priority="1606"/>
  </conditionalFormatting>
  <conditionalFormatting sqref="I2828:K2828">
    <cfRule type="duplicateValues" dxfId="1553" priority="1708"/>
  </conditionalFormatting>
  <conditionalFormatting sqref="I2829:K2829">
    <cfRule type="duplicateValues" dxfId="1552" priority="1521"/>
  </conditionalFormatting>
  <conditionalFormatting sqref="I2831:K2831">
    <cfRule type="duplicateValues" dxfId="1551" priority="1541"/>
  </conditionalFormatting>
  <conditionalFormatting sqref="I2832:K2832">
    <cfRule type="duplicateValues" dxfId="1550" priority="1647"/>
  </conditionalFormatting>
  <conditionalFormatting sqref="I2833:K2833">
    <cfRule type="duplicateValues" dxfId="1549" priority="1668"/>
  </conditionalFormatting>
  <conditionalFormatting sqref="I2834:K2834">
    <cfRule type="duplicateValues" dxfId="1548" priority="1626"/>
  </conditionalFormatting>
  <conditionalFormatting sqref="I2835:K2835">
    <cfRule type="duplicateValues" dxfId="1547" priority="1688"/>
  </conditionalFormatting>
  <conditionalFormatting sqref="I2836:K2836">
    <cfRule type="duplicateValues" dxfId="1546" priority="1486"/>
  </conditionalFormatting>
  <conditionalFormatting sqref="I2838:K2838">
    <cfRule type="duplicateValues" dxfId="1545" priority="1604"/>
  </conditionalFormatting>
  <conditionalFormatting sqref="I2839:K2839">
    <cfRule type="duplicateValues" dxfId="1544" priority="1625"/>
  </conditionalFormatting>
  <conditionalFormatting sqref="I2840:K2840">
    <cfRule type="duplicateValues" dxfId="1543" priority="1646"/>
  </conditionalFormatting>
  <conditionalFormatting sqref="I2841:K2841">
    <cfRule type="duplicateValues" dxfId="1542" priority="1725"/>
  </conditionalFormatting>
  <conditionalFormatting sqref="I2842:K2842">
    <cfRule type="duplicateValues" dxfId="1541" priority="1667"/>
  </conditionalFormatting>
  <conditionalFormatting sqref="I2843:K2843">
    <cfRule type="duplicateValues" dxfId="1540" priority="1687"/>
  </conditionalFormatting>
  <conditionalFormatting sqref="I2845:K2845">
    <cfRule type="duplicateValues" dxfId="1539" priority="1705"/>
  </conditionalFormatting>
  <conditionalFormatting sqref="I2846:K2846">
    <cfRule type="duplicateValues" dxfId="1538" priority="1539"/>
  </conditionalFormatting>
  <conditionalFormatting sqref="I2847:K2847">
    <cfRule type="duplicateValues" dxfId="1537" priority="1518"/>
  </conditionalFormatting>
  <conditionalFormatting sqref="I2848:K2848">
    <cfRule type="duplicateValues" dxfId="1536" priority="1497"/>
  </conditionalFormatting>
  <conditionalFormatting sqref="I2849:K2849">
    <cfRule type="duplicateValues" dxfId="1535" priority="1560"/>
  </conditionalFormatting>
  <conditionalFormatting sqref="I2850:K2850">
    <cfRule type="duplicateValues" dxfId="1534" priority="1581"/>
  </conditionalFormatting>
  <conditionalFormatting sqref="I2852:K2852">
    <cfRule type="duplicateValues" dxfId="1533" priority="1686"/>
  </conditionalFormatting>
  <conditionalFormatting sqref="I2853:K2853">
    <cfRule type="duplicateValues" dxfId="1532" priority="1485"/>
  </conditionalFormatting>
  <conditionalFormatting sqref="I2854:K2854">
    <cfRule type="duplicateValues" dxfId="1531" priority="1602"/>
  </conditionalFormatting>
  <conditionalFormatting sqref="I2855:K2855">
    <cfRule type="duplicateValues" dxfId="1530" priority="1665"/>
  </conditionalFormatting>
  <conditionalFormatting sqref="I2856:K2856">
    <cfRule type="duplicateValues" dxfId="1529" priority="1623"/>
  </conditionalFormatting>
  <conditionalFormatting sqref="I2857:K2857">
    <cfRule type="duplicateValues" dxfId="1528" priority="1644"/>
  </conditionalFormatting>
  <conditionalFormatting sqref="I2859:K2859">
    <cfRule type="duplicateValues" dxfId="1527" priority="1684"/>
  </conditionalFormatting>
  <conditionalFormatting sqref="I2860:K2860">
    <cfRule type="duplicateValues" dxfId="1526" priority="1558"/>
  </conditionalFormatting>
  <conditionalFormatting sqref="I2861:K2861">
    <cfRule type="duplicateValues" dxfId="1525" priority="1723"/>
  </conditionalFormatting>
  <conditionalFormatting sqref="I2862:K2862">
    <cfRule type="duplicateValues" dxfId="1524" priority="1537"/>
  </conditionalFormatting>
  <conditionalFormatting sqref="I2863:K2863">
    <cfRule type="duplicateValues" dxfId="1523" priority="1516"/>
  </conditionalFormatting>
  <conditionalFormatting sqref="I2864:K2864">
    <cfRule type="duplicateValues" dxfId="1522" priority="1495"/>
  </conditionalFormatting>
  <conditionalFormatting sqref="I2866:K2866">
    <cfRule type="duplicateValues" dxfId="1521" priority="1642"/>
  </conditionalFormatting>
  <conditionalFormatting sqref="I2867:K2867">
    <cfRule type="duplicateValues" dxfId="1520" priority="1663"/>
  </conditionalFormatting>
  <conditionalFormatting sqref="I2868:K2868">
    <cfRule type="duplicateValues" dxfId="1519" priority="1484"/>
  </conditionalFormatting>
  <conditionalFormatting sqref="I2869:K2869">
    <cfRule type="duplicateValues" dxfId="1518" priority="1621"/>
  </conditionalFormatting>
  <conditionalFormatting sqref="I2870:K2870">
    <cfRule type="duplicateValues" dxfId="1517" priority="1578"/>
  </conditionalFormatting>
  <conditionalFormatting sqref="I2871:K2871">
    <cfRule type="duplicateValues" dxfId="1516" priority="1601"/>
  </conditionalFormatting>
  <conditionalFormatting sqref="I2873:K2873">
    <cfRule type="duplicateValues" dxfId="1515" priority="1662"/>
  </conditionalFormatting>
  <conditionalFormatting sqref="I2874:K2874">
    <cfRule type="duplicateValues" dxfId="1514" priority="1514"/>
  </conditionalFormatting>
  <conditionalFormatting sqref="I2875:K2875">
    <cfRule type="duplicateValues" dxfId="1513" priority="1493"/>
  </conditionalFormatting>
  <conditionalFormatting sqref="I2876:K2876">
    <cfRule type="duplicateValues" dxfId="1512" priority="1682"/>
  </conditionalFormatting>
  <conditionalFormatting sqref="I2877:K2877">
    <cfRule type="duplicateValues" dxfId="1511" priority="1721"/>
  </conditionalFormatting>
  <conditionalFormatting sqref="I2878:K2878">
    <cfRule type="duplicateValues" dxfId="1510" priority="1535"/>
  </conditionalFormatting>
  <conditionalFormatting sqref="I2880:K2880">
    <cfRule type="duplicateValues" dxfId="1509" priority="1598"/>
  </conditionalFormatting>
  <conditionalFormatting sqref="I2881:K2881">
    <cfRule type="duplicateValues" dxfId="1508" priority="1619"/>
  </conditionalFormatting>
  <conditionalFormatting sqref="I2882:K2882">
    <cfRule type="duplicateValues" dxfId="1507" priority="1640"/>
  </conditionalFormatting>
  <conditionalFormatting sqref="I2883:K2883">
    <cfRule type="duplicateValues" dxfId="1506" priority="1576"/>
  </conditionalFormatting>
  <conditionalFormatting sqref="I2884:K2884">
    <cfRule type="duplicateValues" dxfId="1505" priority="1701"/>
  </conditionalFormatting>
  <conditionalFormatting sqref="I2885:K2885">
    <cfRule type="duplicateValues" dxfId="1504" priority="1555"/>
  </conditionalFormatting>
  <conditionalFormatting sqref="I2887:K2887">
    <cfRule type="duplicateValues" dxfId="1503" priority="1639"/>
  </conditionalFormatting>
  <conditionalFormatting sqref="I2888:K2888">
    <cfRule type="duplicateValues" dxfId="1502" priority="1719"/>
  </conditionalFormatting>
  <conditionalFormatting sqref="I2889:K2889">
    <cfRule type="duplicateValues" dxfId="1501" priority="1533"/>
  </conditionalFormatting>
  <conditionalFormatting sqref="I2890:K2890">
    <cfRule type="duplicateValues" dxfId="1500" priority="1660"/>
  </conditionalFormatting>
  <conditionalFormatting sqref="I2891:K2891">
    <cfRule type="duplicateValues" dxfId="1499" priority="1680"/>
  </conditionalFormatting>
  <conditionalFormatting sqref="I2892:K2892">
    <cfRule type="duplicateValues" dxfId="1498" priority="1512"/>
  </conditionalFormatting>
  <conditionalFormatting sqref="I2894:K2894">
    <cfRule type="duplicateValues" dxfId="1497" priority="1553"/>
  </conditionalFormatting>
  <conditionalFormatting sqref="I2895:K2895">
    <cfRule type="duplicateValues" dxfId="1496" priority="1574"/>
  </conditionalFormatting>
  <conditionalFormatting sqref="I2896:K2896">
    <cfRule type="duplicateValues" dxfId="1495" priority="1596"/>
  </conditionalFormatting>
  <conditionalFormatting sqref="I2897:K2897">
    <cfRule type="duplicateValues" dxfId="1494" priority="1617"/>
  </conditionalFormatting>
  <conditionalFormatting sqref="I2898:K2898">
    <cfRule type="duplicateValues" dxfId="1493" priority="1490"/>
  </conditionalFormatting>
  <conditionalFormatting sqref="I2899:K2899">
    <cfRule type="duplicateValues" dxfId="1492" priority="1699"/>
  </conditionalFormatting>
  <conditionalFormatting sqref="I2901:K2901">
    <cfRule type="duplicateValues" dxfId="1491" priority="1616"/>
  </conditionalFormatting>
  <conditionalFormatting sqref="I2902:K2902">
    <cfRule type="duplicateValues" dxfId="1490" priority="1658"/>
  </conditionalFormatting>
  <conditionalFormatting sqref="I2903:K2903">
    <cfRule type="duplicateValues" dxfId="1489" priority="1678"/>
  </conditionalFormatting>
  <conditionalFormatting sqref="I2904:K2904">
    <cfRule type="duplicateValues" dxfId="1488" priority="1637"/>
  </conditionalFormatting>
  <conditionalFormatting sqref="I2905:K2905">
    <cfRule type="duplicateValues" dxfId="1487" priority="1717"/>
  </conditionalFormatting>
  <conditionalFormatting sqref="I2906:K2906">
    <cfRule type="duplicateValues" dxfId="1486" priority="1531"/>
  </conditionalFormatting>
  <conditionalFormatting sqref="I2908:K2908">
    <cfRule type="duplicateValues" dxfId="1485" priority="1509"/>
  </conditionalFormatting>
  <conditionalFormatting sqref="I2909:K2909">
    <cfRule type="duplicateValues" dxfId="1484" priority="1488"/>
  </conditionalFormatting>
  <conditionalFormatting sqref="I2910:K2910">
    <cfRule type="duplicateValues" dxfId="1483" priority="1551"/>
  </conditionalFormatting>
  <conditionalFormatting sqref="I2911:K2911">
    <cfRule type="duplicateValues" dxfId="1482" priority="1572"/>
  </conditionalFormatting>
  <conditionalFormatting sqref="I2912:K2912">
    <cfRule type="duplicateValues" dxfId="1481" priority="1594"/>
  </conditionalFormatting>
  <conditionalFormatting sqref="I2913:K2913">
    <cfRule type="duplicateValues" dxfId="1480" priority="1698"/>
  </conditionalFormatting>
  <conditionalFormatting sqref="K2761:K2766">
    <cfRule type="duplicateValues" dxfId="1479" priority="1480"/>
  </conditionalFormatting>
  <conditionalFormatting sqref="G2915:G3067">
    <cfRule type="containsText" dxfId="1478" priority="1222" operator="containsText" text="c$I$26">
      <formula>NOT(ISERROR(SEARCH("c$I$26",G2915)))</formula>
    </cfRule>
    <cfRule type="containsText" dxfId="1477" priority="1223" operator="containsText" text="o$K$24">
      <formula>NOT(ISERROR(SEARCH("o$K$24",G2915)))</formula>
    </cfRule>
  </conditionalFormatting>
  <conditionalFormatting sqref="G2915:G2920">
    <cfRule type="duplicateValues" dxfId="1476" priority="1227"/>
  </conditionalFormatting>
  <conditionalFormatting sqref="F2922:H2922">
    <cfRule type="duplicateValues" dxfId="1475" priority="1459"/>
  </conditionalFormatting>
  <conditionalFormatting sqref="F2923:H2923">
    <cfRule type="duplicateValues" dxfId="1474" priority="1337"/>
  </conditionalFormatting>
  <conditionalFormatting sqref="F2924:H2924">
    <cfRule type="duplicateValues" dxfId="1473" priority="1315"/>
  </conditionalFormatting>
  <conditionalFormatting sqref="F2925:H2925">
    <cfRule type="duplicateValues" dxfId="1472" priority="1294"/>
  </conditionalFormatting>
  <conditionalFormatting sqref="F2926:H2926">
    <cfRule type="duplicateValues" dxfId="1471" priority="1252"/>
  </conditionalFormatting>
  <conditionalFormatting sqref="F2927:H2927">
    <cfRule type="duplicateValues" dxfId="1470" priority="1273"/>
  </conditionalFormatting>
  <conditionalFormatting sqref="F2929:H2929">
    <cfRule type="duplicateValues" dxfId="1469" priority="1458"/>
  </conditionalFormatting>
  <conditionalFormatting sqref="F2930:H2930">
    <cfRule type="duplicateValues" dxfId="1468" priority="1440"/>
  </conditionalFormatting>
  <conditionalFormatting sqref="F2931:H2931">
    <cfRule type="duplicateValues" dxfId="1467" priority="1419"/>
  </conditionalFormatting>
  <conditionalFormatting sqref="F2932:H2932">
    <cfRule type="duplicateValues" dxfId="1466" priority="1399"/>
  </conditionalFormatting>
  <conditionalFormatting sqref="F2933:H2933">
    <cfRule type="duplicateValues" dxfId="1465" priority="1378"/>
  </conditionalFormatting>
  <conditionalFormatting sqref="F2934:H2934">
    <cfRule type="duplicateValues" dxfId="1464" priority="1357"/>
  </conditionalFormatting>
  <conditionalFormatting sqref="F2936:H2936">
    <cfRule type="duplicateValues" dxfId="1463" priority="1477"/>
  </conditionalFormatting>
  <conditionalFormatting sqref="F2937:H2937">
    <cfRule type="duplicateValues" dxfId="1462" priority="1439"/>
  </conditionalFormatting>
  <conditionalFormatting sqref="F2938:H2938">
    <cfRule type="duplicateValues" dxfId="1461" priority="1313"/>
  </conditionalFormatting>
  <conditionalFormatting sqref="F2939:H2939">
    <cfRule type="duplicateValues" dxfId="1460" priority="1292"/>
  </conditionalFormatting>
  <conditionalFormatting sqref="F2940:H2940">
    <cfRule type="duplicateValues" dxfId="1459" priority="1250"/>
  </conditionalFormatting>
  <conditionalFormatting sqref="F2941:H2941">
    <cfRule type="duplicateValues" dxfId="1458" priority="1271"/>
  </conditionalFormatting>
  <conditionalFormatting sqref="F2943:H2943">
    <cfRule type="duplicateValues" dxfId="1457" priority="1457"/>
  </conditionalFormatting>
  <conditionalFormatting sqref="F2944:H2944">
    <cfRule type="duplicateValues" dxfId="1456" priority="1333"/>
  </conditionalFormatting>
  <conditionalFormatting sqref="F2945:H2945">
    <cfRule type="duplicateValues" dxfId="1455" priority="1417"/>
  </conditionalFormatting>
  <conditionalFormatting sqref="F2946:H2946">
    <cfRule type="duplicateValues" dxfId="1454" priority="1397"/>
  </conditionalFormatting>
  <conditionalFormatting sqref="F2947:H2947">
    <cfRule type="duplicateValues" dxfId="1453" priority="1376"/>
  </conditionalFormatting>
  <conditionalFormatting sqref="F2948:H2948">
    <cfRule type="duplicateValues" dxfId="1452" priority="1355"/>
  </conditionalFormatting>
  <conditionalFormatting sqref="F2950:H2950">
    <cfRule type="duplicateValues" dxfId="1451" priority="1475"/>
  </conditionalFormatting>
  <conditionalFormatting sqref="F2951:H2951">
    <cfRule type="duplicateValues" dxfId="1450" priority="1437"/>
  </conditionalFormatting>
  <conditionalFormatting sqref="F2952:H2952">
    <cfRule type="duplicateValues" dxfId="1449" priority="1416"/>
  </conditionalFormatting>
  <conditionalFormatting sqref="F2953:H2953">
    <cfRule type="duplicateValues" dxfId="1448" priority="1290"/>
  </conditionalFormatting>
  <conditionalFormatting sqref="F2954:H2954">
    <cfRule type="duplicateValues" dxfId="1447" priority="1248"/>
  </conditionalFormatting>
  <conditionalFormatting sqref="F2955:H2955">
    <cfRule type="duplicateValues" dxfId="1446" priority="1269"/>
  </conditionalFormatting>
  <conditionalFormatting sqref="F2957:H2957">
    <cfRule type="duplicateValues" dxfId="1445" priority="1455"/>
  </conditionalFormatting>
  <conditionalFormatting sqref="F2958:H2958">
    <cfRule type="duplicateValues" dxfId="1444" priority="1331"/>
  </conditionalFormatting>
  <conditionalFormatting sqref="F2959:H2959">
    <cfRule type="duplicateValues" dxfId="1443" priority="1310"/>
  </conditionalFormatting>
  <conditionalFormatting sqref="F2960:H2960">
    <cfRule type="duplicateValues" dxfId="1442" priority="1395"/>
  </conditionalFormatting>
  <conditionalFormatting sqref="F2961:H2961">
    <cfRule type="duplicateValues" dxfId="1441" priority="1374"/>
  </conditionalFormatting>
  <conditionalFormatting sqref="F2962:H2962">
    <cfRule type="duplicateValues" dxfId="1440" priority="1353"/>
  </conditionalFormatting>
  <conditionalFormatting sqref="F2964:H2964">
    <cfRule type="duplicateValues" dxfId="1439" priority="1473"/>
  </conditionalFormatting>
  <conditionalFormatting sqref="F2965:H2965">
    <cfRule type="duplicateValues" dxfId="1438" priority="1435"/>
  </conditionalFormatting>
  <conditionalFormatting sqref="F2966:H2966">
    <cfRule type="duplicateValues" dxfId="1437" priority="1414"/>
  </conditionalFormatting>
  <conditionalFormatting sqref="F2967:H2967">
    <cfRule type="duplicateValues" dxfId="1436" priority="1394"/>
  </conditionalFormatting>
  <conditionalFormatting sqref="F2968:H2968">
    <cfRule type="duplicateValues" dxfId="1435" priority="1288"/>
  </conditionalFormatting>
  <conditionalFormatting sqref="F2969:H2969">
    <cfRule type="duplicateValues" dxfId="1434" priority="1267"/>
  </conditionalFormatting>
  <conditionalFormatting sqref="F2971:H2971">
    <cfRule type="duplicateValues" dxfId="1433" priority="1453"/>
  </conditionalFormatting>
  <conditionalFormatting sqref="F2972:H2972">
    <cfRule type="duplicateValues" dxfId="1432" priority="1329"/>
  </conditionalFormatting>
  <conditionalFormatting sqref="F2973:H2973">
    <cfRule type="duplicateValues" dxfId="1431" priority="1308"/>
  </conditionalFormatting>
  <conditionalFormatting sqref="F2974:H2974">
    <cfRule type="duplicateValues" dxfId="1430" priority="1372"/>
  </conditionalFormatting>
  <conditionalFormatting sqref="F2975:H2975">
    <cfRule type="duplicateValues" dxfId="1429" priority="1351"/>
  </conditionalFormatting>
  <conditionalFormatting sqref="F2976:H2976">
    <cfRule type="duplicateValues" dxfId="1428" priority="1245"/>
  </conditionalFormatting>
  <conditionalFormatting sqref="F2978:H2978">
    <cfRule type="duplicateValues" dxfId="1427" priority="1471"/>
  </conditionalFormatting>
  <conditionalFormatting sqref="F2979:H2979">
    <cfRule type="duplicateValues" dxfId="1426" priority="1433"/>
  </conditionalFormatting>
  <conditionalFormatting sqref="F2980:H2980">
    <cfRule type="duplicateValues" dxfId="1425" priority="1231"/>
  </conditionalFormatting>
  <conditionalFormatting sqref="F2981:H2981">
    <cfRule type="duplicateValues" dxfId="1424" priority="1392"/>
  </conditionalFormatting>
  <conditionalFormatting sqref="F2982:H2982">
    <cfRule type="duplicateValues" dxfId="1423" priority="1371"/>
  </conditionalFormatting>
  <conditionalFormatting sqref="F2983:H2983">
    <cfRule type="duplicateValues" dxfId="1422" priority="1286"/>
  </conditionalFormatting>
  <conditionalFormatting sqref="F2985:H2985">
    <cfRule type="duplicateValues" dxfId="1421" priority="1451"/>
  </conditionalFormatting>
  <conditionalFormatting sqref="F2986:H2986">
    <cfRule type="duplicateValues" dxfId="1420" priority="1327"/>
  </conditionalFormatting>
  <conditionalFormatting sqref="F2987:H2987">
    <cfRule type="duplicateValues" dxfId="1419" priority="1306"/>
  </conditionalFormatting>
  <conditionalFormatting sqref="F2988:H2988">
    <cfRule type="duplicateValues" dxfId="1418" priority="1349"/>
  </conditionalFormatting>
  <conditionalFormatting sqref="F2989:H2989">
    <cfRule type="duplicateValues" dxfId="1417" priority="1243"/>
  </conditionalFormatting>
  <conditionalFormatting sqref="F2990:H2990">
    <cfRule type="duplicateValues" dxfId="1416" priority="1264"/>
  </conditionalFormatting>
  <conditionalFormatting sqref="F2992:H2992">
    <cfRule type="duplicateValues" dxfId="1415" priority="1450"/>
  </conditionalFormatting>
  <conditionalFormatting sqref="F2993:H2993">
    <cfRule type="duplicateValues" dxfId="1414" priority="1326"/>
  </conditionalFormatting>
  <conditionalFormatting sqref="F2994:H2994">
    <cfRule type="duplicateValues" dxfId="1413" priority="1305"/>
  </conditionalFormatting>
  <conditionalFormatting sqref="F2995:H2995">
    <cfRule type="duplicateValues" dxfId="1412" priority="1284"/>
  </conditionalFormatting>
  <conditionalFormatting sqref="F2996:H2996">
    <cfRule type="duplicateValues" dxfId="1411" priority="1242"/>
  </conditionalFormatting>
  <conditionalFormatting sqref="F2997:H2997">
    <cfRule type="duplicateValues" dxfId="1410" priority="1263"/>
  </conditionalFormatting>
  <conditionalFormatting sqref="F2999:H2999">
    <cfRule type="duplicateValues" dxfId="1409" priority="1470"/>
  </conditionalFormatting>
  <conditionalFormatting sqref="F3000:H3000">
    <cfRule type="duplicateValues" dxfId="1408" priority="1429"/>
  </conditionalFormatting>
  <conditionalFormatting sqref="F3001:H3001">
    <cfRule type="duplicateValues" dxfId="1407" priority="1410"/>
  </conditionalFormatting>
  <conditionalFormatting sqref="F3002:H3002">
    <cfRule type="duplicateValues" dxfId="1406" priority="1389"/>
  </conditionalFormatting>
  <conditionalFormatting sqref="F3003:H3003">
    <cfRule type="duplicateValues" dxfId="1405" priority="1368"/>
  </conditionalFormatting>
  <conditionalFormatting sqref="F3004:H3004">
    <cfRule type="duplicateValues" dxfId="1404" priority="1347"/>
  </conditionalFormatting>
  <conditionalFormatting sqref="F3006:H3006">
    <cfRule type="duplicateValues" dxfId="1403" priority="1468"/>
  </conditionalFormatting>
  <conditionalFormatting sqref="F3007:H3007">
    <cfRule type="duplicateValues" dxfId="1402" priority="1324"/>
  </conditionalFormatting>
  <conditionalFormatting sqref="F3008:H3008">
    <cfRule type="duplicateValues" dxfId="1401" priority="1303"/>
  </conditionalFormatting>
  <conditionalFormatting sqref="F3009:H3009">
    <cfRule type="duplicateValues" dxfId="1400" priority="1282"/>
  </conditionalFormatting>
  <conditionalFormatting sqref="F3010:H3010">
    <cfRule type="duplicateValues" dxfId="1399" priority="1240"/>
  </conditionalFormatting>
  <conditionalFormatting sqref="F3011:H3011">
    <cfRule type="duplicateValues" dxfId="1398" priority="1261"/>
  </conditionalFormatting>
  <conditionalFormatting sqref="F3013:H3013">
    <cfRule type="duplicateValues" dxfId="1397" priority="1448"/>
  </conditionalFormatting>
  <conditionalFormatting sqref="F3014:H3014">
    <cfRule type="duplicateValues" dxfId="1396" priority="1323"/>
  </conditionalFormatting>
  <conditionalFormatting sqref="F3015:H3015">
    <cfRule type="duplicateValues" dxfId="1395" priority="1408"/>
  </conditionalFormatting>
  <conditionalFormatting sqref="F3016:H3016">
    <cfRule type="duplicateValues" dxfId="1394" priority="1387"/>
  </conditionalFormatting>
  <conditionalFormatting sqref="F3017:H3017">
    <cfRule type="duplicateValues" dxfId="1393" priority="1366"/>
  </conditionalFormatting>
  <conditionalFormatting sqref="F3018:H3018">
    <cfRule type="duplicateValues" dxfId="1392" priority="1344"/>
  </conditionalFormatting>
  <conditionalFormatting sqref="F3020:H3020">
    <cfRule type="duplicateValues" dxfId="1391" priority="1466"/>
  </conditionalFormatting>
  <conditionalFormatting sqref="F3021:H3021">
    <cfRule type="duplicateValues" dxfId="1390" priority="1427"/>
  </conditionalFormatting>
  <conditionalFormatting sqref="F3022:H3022">
    <cfRule type="duplicateValues" dxfId="1389" priority="1301"/>
  </conditionalFormatting>
  <conditionalFormatting sqref="F3023:H3023">
    <cfRule type="duplicateValues" dxfId="1388" priority="1280"/>
  </conditionalFormatting>
  <conditionalFormatting sqref="F3024:H3024">
    <cfRule type="duplicateValues" dxfId="1387" priority="1238"/>
  </conditionalFormatting>
  <conditionalFormatting sqref="F3025:H3025">
    <cfRule type="duplicateValues" dxfId="1386" priority="1259"/>
  </conditionalFormatting>
  <conditionalFormatting sqref="F3027:H3027">
    <cfRule type="duplicateValues" dxfId="1385" priority="1447"/>
  </conditionalFormatting>
  <conditionalFormatting sqref="F3028:H3028">
    <cfRule type="duplicateValues" dxfId="1384" priority="1321"/>
  </conditionalFormatting>
  <conditionalFormatting sqref="F3029:H3029">
    <cfRule type="duplicateValues" dxfId="1383" priority="1300"/>
  </conditionalFormatting>
  <conditionalFormatting sqref="F3030:H3030">
    <cfRule type="duplicateValues" dxfId="1382" priority="1385"/>
  </conditionalFormatting>
  <conditionalFormatting sqref="F3031:H3031">
    <cfRule type="duplicateValues" dxfId="1381" priority="1364"/>
  </conditionalFormatting>
  <conditionalFormatting sqref="F3032:H3032">
    <cfRule type="duplicateValues" dxfId="1380" priority="1343"/>
  </conditionalFormatting>
  <conditionalFormatting sqref="F3034:H3034">
    <cfRule type="duplicateValues" dxfId="1379" priority="1464"/>
  </conditionalFormatting>
  <conditionalFormatting sqref="F3035:H3035">
    <cfRule type="duplicateValues" dxfId="1378" priority="1425"/>
  </conditionalFormatting>
  <conditionalFormatting sqref="F3036:H3036">
    <cfRule type="duplicateValues" dxfId="1377" priority="1405"/>
  </conditionalFormatting>
  <conditionalFormatting sqref="F3037:H3037">
    <cfRule type="duplicateValues" dxfId="1376" priority="1278"/>
  </conditionalFormatting>
  <conditionalFormatting sqref="F3038:H3038">
    <cfRule type="duplicateValues" dxfId="1375" priority="1236"/>
  </conditionalFormatting>
  <conditionalFormatting sqref="F3039:H3039">
    <cfRule type="duplicateValues" dxfId="1374" priority="1257"/>
  </conditionalFormatting>
  <conditionalFormatting sqref="F3041:H3041">
    <cfRule type="duplicateValues" dxfId="1373" priority="1446"/>
  </conditionalFormatting>
  <conditionalFormatting sqref="F3042:H3042">
    <cfRule type="duplicateValues" dxfId="1372" priority="1319"/>
  </conditionalFormatting>
  <conditionalFormatting sqref="F3043:H3043">
    <cfRule type="duplicateValues" dxfId="1371" priority="1298"/>
  </conditionalFormatting>
  <conditionalFormatting sqref="F3044:H3044">
    <cfRule type="duplicateValues" dxfId="1370" priority="1362"/>
  </conditionalFormatting>
  <conditionalFormatting sqref="F3045:H3045">
    <cfRule type="duplicateValues" dxfId="1369" priority="1341"/>
  </conditionalFormatting>
  <conditionalFormatting sqref="F3046:H3046">
    <cfRule type="duplicateValues" dxfId="1368" priority="1235"/>
  </conditionalFormatting>
  <conditionalFormatting sqref="F3048:H3048">
    <cfRule type="duplicateValues" dxfId="1367" priority="1462"/>
  </conditionalFormatting>
  <conditionalFormatting sqref="F3049:H3049">
    <cfRule type="duplicateValues" dxfId="1366" priority="1423"/>
  </conditionalFormatting>
  <conditionalFormatting sqref="F3050:H3050">
    <cfRule type="duplicateValues" dxfId="1365" priority="1403"/>
  </conditionalFormatting>
  <conditionalFormatting sqref="F3051:H3051">
    <cfRule type="duplicateValues" dxfId="1364" priority="1382"/>
  </conditionalFormatting>
  <conditionalFormatting sqref="F3052:H3052">
    <cfRule type="duplicateValues" dxfId="1363" priority="1276"/>
  </conditionalFormatting>
  <conditionalFormatting sqref="F3053:H3053">
    <cfRule type="duplicateValues" dxfId="1362" priority="1255"/>
  </conditionalFormatting>
  <conditionalFormatting sqref="F3055:H3055">
    <cfRule type="duplicateValues" dxfId="1361" priority="1444"/>
  </conditionalFormatting>
  <conditionalFormatting sqref="F3056:H3056">
    <cfRule type="duplicateValues" dxfId="1360" priority="1317"/>
  </conditionalFormatting>
  <conditionalFormatting sqref="F3057:H3057">
    <cfRule type="duplicateValues" dxfId="1359" priority="1296"/>
  </conditionalFormatting>
  <conditionalFormatting sqref="F3058:H3058">
    <cfRule type="duplicateValues" dxfId="1358" priority="1339"/>
  </conditionalFormatting>
  <conditionalFormatting sqref="F3059:H3059">
    <cfRule type="duplicateValues" dxfId="1357" priority="1233"/>
  </conditionalFormatting>
  <conditionalFormatting sqref="F3060:H3060">
    <cfRule type="duplicateValues" dxfId="1356" priority="1254"/>
  </conditionalFormatting>
  <conditionalFormatting sqref="F3062:H3062">
    <cfRule type="duplicateValues" dxfId="1355" priority="1460"/>
  </conditionalFormatting>
  <conditionalFormatting sqref="F3063:H3063">
    <cfRule type="duplicateValues" dxfId="1354" priority="1421"/>
  </conditionalFormatting>
  <conditionalFormatting sqref="F3064:H3064">
    <cfRule type="duplicateValues" dxfId="1353" priority="1401"/>
  </conditionalFormatting>
  <conditionalFormatting sqref="F3065:H3065">
    <cfRule type="duplicateValues" dxfId="1352" priority="1380"/>
  </conditionalFormatting>
  <conditionalFormatting sqref="F3066:H3066">
    <cfRule type="duplicateValues" dxfId="1351" priority="1359"/>
  </conditionalFormatting>
  <conditionalFormatting sqref="F3067:H3067">
    <cfRule type="duplicateValues" dxfId="1350" priority="1274"/>
  </conditionalFormatting>
  <conditionalFormatting sqref="H2915:H2920">
    <cfRule type="duplicateValues" dxfId="1349" priority="1225"/>
  </conditionalFormatting>
  <conditionalFormatting sqref="J2915:J2920">
    <cfRule type="duplicateValues" dxfId="1348" priority="1226"/>
  </conditionalFormatting>
  <conditionalFormatting sqref="I2922:K2922">
    <cfRule type="duplicateValues" dxfId="1347" priority="1479"/>
  </conditionalFormatting>
  <conditionalFormatting sqref="I2923:K2923">
    <cfRule type="duplicateValues" dxfId="1346" priority="1358"/>
  </conditionalFormatting>
  <conditionalFormatting sqref="I2924:K2924">
    <cfRule type="duplicateValues" dxfId="1345" priority="1379"/>
  </conditionalFormatting>
  <conditionalFormatting sqref="I2925:K2925">
    <cfRule type="duplicateValues" dxfId="1344" priority="1441"/>
  </conditionalFormatting>
  <conditionalFormatting sqref="I2926:K2926">
    <cfRule type="duplicateValues" dxfId="1343" priority="1400"/>
  </conditionalFormatting>
  <conditionalFormatting sqref="I2927:K2927">
    <cfRule type="duplicateValues" dxfId="1342" priority="1420"/>
  </conditionalFormatting>
  <conditionalFormatting sqref="I2929:K2929">
    <cfRule type="duplicateValues" dxfId="1341" priority="1336"/>
  </conditionalFormatting>
  <conditionalFormatting sqref="I2930:K2930">
    <cfRule type="duplicateValues" dxfId="1340" priority="1478"/>
  </conditionalFormatting>
  <conditionalFormatting sqref="I2931:K2931">
    <cfRule type="duplicateValues" dxfId="1339" priority="1293"/>
  </conditionalFormatting>
  <conditionalFormatting sqref="I2932:K2932">
    <cfRule type="duplicateValues" dxfId="1338" priority="1272"/>
  </conditionalFormatting>
  <conditionalFormatting sqref="I2933:K2933">
    <cfRule type="duplicateValues" dxfId="1337" priority="1251"/>
  </conditionalFormatting>
  <conditionalFormatting sqref="I2934:K2934">
    <cfRule type="duplicateValues" dxfId="1336" priority="1314"/>
  </conditionalFormatting>
  <conditionalFormatting sqref="I2936:K2936">
    <cfRule type="duplicateValues" dxfId="1335" priority="1418"/>
  </conditionalFormatting>
  <conditionalFormatting sqref="I2937:K2937">
    <cfRule type="duplicateValues" dxfId="1334" priority="1334"/>
  </conditionalFormatting>
  <conditionalFormatting sqref="I2938:K2938">
    <cfRule type="duplicateValues" dxfId="1333" priority="1335"/>
  </conditionalFormatting>
  <conditionalFormatting sqref="I2939:K2939">
    <cfRule type="duplicateValues" dxfId="1332" priority="1398"/>
  </conditionalFormatting>
  <conditionalFormatting sqref="I2940:K2940">
    <cfRule type="duplicateValues" dxfId="1331" priority="1356"/>
  </conditionalFormatting>
  <conditionalFormatting sqref="I2941:K2941">
    <cfRule type="duplicateValues" dxfId="1330" priority="1377"/>
  </conditionalFormatting>
  <conditionalFormatting sqref="I2943:K2943">
    <cfRule type="duplicateValues" dxfId="1329" priority="1312"/>
  </conditionalFormatting>
  <conditionalFormatting sqref="I2944:K2944">
    <cfRule type="duplicateValues" dxfId="1328" priority="1249"/>
  </conditionalFormatting>
  <conditionalFormatting sqref="I2945:K2945">
    <cfRule type="duplicateValues" dxfId="1327" priority="1438"/>
  </conditionalFormatting>
  <conditionalFormatting sqref="I2946:K2946">
    <cfRule type="duplicateValues" dxfId="1326" priority="1476"/>
  </conditionalFormatting>
  <conditionalFormatting sqref="I2947:K2947">
    <cfRule type="duplicateValues" dxfId="1325" priority="1291"/>
  </conditionalFormatting>
  <conditionalFormatting sqref="I2948:K2948">
    <cfRule type="duplicateValues" dxfId="1324" priority="1270"/>
  </conditionalFormatting>
  <conditionalFormatting sqref="I2950:K2950">
    <cfRule type="duplicateValues" dxfId="1323" priority="1375"/>
  </conditionalFormatting>
  <conditionalFormatting sqref="I2951:K2951">
    <cfRule type="duplicateValues" dxfId="1322" priority="1396"/>
  </conditionalFormatting>
  <conditionalFormatting sqref="I2952:K2952">
    <cfRule type="duplicateValues" dxfId="1321" priority="1456"/>
  </conditionalFormatting>
  <conditionalFormatting sqref="I2953:K2953">
    <cfRule type="duplicateValues" dxfId="1320" priority="1354"/>
  </conditionalFormatting>
  <conditionalFormatting sqref="I2954:K2954">
    <cfRule type="duplicateValues" dxfId="1319" priority="1311"/>
  </conditionalFormatting>
  <conditionalFormatting sqref="I2955:K2955">
    <cfRule type="duplicateValues" dxfId="1318" priority="1332"/>
  </conditionalFormatting>
  <conditionalFormatting sqref="I2957:K2957">
    <cfRule type="duplicateValues" dxfId="1317" priority="1247"/>
  </conditionalFormatting>
  <conditionalFormatting sqref="I2958:K2958">
    <cfRule type="duplicateValues" dxfId="1316" priority="1289"/>
  </conditionalFormatting>
  <conditionalFormatting sqref="I2959:K2959">
    <cfRule type="duplicateValues" dxfId="1315" priority="1268"/>
  </conditionalFormatting>
  <conditionalFormatting sqref="I2960:K2960">
    <cfRule type="duplicateValues" dxfId="1314" priority="1415"/>
  </conditionalFormatting>
  <conditionalFormatting sqref="I2961:K2961">
    <cfRule type="duplicateValues" dxfId="1313" priority="1436"/>
  </conditionalFormatting>
  <conditionalFormatting sqref="I2962:K2962">
    <cfRule type="duplicateValues" dxfId="1312" priority="1474"/>
  </conditionalFormatting>
  <conditionalFormatting sqref="I2964:K2964">
    <cfRule type="duplicateValues" dxfId="1311" priority="1330"/>
  </conditionalFormatting>
  <conditionalFormatting sqref="I2965:K2965">
    <cfRule type="duplicateValues" dxfId="1310" priority="1352"/>
  </conditionalFormatting>
  <conditionalFormatting sqref="I2966:K2966">
    <cfRule type="duplicateValues" dxfId="1309" priority="1373"/>
  </conditionalFormatting>
  <conditionalFormatting sqref="I2967:K2967">
    <cfRule type="duplicateValues" dxfId="1308" priority="1454"/>
  </conditionalFormatting>
  <conditionalFormatting sqref="I2968:K2968">
    <cfRule type="duplicateValues" dxfId="1307" priority="1309"/>
  </conditionalFormatting>
  <conditionalFormatting sqref="I2969:K2969">
    <cfRule type="duplicateValues" dxfId="1306" priority="1246"/>
  </conditionalFormatting>
  <conditionalFormatting sqref="I2971:K2971">
    <cfRule type="duplicateValues" dxfId="1305" priority="1266"/>
  </conditionalFormatting>
  <conditionalFormatting sqref="I2972:K2972">
    <cfRule type="duplicateValues" dxfId="1304" priority="1434"/>
  </conditionalFormatting>
  <conditionalFormatting sqref="I2973:K2973">
    <cfRule type="duplicateValues" dxfId="1303" priority="1472"/>
  </conditionalFormatting>
  <conditionalFormatting sqref="I2974:K2974">
    <cfRule type="duplicateValues" dxfId="1302" priority="1393"/>
  </conditionalFormatting>
  <conditionalFormatting sqref="I2975:K2975">
    <cfRule type="duplicateValues" dxfId="1301" priority="1413"/>
  </conditionalFormatting>
  <conditionalFormatting sqref="I2976:K2976">
    <cfRule type="duplicateValues" dxfId="1300" priority="1287"/>
  </conditionalFormatting>
  <conditionalFormatting sqref="I2978:K2978">
    <cfRule type="duplicateValues" dxfId="1299" priority="1244"/>
  </conditionalFormatting>
  <conditionalFormatting sqref="I2979:K2979">
    <cfRule type="duplicateValues" dxfId="1298" priority="1307"/>
  </conditionalFormatting>
  <conditionalFormatting sqref="I2980:K2980">
    <cfRule type="duplicateValues" dxfId="1297" priority="1328"/>
  </conditionalFormatting>
  <conditionalFormatting sqref="I2981:K2981">
    <cfRule type="duplicateValues" dxfId="1296" priority="1350"/>
  </conditionalFormatting>
  <conditionalFormatting sqref="I2982:K2982">
    <cfRule type="duplicateValues" dxfId="1295" priority="1452"/>
  </conditionalFormatting>
  <conditionalFormatting sqref="I2983:K2983">
    <cfRule type="duplicateValues" dxfId="1294" priority="1265"/>
  </conditionalFormatting>
  <conditionalFormatting sqref="I2985:K2985">
    <cfRule type="duplicateValues" dxfId="1293" priority="1285"/>
  </conditionalFormatting>
  <conditionalFormatting sqref="I2986:K2986">
    <cfRule type="duplicateValues" dxfId="1292" priority="1391"/>
  </conditionalFormatting>
  <conditionalFormatting sqref="I2987:K2987">
    <cfRule type="duplicateValues" dxfId="1291" priority="1412"/>
  </conditionalFormatting>
  <conditionalFormatting sqref="I2988:K2988">
    <cfRule type="duplicateValues" dxfId="1290" priority="1370"/>
  </conditionalFormatting>
  <conditionalFormatting sqref="I2989:K2989">
    <cfRule type="duplicateValues" dxfId="1289" priority="1432"/>
  </conditionalFormatting>
  <conditionalFormatting sqref="I2990:K2990">
    <cfRule type="duplicateValues" dxfId="1288" priority="1230"/>
  </conditionalFormatting>
  <conditionalFormatting sqref="I2992:K2992">
    <cfRule type="duplicateValues" dxfId="1287" priority="1348"/>
  </conditionalFormatting>
  <conditionalFormatting sqref="I2993:K2993">
    <cfRule type="duplicateValues" dxfId="1286" priority="1369"/>
  </conditionalFormatting>
  <conditionalFormatting sqref="I2994:K2994">
    <cfRule type="duplicateValues" dxfId="1285" priority="1390"/>
  </conditionalFormatting>
  <conditionalFormatting sqref="I2995:K2995">
    <cfRule type="duplicateValues" dxfId="1284" priority="1469"/>
  </conditionalFormatting>
  <conditionalFormatting sqref="I2996:K2996">
    <cfRule type="duplicateValues" dxfId="1283" priority="1411"/>
  </conditionalFormatting>
  <conditionalFormatting sqref="I2997:K2997">
    <cfRule type="duplicateValues" dxfId="1282" priority="1431"/>
  </conditionalFormatting>
  <conditionalFormatting sqref="I2999:K2999">
    <cfRule type="duplicateValues" dxfId="1281" priority="1449"/>
  </conditionalFormatting>
  <conditionalFormatting sqref="I3000:K3000">
    <cfRule type="duplicateValues" dxfId="1280" priority="1283"/>
  </conditionalFormatting>
  <conditionalFormatting sqref="I3001:K3001">
    <cfRule type="duplicateValues" dxfId="1279" priority="1262"/>
  </conditionalFormatting>
  <conditionalFormatting sqref="I3002:K3002">
    <cfRule type="duplicateValues" dxfId="1278" priority="1241"/>
  </conditionalFormatting>
  <conditionalFormatting sqref="I3003:K3003">
    <cfRule type="duplicateValues" dxfId="1277" priority="1304"/>
  </conditionalFormatting>
  <conditionalFormatting sqref="I3004:K3004">
    <cfRule type="duplicateValues" dxfId="1276" priority="1325"/>
  </conditionalFormatting>
  <conditionalFormatting sqref="I3006:K3006">
    <cfRule type="duplicateValues" dxfId="1275" priority="1430"/>
  </conditionalFormatting>
  <conditionalFormatting sqref="I3007:K3007">
    <cfRule type="duplicateValues" dxfId="1274" priority="1229"/>
  </conditionalFormatting>
  <conditionalFormatting sqref="I3008:K3008">
    <cfRule type="duplicateValues" dxfId="1273" priority="1346"/>
  </conditionalFormatting>
  <conditionalFormatting sqref="I3009:K3009">
    <cfRule type="duplicateValues" dxfId="1272" priority="1409"/>
  </conditionalFormatting>
  <conditionalFormatting sqref="I3010:K3010">
    <cfRule type="duplicateValues" dxfId="1271" priority="1367"/>
  </conditionalFormatting>
  <conditionalFormatting sqref="I3011:K3011">
    <cfRule type="duplicateValues" dxfId="1270" priority="1388"/>
  </conditionalFormatting>
  <conditionalFormatting sqref="I3013:K3013">
    <cfRule type="duplicateValues" dxfId="1269" priority="1428"/>
  </conditionalFormatting>
  <conditionalFormatting sqref="I3014:K3014">
    <cfRule type="duplicateValues" dxfId="1268" priority="1302"/>
  </conditionalFormatting>
  <conditionalFormatting sqref="I3015:K3015">
    <cfRule type="duplicateValues" dxfId="1267" priority="1467"/>
  </conditionalFormatting>
  <conditionalFormatting sqref="I3016:K3016">
    <cfRule type="duplicateValues" dxfId="1266" priority="1281"/>
  </conditionalFormatting>
  <conditionalFormatting sqref="I3017:K3017">
    <cfRule type="duplicateValues" dxfId="1265" priority="1260"/>
  </conditionalFormatting>
  <conditionalFormatting sqref="I3018:K3018">
    <cfRule type="duplicateValues" dxfId="1264" priority="1239"/>
  </conditionalFormatting>
  <conditionalFormatting sqref="I3020:K3020">
    <cfRule type="duplicateValues" dxfId="1263" priority="1386"/>
  </conditionalFormatting>
  <conditionalFormatting sqref="I3021:K3021">
    <cfRule type="duplicateValues" dxfId="1262" priority="1407"/>
  </conditionalFormatting>
  <conditionalFormatting sqref="I3022:K3022">
    <cfRule type="duplicateValues" dxfId="1261" priority="1228"/>
  </conditionalFormatting>
  <conditionalFormatting sqref="I3023:K3023">
    <cfRule type="duplicateValues" dxfId="1260" priority="1365"/>
  </conditionalFormatting>
  <conditionalFormatting sqref="I3024:K3024">
    <cfRule type="duplicateValues" dxfId="1259" priority="1322"/>
  </conditionalFormatting>
  <conditionalFormatting sqref="I3025:K3025">
    <cfRule type="duplicateValues" dxfId="1258" priority="1345"/>
  </conditionalFormatting>
  <conditionalFormatting sqref="I3027:K3027">
    <cfRule type="duplicateValues" dxfId="1257" priority="1406"/>
  </conditionalFormatting>
  <conditionalFormatting sqref="I3028:K3028">
    <cfRule type="duplicateValues" dxfId="1256" priority="1258"/>
  </conditionalFormatting>
  <conditionalFormatting sqref="I3029:K3029">
    <cfRule type="duplicateValues" dxfId="1255" priority="1237"/>
  </conditionalFormatting>
  <conditionalFormatting sqref="I3030:K3030">
    <cfRule type="duplicateValues" dxfId="1254" priority="1426"/>
  </conditionalFormatting>
  <conditionalFormatting sqref="I3031:K3031">
    <cfRule type="duplicateValues" dxfId="1253" priority="1465"/>
  </conditionalFormatting>
  <conditionalFormatting sqref="I3032:K3032">
    <cfRule type="duplicateValues" dxfId="1252" priority="1279"/>
  </conditionalFormatting>
  <conditionalFormatting sqref="I3034:K3034">
    <cfRule type="duplicateValues" dxfId="1251" priority="1342"/>
  </conditionalFormatting>
  <conditionalFormatting sqref="I3035:K3035">
    <cfRule type="duplicateValues" dxfId="1250" priority="1363"/>
  </conditionalFormatting>
  <conditionalFormatting sqref="I3036:K3036">
    <cfRule type="duplicateValues" dxfId="1249" priority="1384"/>
  </conditionalFormatting>
  <conditionalFormatting sqref="I3037:K3037">
    <cfRule type="duplicateValues" dxfId="1248" priority="1320"/>
  </conditionalFormatting>
  <conditionalFormatting sqref="I3038:K3038">
    <cfRule type="duplicateValues" dxfId="1247" priority="1445"/>
  </conditionalFormatting>
  <conditionalFormatting sqref="I3039:K3039">
    <cfRule type="duplicateValues" dxfId="1246" priority="1299"/>
  </conditionalFormatting>
  <conditionalFormatting sqref="I3041:K3041">
    <cfRule type="duplicateValues" dxfId="1245" priority="1383"/>
  </conditionalFormatting>
  <conditionalFormatting sqref="I3042:K3042">
    <cfRule type="duplicateValues" dxfId="1244" priority="1463"/>
  </conditionalFormatting>
  <conditionalFormatting sqref="I3043:K3043">
    <cfRule type="duplicateValues" dxfId="1243" priority="1277"/>
  </conditionalFormatting>
  <conditionalFormatting sqref="I3044:K3044">
    <cfRule type="duplicateValues" dxfId="1242" priority="1404"/>
  </conditionalFormatting>
  <conditionalFormatting sqref="I3045:K3045">
    <cfRule type="duplicateValues" dxfId="1241" priority="1424"/>
  </conditionalFormatting>
  <conditionalFormatting sqref="I3046:K3046">
    <cfRule type="duplicateValues" dxfId="1240" priority="1256"/>
  </conditionalFormatting>
  <conditionalFormatting sqref="I3048:K3048">
    <cfRule type="duplicateValues" dxfId="1239" priority="1297"/>
  </conditionalFormatting>
  <conditionalFormatting sqref="I3049:K3049">
    <cfRule type="duplicateValues" dxfId="1238" priority="1318"/>
  </conditionalFormatting>
  <conditionalFormatting sqref="I3050:K3050">
    <cfRule type="duplicateValues" dxfId="1237" priority="1340"/>
  </conditionalFormatting>
  <conditionalFormatting sqref="I3051:K3051">
    <cfRule type="duplicateValues" dxfId="1236" priority="1361"/>
  </conditionalFormatting>
  <conditionalFormatting sqref="I3052:K3052">
    <cfRule type="duplicateValues" dxfId="1235" priority="1234"/>
  </conditionalFormatting>
  <conditionalFormatting sqref="I3053:K3053">
    <cfRule type="duplicateValues" dxfId="1234" priority="1443"/>
  </conditionalFormatting>
  <conditionalFormatting sqref="I3055:K3055">
    <cfRule type="duplicateValues" dxfId="1233" priority="1360"/>
  </conditionalFormatting>
  <conditionalFormatting sqref="I3056:K3056">
    <cfRule type="duplicateValues" dxfId="1232" priority="1402"/>
  </conditionalFormatting>
  <conditionalFormatting sqref="I3057:K3057">
    <cfRule type="duplicateValues" dxfId="1231" priority="1422"/>
  </conditionalFormatting>
  <conditionalFormatting sqref="I3058:K3058">
    <cfRule type="duplicateValues" dxfId="1230" priority="1381"/>
  </conditionalFormatting>
  <conditionalFormatting sqref="I3059:K3059">
    <cfRule type="duplicateValues" dxfId="1229" priority="1461"/>
  </conditionalFormatting>
  <conditionalFormatting sqref="I3060:K3060">
    <cfRule type="duplicateValues" dxfId="1228" priority="1275"/>
  </conditionalFormatting>
  <conditionalFormatting sqref="I3062:K3062">
    <cfRule type="duplicateValues" dxfId="1227" priority="1253"/>
  </conditionalFormatting>
  <conditionalFormatting sqref="I3063:K3063">
    <cfRule type="duplicateValues" dxfId="1226" priority="1232"/>
  </conditionalFormatting>
  <conditionalFormatting sqref="I3064:K3064">
    <cfRule type="duplicateValues" dxfId="1225" priority="1295"/>
  </conditionalFormatting>
  <conditionalFormatting sqref="I3065:K3065">
    <cfRule type="duplicateValues" dxfId="1224" priority="1316"/>
  </conditionalFormatting>
  <conditionalFormatting sqref="I3066:K3066">
    <cfRule type="duplicateValues" dxfId="1223" priority="1338"/>
  </conditionalFormatting>
  <conditionalFormatting sqref="I3067:K3067">
    <cfRule type="duplicateValues" dxfId="1222" priority="1442"/>
  </conditionalFormatting>
  <conditionalFormatting sqref="K2915:K2920">
    <cfRule type="duplicateValues" dxfId="1221" priority="1224"/>
  </conditionalFormatting>
  <conditionalFormatting sqref="H3183">
    <cfRule type="duplicateValues" dxfId="1220" priority="1209"/>
  </conditionalFormatting>
  <conditionalFormatting sqref="K3092">
    <cfRule type="duplicateValues" dxfId="1219" priority="1214"/>
  </conditionalFormatting>
  <conditionalFormatting sqref="K3106">
    <cfRule type="duplicateValues" dxfId="1218" priority="1210"/>
  </conditionalFormatting>
  <conditionalFormatting sqref="K3113">
    <cfRule type="duplicateValues" dxfId="1217" priority="1213"/>
  </conditionalFormatting>
  <conditionalFormatting sqref="K3118">
    <cfRule type="duplicateValues" dxfId="1216" priority="1215"/>
  </conditionalFormatting>
  <conditionalFormatting sqref="K3137">
    <cfRule type="duplicateValues" dxfId="1215" priority="1211"/>
    <cfRule type="duplicateValues" dxfId="1214" priority="1216"/>
  </conditionalFormatting>
  <conditionalFormatting sqref="K3154">
    <cfRule type="duplicateValues" dxfId="1213" priority="1217"/>
  </conditionalFormatting>
  <conditionalFormatting sqref="K3160">
    <cfRule type="duplicateValues" dxfId="1212" priority="1218"/>
  </conditionalFormatting>
  <conditionalFormatting sqref="K3177">
    <cfRule type="duplicateValues" dxfId="1211" priority="1219"/>
  </conditionalFormatting>
  <conditionalFormatting sqref="K3207">
    <cfRule type="duplicateValues" dxfId="1210" priority="1220"/>
  </conditionalFormatting>
  <conditionalFormatting sqref="K3210">
    <cfRule type="duplicateValues" dxfId="1209" priority="1212"/>
  </conditionalFormatting>
  <conditionalFormatting sqref="K3218">
    <cfRule type="duplicateValues" dxfId="1208" priority="1221"/>
  </conditionalFormatting>
  <conditionalFormatting sqref="G3069:K3221">
    <cfRule type="containsText" dxfId="1207" priority="1208" operator="containsText" text="cODE">
      <formula>NOT(ISERROR(SEARCH("cODE",G3069)))</formula>
    </cfRule>
  </conditionalFormatting>
  <conditionalFormatting sqref="K3230">
    <cfRule type="duplicateValues" dxfId="1206" priority="1207"/>
  </conditionalFormatting>
  <conditionalFormatting sqref="K3232">
    <cfRule type="duplicateValues" dxfId="1205" priority="1164"/>
  </conditionalFormatting>
  <conditionalFormatting sqref="K3233">
    <cfRule type="duplicateValues" dxfId="1204" priority="1191"/>
  </conditionalFormatting>
  <conditionalFormatting sqref="K3234">
    <cfRule type="duplicateValues" dxfId="1203" priority="1174"/>
  </conditionalFormatting>
  <conditionalFormatting sqref="K3235">
    <cfRule type="duplicateValues" dxfId="1202" priority="1182"/>
  </conditionalFormatting>
  <conditionalFormatting sqref="K3237">
    <cfRule type="duplicateValues" dxfId="1201" priority="1145"/>
  </conditionalFormatting>
  <conditionalFormatting sqref="K3238">
    <cfRule type="duplicateValues" dxfId="1200" priority="1206"/>
  </conditionalFormatting>
  <conditionalFormatting sqref="K3239">
    <cfRule type="duplicateValues" dxfId="1199" priority="1124"/>
  </conditionalFormatting>
  <conditionalFormatting sqref="K3240">
    <cfRule type="duplicateValues" dxfId="1198" priority="1115"/>
  </conditionalFormatting>
  <conditionalFormatting sqref="K3241">
    <cfRule type="duplicateValues" dxfId="1197" priority="1105"/>
  </conditionalFormatting>
  <conditionalFormatting sqref="K3242">
    <cfRule type="duplicateValues" dxfId="1196" priority="1134"/>
  </conditionalFormatting>
  <conditionalFormatting sqref="K3245">
    <cfRule type="duplicateValues" dxfId="1195" priority="1143"/>
  </conditionalFormatting>
  <conditionalFormatting sqref="K3246">
    <cfRule type="duplicateValues" dxfId="1194" priority="1144"/>
  </conditionalFormatting>
  <conditionalFormatting sqref="K3247">
    <cfRule type="duplicateValues" dxfId="1193" priority="1173"/>
  </conditionalFormatting>
  <conditionalFormatting sqref="K3248">
    <cfRule type="duplicateValues" dxfId="1192" priority="1154"/>
  </conditionalFormatting>
  <conditionalFormatting sqref="K3249">
    <cfRule type="duplicateValues" dxfId="1191" priority="1163"/>
  </conditionalFormatting>
  <conditionalFormatting sqref="K3251">
    <cfRule type="duplicateValues" dxfId="1190" priority="1133"/>
  </conditionalFormatting>
  <conditionalFormatting sqref="K3252">
    <cfRule type="duplicateValues" dxfId="1189" priority="1104"/>
  </conditionalFormatting>
  <conditionalFormatting sqref="K3253">
    <cfRule type="duplicateValues" dxfId="1188" priority="1190"/>
  </conditionalFormatting>
  <conditionalFormatting sqref="K3254">
    <cfRule type="duplicateValues" dxfId="1187" priority="1205"/>
  </conditionalFormatting>
  <conditionalFormatting sqref="K3255">
    <cfRule type="duplicateValues" dxfId="1186" priority="1123"/>
  </conditionalFormatting>
  <conditionalFormatting sqref="K3256">
    <cfRule type="duplicateValues" dxfId="1185" priority="1114"/>
  </conditionalFormatting>
  <conditionalFormatting sqref="K3258">
    <cfRule type="duplicateValues" dxfId="1184" priority="1162"/>
  </conditionalFormatting>
  <conditionalFormatting sqref="K3259">
    <cfRule type="duplicateValues" dxfId="1183" priority="1172"/>
  </conditionalFormatting>
  <conditionalFormatting sqref="K3260">
    <cfRule type="duplicateValues" dxfId="1182" priority="1198"/>
  </conditionalFormatting>
  <conditionalFormatting sqref="K3261">
    <cfRule type="duplicateValues" dxfId="1181" priority="1153"/>
  </conditionalFormatting>
  <conditionalFormatting sqref="K3262">
    <cfRule type="duplicateValues" dxfId="1180" priority="1132"/>
  </conditionalFormatting>
  <conditionalFormatting sqref="K3263">
    <cfRule type="duplicateValues" dxfId="1179" priority="1142"/>
  </conditionalFormatting>
  <conditionalFormatting sqref="K3265">
    <cfRule type="duplicateValues" dxfId="1178" priority="1103"/>
  </conditionalFormatting>
  <conditionalFormatting sqref="K3266">
    <cfRule type="duplicateValues" dxfId="1177" priority="1122"/>
  </conditionalFormatting>
  <conditionalFormatting sqref="K3267">
    <cfRule type="duplicateValues" dxfId="1176" priority="1113"/>
  </conditionalFormatting>
  <conditionalFormatting sqref="K3268">
    <cfRule type="duplicateValues" dxfId="1175" priority="1181"/>
  </conditionalFormatting>
  <conditionalFormatting sqref="K3270">
    <cfRule type="duplicateValues" dxfId="1174" priority="1204"/>
  </conditionalFormatting>
  <conditionalFormatting sqref="K3272">
    <cfRule type="duplicateValues" dxfId="1173" priority="1141"/>
  </conditionalFormatting>
  <conditionalFormatting sqref="K3273">
    <cfRule type="duplicateValues" dxfId="1172" priority="1152"/>
  </conditionalFormatting>
  <conditionalFormatting sqref="K3274">
    <cfRule type="duplicateValues" dxfId="1171" priority="1161"/>
  </conditionalFormatting>
  <conditionalFormatting sqref="K3275">
    <cfRule type="duplicateValues" dxfId="1170" priority="1197"/>
  </conditionalFormatting>
  <conditionalFormatting sqref="K3276">
    <cfRule type="duplicateValues" dxfId="1169" priority="1131"/>
  </conditionalFormatting>
  <conditionalFormatting sqref="K3277">
    <cfRule type="duplicateValues" dxfId="1168" priority="1102"/>
  </conditionalFormatting>
  <conditionalFormatting sqref="K3279">
    <cfRule type="duplicateValues" dxfId="1167" priority="1112"/>
  </conditionalFormatting>
  <conditionalFormatting sqref="K3280">
    <cfRule type="duplicateValues" dxfId="1166" priority="1189"/>
  </conditionalFormatting>
  <conditionalFormatting sqref="K3281">
    <cfRule type="duplicateValues" dxfId="1165" priority="1203"/>
  </conditionalFormatting>
  <conditionalFormatting sqref="K3283">
    <cfRule type="duplicateValues" dxfId="1164" priority="1180"/>
  </conditionalFormatting>
  <conditionalFormatting sqref="K3284">
    <cfRule type="duplicateValues" dxfId="1163" priority="1121"/>
  </conditionalFormatting>
  <conditionalFormatting sqref="K3286">
    <cfRule type="duplicateValues" dxfId="1162" priority="1101"/>
  </conditionalFormatting>
  <conditionalFormatting sqref="K3287">
    <cfRule type="duplicateValues" dxfId="1161" priority="1130"/>
  </conditionalFormatting>
  <conditionalFormatting sqref="K3288">
    <cfRule type="duplicateValues" dxfId="1160" priority="1140"/>
  </conditionalFormatting>
  <conditionalFormatting sqref="K3289">
    <cfRule type="duplicateValues" dxfId="1159" priority="1151"/>
  </conditionalFormatting>
  <conditionalFormatting sqref="K3290">
    <cfRule type="duplicateValues" dxfId="1158" priority="1196"/>
  </conditionalFormatting>
  <conditionalFormatting sqref="K3291">
    <cfRule type="duplicateValues" dxfId="1157" priority="1111"/>
  </conditionalFormatting>
  <conditionalFormatting sqref="K3293">
    <cfRule type="duplicateValues" dxfId="1156" priority="1120"/>
  </conditionalFormatting>
  <conditionalFormatting sqref="K3294">
    <cfRule type="duplicateValues" dxfId="1155" priority="1171"/>
  </conditionalFormatting>
  <conditionalFormatting sqref="K3296">
    <cfRule type="duplicateValues" dxfId="1154" priority="1160"/>
  </conditionalFormatting>
  <conditionalFormatting sqref="K3297">
    <cfRule type="duplicateValues" dxfId="1153" priority="1188"/>
  </conditionalFormatting>
  <conditionalFormatting sqref="K3298">
    <cfRule type="duplicateValues" dxfId="1152" priority="1095"/>
  </conditionalFormatting>
  <conditionalFormatting sqref="K3300">
    <cfRule type="duplicateValues" dxfId="1151" priority="1150"/>
  </conditionalFormatting>
  <conditionalFormatting sqref="K3301">
    <cfRule type="duplicateValues" dxfId="1150" priority="1159"/>
  </conditionalFormatting>
  <conditionalFormatting sqref="K3302">
    <cfRule type="duplicateValues" dxfId="1149" priority="1170"/>
  </conditionalFormatting>
  <conditionalFormatting sqref="K3303">
    <cfRule type="duplicateValues" dxfId="1148" priority="1202"/>
  </conditionalFormatting>
  <conditionalFormatting sqref="K3304">
    <cfRule type="duplicateValues" dxfId="1147" priority="1179"/>
  </conditionalFormatting>
  <conditionalFormatting sqref="K3307">
    <cfRule type="duplicateValues" dxfId="1146" priority="1195"/>
  </conditionalFormatting>
  <conditionalFormatting sqref="K3308">
    <cfRule type="duplicateValues" dxfId="1145" priority="1119"/>
  </conditionalFormatting>
  <conditionalFormatting sqref="K3309">
    <cfRule type="duplicateValues" dxfId="1144" priority="1110"/>
  </conditionalFormatting>
  <conditionalFormatting sqref="K3310">
    <cfRule type="duplicateValues" dxfId="1143" priority="1100"/>
  </conditionalFormatting>
  <conditionalFormatting sqref="K3311">
    <cfRule type="duplicateValues" dxfId="1142" priority="1129"/>
  </conditionalFormatting>
  <conditionalFormatting sqref="K3312">
    <cfRule type="duplicateValues" dxfId="1141" priority="1139"/>
  </conditionalFormatting>
  <conditionalFormatting sqref="K3314">
    <cfRule type="duplicateValues" dxfId="1140" priority="1187"/>
  </conditionalFormatting>
  <conditionalFormatting sqref="K3315">
    <cfRule type="duplicateValues" dxfId="1139" priority="1094"/>
  </conditionalFormatting>
  <conditionalFormatting sqref="K3317">
    <cfRule type="duplicateValues" dxfId="1138" priority="1178"/>
  </conditionalFormatting>
  <conditionalFormatting sqref="K3318">
    <cfRule type="duplicateValues" dxfId="1137" priority="1158"/>
  </conditionalFormatting>
  <conditionalFormatting sqref="K3319">
    <cfRule type="duplicateValues" dxfId="1136" priority="1169"/>
  </conditionalFormatting>
  <conditionalFormatting sqref="K3321">
    <cfRule type="duplicateValues" dxfId="1135" priority="1186"/>
  </conditionalFormatting>
  <conditionalFormatting sqref="K3322">
    <cfRule type="duplicateValues" dxfId="1134" priority="1128"/>
  </conditionalFormatting>
  <conditionalFormatting sqref="K3323">
    <cfRule type="duplicateValues" dxfId="1133" priority="1201"/>
  </conditionalFormatting>
  <conditionalFormatting sqref="K3324">
    <cfRule type="duplicateValues" dxfId="1132" priority="1118"/>
  </conditionalFormatting>
  <conditionalFormatting sqref="K3325">
    <cfRule type="duplicateValues" dxfId="1131" priority="1109"/>
  </conditionalFormatting>
  <conditionalFormatting sqref="K3326">
    <cfRule type="duplicateValues" dxfId="1130" priority="1099"/>
  </conditionalFormatting>
  <conditionalFormatting sqref="K3328">
    <cfRule type="duplicateValues" dxfId="1129" priority="1168"/>
  </conditionalFormatting>
  <conditionalFormatting sqref="K3329">
    <cfRule type="duplicateValues" dxfId="1128" priority="1177"/>
  </conditionalFormatting>
  <conditionalFormatting sqref="K3330">
    <cfRule type="duplicateValues" dxfId="1127" priority="1093"/>
  </conditionalFormatting>
  <conditionalFormatting sqref="K3332">
    <cfRule type="duplicateValues" dxfId="1126" priority="1138"/>
  </conditionalFormatting>
  <conditionalFormatting sqref="K3333">
    <cfRule type="duplicateValues" dxfId="1125" priority="1149"/>
  </conditionalFormatting>
  <conditionalFormatting sqref="K3336">
    <cfRule type="duplicateValues" dxfId="1124" priority="1108"/>
  </conditionalFormatting>
  <conditionalFormatting sqref="K3337">
    <cfRule type="duplicateValues" dxfId="1123" priority="1098"/>
  </conditionalFormatting>
  <conditionalFormatting sqref="K3338">
    <cfRule type="duplicateValues" dxfId="1122" priority="1185"/>
  </conditionalFormatting>
  <conditionalFormatting sqref="K3339">
    <cfRule type="duplicateValues" dxfId="1121" priority="1200"/>
  </conditionalFormatting>
  <conditionalFormatting sqref="K3340">
    <cfRule type="duplicateValues" dxfId="1120" priority="1117"/>
  </conditionalFormatting>
  <conditionalFormatting sqref="K3342">
    <cfRule type="duplicateValues" dxfId="1119" priority="1148"/>
  </conditionalFormatting>
  <conditionalFormatting sqref="K3343">
    <cfRule type="duplicateValues" dxfId="1118" priority="1157"/>
  </conditionalFormatting>
  <conditionalFormatting sqref="K3344">
    <cfRule type="duplicateValues" dxfId="1117" priority="1167"/>
  </conditionalFormatting>
  <conditionalFormatting sqref="K3345">
    <cfRule type="duplicateValues" dxfId="1116" priority="1137"/>
  </conditionalFormatting>
  <conditionalFormatting sqref="K3346">
    <cfRule type="duplicateValues" dxfId="1115" priority="1194"/>
  </conditionalFormatting>
  <conditionalFormatting sqref="K3347">
    <cfRule type="duplicateValues" dxfId="1114" priority="1127"/>
  </conditionalFormatting>
  <conditionalFormatting sqref="K3349">
    <cfRule type="duplicateValues" dxfId="1113" priority="1166"/>
  </conditionalFormatting>
  <conditionalFormatting sqref="K3350">
    <cfRule type="duplicateValues" dxfId="1112" priority="1199"/>
  </conditionalFormatting>
  <conditionalFormatting sqref="K3352">
    <cfRule type="duplicateValues" dxfId="1111" priority="1176"/>
  </conditionalFormatting>
  <conditionalFormatting sqref="K3353">
    <cfRule type="duplicateValues" dxfId="1110" priority="1184"/>
  </conditionalFormatting>
  <conditionalFormatting sqref="K3354">
    <cfRule type="duplicateValues" dxfId="1109" priority="1107"/>
  </conditionalFormatting>
  <conditionalFormatting sqref="K3356">
    <cfRule type="duplicateValues" dxfId="1108" priority="1126"/>
  </conditionalFormatting>
  <conditionalFormatting sqref="K3357">
    <cfRule type="duplicateValues" dxfId="1107" priority="1136"/>
  </conditionalFormatting>
  <conditionalFormatting sqref="K3358">
    <cfRule type="duplicateValues" dxfId="1106" priority="1147"/>
  </conditionalFormatting>
  <conditionalFormatting sqref="K3359">
    <cfRule type="duplicateValues" dxfId="1105" priority="1156"/>
  </conditionalFormatting>
  <conditionalFormatting sqref="K3360">
    <cfRule type="duplicateValues" dxfId="1104" priority="1097"/>
  </conditionalFormatting>
  <conditionalFormatting sqref="K3361">
    <cfRule type="duplicateValues" dxfId="1103" priority="1193"/>
  </conditionalFormatting>
  <conditionalFormatting sqref="K3363">
    <cfRule type="duplicateValues" dxfId="1102" priority="1155"/>
  </conditionalFormatting>
  <conditionalFormatting sqref="K3364">
    <cfRule type="duplicateValues" dxfId="1101" priority="1175"/>
  </conditionalFormatting>
  <conditionalFormatting sqref="K3365">
    <cfRule type="duplicateValues" dxfId="1100" priority="1183"/>
  </conditionalFormatting>
  <conditionalFormatting sqref="K3366">
    <cfRule type="duplicateValues" dxfId="1099" priority="1165"/>
  </conditionalFormatting>
  <conditionalFormatting sqref="K3368">
    <cfRule type="duplicateValues" dxfId="1098" priority="1116"/>
  </conditionalFormatting>
  <conditionalFormatting sqref="K3370">
    <cfRule type="duplicateValues" dxfId="1097" priority="1106"/>
  </conditionalFormatting>
  <conditionalFormatting sqref="K3371">
    <cfRule type="duplicateValues" dxfId="1096" priority="1096"/>
  </conditionalFormatting>
  <conditionalFormatting sqref="K3372">
    <cfRule type="duplicateValues" dxfId="1095" priority="1125"/>
  </conditionalFormatting>
  <conditionalFormatting sqref="K3373">
    <cfRule type="duplicateValues" dxfId="1094" priority="1135"/>
  </conditionalFormatting>
  <conditionalFormatting sqref="K3374">
    <cfRule type="duplicateValues" dxfId="1093" priority="1146"/>
  </conditionalFormatting>
  <conditionalFormatting sqref="K3375">
    <cfRule type="duplicateValues" dxfId="1092" priority="1192"/>
  </conditionalFormatting>
  <conditionalFormatting sqref="K3223:K3228">
    <cfRule type="duplicateValues" dxfId="1091" priority="1092"/>
  </conditionalFormatting>
  <conditionalFormatting sqref="K3231">
    <cfRule type="duplicateValues" dxfId="1090" priority="1091"/>
  </conditionalFormatting>
  <conditionalFormatting sqref="K3244">
    <cfRule type="duplicateValues" dxfId="1089" priority="1090"/>
  </conditionalFormatting>
  <conditionalFormatting sqref="K3269">
    <cfRule type="duplicateValues" dxfId="1088" priority="1089"/>
  </conditionalFormatting>
  <conditionalFormatting sqref="K3282">
    <cfRule type="duplicateValues" dxfId="1087" priority="1087"/>
  </conditionalFormatting>
  <conditionalFormatting sqref="K3295">
    <cfRule type="duplicateValues" dxfId="1086" priority="1088"/>
  </conditionalFormatting>
  <conditionalFormatting sqref="K3305">
    <cfRule type="duplicateValues" dxfId="1085" priority="1086"/>
  </conditionalFormatting>
  <conditionalFormatting sqref="K3316">
    <cfRule type="duplicateValues" dxfId="1084" priority="1085"/>
  </conditionalFormatting>
  <conditionalFormatting sqref="K3331">
    <cfRule type="duplicateValues" dxfId="1083" priority="1084"/>
  </conditionalFormatting>
  <conditionalFormatting sqref="K3335">
    <cfRule type="duplicateValues" dxfId="1082" priority="1083"/>
  </conditionalFormatting>
  <conditionalFormatting sqref="K3351">
    <cfRule type="duplicateValues" dxfId="1081" priority="1082"/>
  </conditionalFormatting>
  <conditionalFormatting sqref="K3367">
    <cfRule type="duplicateValues" dxfId="1080" priority="1081"/>
  </conditionalFormatting>
  <conditionalFormatting sqref="G3223:K3375">
    <cfRule type="containsText" dxfId="1079" priority="1080" operator="containsText" text="cODE">
      <formula>NOT(ISERROR(SEARCH("cODE",G3223)))</formula>
    </cfRule>
  </conditionalFormatting>
  <conditionalFormatting sqref="F3377:H3385 F3390:H3399 F3404:H3416 F3422:H3430 F3432:H3434 F3436:H3448 F3460:H3469 F3474:H3483 F3488:H3490 F3506:H3514 F3523:H3529 F3387:H3388 F3401:H3402 F3418:H3420 F3450:H3451 F3453:H3455 F3457:H3458 F3471:H3472 F3485:H3486 F3492:H3500 F3502:H3504 F3516:H3518 F3520:H3521 I3377:K3377 I3379:K3379 I3395:K3395 I3406:K3409 I3411:K3415 I3422:K3429 I3431:K3432 I3434:K3440 I3442:K3444 I3464:K3464 I3477:K3478 I3509:K3509 I3525:K3525 I3527:K3529 I3381:K3393 I3397:K3404 I3417:K3420 I3446:K3462 I3466:K3475 I3480:K3489 I3491:K3500 I3502:K3507 I3511:K3523">
    <cfRule type="containsText" dxfId="1078" priority="1078" operator="containsText" text="Code">
      <formula>NOT(ISERROR(SEARCH("Code",F3377)))</formula>
    </cfRule>
    <cfRule type="containsText" dxfId="1077" priority="1079" operator="containsText" text="c'[Fixtures All.xlsx]Women Filtered'!$F$2">
      <formula>NOT(ISERROR(SEARCH("c'[Fixtures All.xlsx]Women Filtered'!$F$2",F3377)))</formula>
    </cfRule>
  </conditionalFormatting>
  <conditionalFormatting sqref="F3531:G3534 F3536:G3536">
    <cfRule type="duplicateValues" dxfId="1076" priority="827"/>
  </conditionalFormatting>
  <conditionalFormatting sqref="F3535:G3535">
    <cfRule type="duplicateValues" dxfId="1075" priority="819"/>
  </conditionalFormatting>
  <conditionalFormatting sqref="F3610:G3610">
    <cfRule type="duplicateValues" dxfId="1074" priority="823"/>
  </conditionalFormatting>
  <conditionalFormatting sqref="F3538:H3538">
    <cfRule type="duplicateValues" dxfId="1073" priority="1057"/>
  </conditionalFormatting>
  <conditionalFormatting sqref="F3539:H3539">
    <cfRule type="duplicateValues" dxfId="1072" priority="936"/>
  </conditionalFormatting>
  <conditionalFormatting sqref="F3540:H3540">
    <cfRule type="duplicateValues" dxfId="1071" priority="914"/>
  </conditionalFormatting>
  <conditionalFormatting sqref="F3541:H3541">
    <cfRule type="duplicateValues" dxfId="1070" priority="894"/>
  </conditionalFormatting>
  <conditionalFormatting sqref="F3542:H3542">
    <cfRule type="duplicateValues" dxfId="1069" priority="852"/>
  </conditionalFormatting>
  <conditionalFormatting sqref="F3543:H3543">
    <cfRule type="duplicateValues" dxfId="1068" priority="873"/>
  </conditionalFormatting>
  <conditionalFormatting sqref="F3545:H3545">
    <cfRule type="duplicateValues" dxfId="1067" priority="1056"/>
  </conditionalFormatting>
  <conditionalFormatting sqref="F3546:H3546">
    <cfRule type="duplicateValues" dxfId="1066" priority="1038"/>
  </conditionalFormatting>
  <conditionalFormatting sqref="F3547:H3547">
    <cfRule type="duplicateValues" dxfId="1065" priority="1017"/>
  </conditionalFormatting>
  <conditionalFormatting sqref="F3548:H3548">
    <cfRule type="duplicateValues" dxfId="1064" priority="997"/>
  </conditionalFormatting>
  <conditionalFormatting sqref="F3549:H3549">
    <cfRule type="duplicateValues" dxfId="1063" priority="977"/>
  </conditionalFormatting>
  <conditionalFormatting sqref="F3550:H3550">
    <cfRule type="duplicateValues" dxfId="1062" priority="956"/>
  </conditionalFormatting>
  <conditionalFormatting sqref="F3552:H3552">
    <cfRule type="duplicateValues" dxfId="1061" priority="1075"/>
  </conditionalFormatting>
  <conditionalFormatting sqref="F3553:H3553">
    <cfRule type="duplicateValues" dxfId="1060" priority="1037"/>
  </conditionalFormatting>
  <conditionalFormatting sqref="F3554:H3554">
    <cfRule type="duplicateValues" dxfId="1059" priority="912"/>
  </conditionalFormatting>
  <conditionalFormatting sqref="F3555:H3555">
    <cfRule type="duplicateValues" dxfId="1058" priority="892"/>
  </conditionalFormatting>
  <conditionalFormatting sqref="F3556:H3556">
    <cfRule type="duplicateValues" dxfId="1057" priority="850"/>
  </conditionalFormatting>
  <conditionalFormatting sqref="F3557:H3557">
    <cfRule type="duplicateValues" dxfId="1056" priority="871"/>
  </conditionalFormatting>
  <conditionalFormatting sqref="F3559:H3559">
    <cfRule type="duplicateValues" dxfId="1055" priority="1055"/>
  </conditionalFormatting>
  <conditionalFormatting sqref="F3560:H3560">
    <cfRule type="duplicateValues" dxfId="1054" priority="932"/>
  </conditionalFormatting>
  <conditionalFormatting sqref="F3561:H3561">
    <cfRule type="duplicateValues" dxfId="1053" priority="1015"/>
  </conditionalFormatting>
  <conditionalFormatting sqref="F3562:H3562">
    <cfRule type="duplicateValues" dxfId="1052" priority="995"/>
  </conditionalFormatting>
  <conditionalFormatting sqref="F3563:H3563">
    <cfRule type="duplicateValues" dxfId="1051" priority="975"/>
  </conditionalFormatting>
  <conditionalFormatting sqref="F3564:H3564">
    <cfRule type="duplicateValues" dxfId="1050" priority="954"/>
  </conditionalFormatting>
  <conditionalFormatting sqref="F3566:H3566">
    <cfRule type="duplicateValues" dxfId="1049" priority="1073"/>
  </conditionalFormatting>
  <conditionalFormatting sqref="F3567:H3567">
    <cfRule type="duplicateValues" dxfId="1048" priority="1035"/>
  </conditionalFormatting>
  <conditionalFormatting sqref="F3568:H3568">
    <cfRule type="duplicateValues" dxfId="1047" priority="1014"/>
  </conditionalFormatting>
  <conditionalFormatting sqref="F3569:H3569">
    <cfRule type="duplicateValues" dxfId="1046" priority="890"/>
  </conditionalFormatting>
  <conditionalFormatting sqref="F3570:H3570">
    <cfRule type="duplicateValues" dxfId="1045" priority="848"/>
  </conditionalFormatting>
  <conditionalFormatting sqref="F3571:H3571">
    <cfRule type="duplicateValues" dxfId="1044" priority="869"/>
  </conditionalFormatting>
  <conditionalFormatting sqref="F3573:H3573">
    <cfRule type="duplicateValues" dxfId="1043" priority="1053"/>
  </conditionalFormatting>
  <conditionalFormatting sqref="F3574:H3574">
    <cfRule type="duplicateValues" dxfId="1042" priority="930"/>
  </conditionalFormatting>
  <conditionalFormatting sqref="F3575:H3575">
    <cfRule type="duplicateValues" dxfId="1041" priority="909"/>
  </conditionalFormatting>
  <conditionalFormatting sqref="F3576:H3576">
    <cfRule type="duplicateValues" dxfId="1040" priority="993"/>
  </conditionalFormatting>
  <conditionalFormatting sqref="F3577:H3577">
    <cfRule type="duplicateValues" dxfId="1039" priority="973"/>
  </conditionalFormatting>
  <conditionalFormatting sqref="F3578:H3578">
    <cfRule type="duplicateValues" dxfId="1038" priority="952"/>
  </conditionalFormatting>
  <conditionalFormatting sqref="F3580:H3580">
    <cfRule type="duplicateValues" dxfId="1037" priority="1071"/>
  </conditionalFormatting>
  <conditionalFormatting sqref="F3581:H3581">
    <cfRule type="duplicateValues" dxfId="1036" priority="1033"/>
  </conditionalFormatting>
  <conditionalFormatting sqref="F3582:H3582">
    <cfRule type="duplicateValues" dxfId="1035" priority="1012"/>
  </conditionalFormatting>
  <conditionalFormatting sqref="F3583:H3583">
    <cfRule type="duplicateValues" dxfId="1034" priority="992"/>
  </conditionalFormatting>
  <conditionalFormatting sqref="F3584:H3584">
    <cfRule type="duplicateValues" dxfId="1033" priority="888"/>
  </conditionalFormatting>
  <conditionalFormatting sqref="F3585:H3585">
    <cfRule type="duplicateValues" dxfId="1032" priority="867"/>
  </conditionalFormatting>
  <conditionalFormatting sqref="F3587:H3587">
    <cfRule type="duplicateValues" dxfId="1031" priority="1051"/>
  </conditionalFormatting>
  <conditionalFormatting sqref="F3588:H3588">
    <cfRule type="duplicateValues" dxfId="1030" priority="928"/>
  </conditionalFormatting>
  <conditionalFormatting sqref="F3589:H3589">
    <cfRule type="duplicateValues" dxfId="1029" priority="907"/>
  </conditionalFormatting>
  <conditionalFormatting sqref="F3590:H3590">
    <cfRule type="duplicateValues" dxfId="1028" priority="971"/>
  </conditionalFormatting>
  <conditionalFormatting sqref="F3591:H3591">
    <cfRule type="duplicateValues" dxfId="1027" priority="950"/>
  </conditionalFormatting>
  <conditionalFormatting sqref="F3592:H3592">
    <cfRule type="duplicateValues" dxfId="1026" priority="845"/>
  </conditionalFormatting>
  <conditionalFormatting sqref="F3594:H3594">
    <cfRule type="duplicateValues" dxfId="1025" priority="1069"/>
  </conditionalFormatting>
  <conditionalFormatting sqref="F3595:H3595">
    <cfRule type="duplicateValues" dxfId="1024" priority="1031"/>
  </conditionalFormatting>
  <conditionalFormatting sqref="F3596:H3596">
    <cfRule type="duplicateValues" dxfId="1023" priority="831"/>
  </conditionalFormatting>
  <conditionalFormatting sqref="F3597:H3597">
    <cfRule type="duplicateValues" dxfId="1022" priority="990"/>
  </conditionalFormatting>
  <conditionalFormatting sqref="F3598:H3598">
    <cfRule type="duplicateValues" dxfId="1021" priority="970"/>
  </conditionalFormatting>
  <conditionalFormatting sqref="F3599:H3599">
    <cfRule type="duplicateValues" dxfId="1020" priority="886"/>
  </conditionalFormatting>
  <conditionalFormatting sqref="F3601:H3601">
    <cfRule type="duplicateValues" dxfId="1019" priority="1049"/>
  </conditionalFormatting>
  <conditionalFormatting sqref="F3602:H3602">
    <cfRule type="duplicateValues" dxfId="1018" priority="926"/>
  </conditionalFormatting>
  <conditionalFormatting sqref="F3603:H3603">
    <cfRule type="duplicateValues" dxfId="1017" priority="905"/>
  </conditionalFormatting>
  <conditionalFormatting sqref="F3604:H3604">
    <cfRule type="duplicateValues" dxfId="1016" priority="948"/>
  </conditionalFormatting>
  <conditionalFormatting sqref="F3605:H3605">
    <cfRule type="duplicateValues" dxfId="1015" priority="843"/>
  </conditionalFormatting>
  <conditionalFormatting sqref="F3606:H3606">
    <cfRule type="duplicateValues" dxfId="1014" priority="864"/>
  </conditionalFormatting>
  <conditionalFormatting sqref="F3608:H3608">
    <cfRule type="duplicateValues" dxfId="1013" priority="1048"/>
  </conditionalFormatting>
  <conditionalFormatting sqref="F3609:H3609">
    <cfRule type="duplicateValues" dxfId="1012" priority="925"/>
  </conditionalFormatting>
  <conditionalFormatting sqref="F3611:H3611">
    <cfRule type="duplicateValues" dxfId="1011" priority="884"/>
  </conditionalFormatting>
  <conditionalFormatting sqref="F3612:H3612">
    <cfRule type="duplicateValues" dxfId="1010" priority="842"/>
  </conditionalFormatting>
  <conditionalFormatting sqref="F3613:H3613">
    <cfRule type="duplicateValues" dxfId="1009" priority="863"/>
  </conditionalFormatting>
  <conditionalFormatting sqref="F3615:H3615">
    <cfRule type="duplicateValues" dxfId="1008" priority="1068"/>
  </conditionalFormatting>
  <conditionalFormatting sqref="F3616:H3616">
    <cfRule type="duplicateValues" dxfId="1007" priority="1027"/>
  </conditionalFormatting>
  <conditionalFormatting sqref="F3617:H3617">
    <cfRule type="duplicateValues" dxfId="1006" priority="1008"/>
  </conditionalFormatting>
  <conditionalFormatting sqref="F3618:H3618">
    <cfRule type="duplicateValues" dxfId="1005" priority="988"/>
  </conditionalFormatting>
  <conditionalFormatting sqref="F3619:H3619">
    <cfRule type="duplicateValues" dxfId="1004" priority="967"/>
  </conditionalFormatting>
  <conditionalFormatting sqref="F3620:H3620">
    <cfRule type="duplicateValues" dxfId="1003" priority="946"/>
  </conditionalFormatting>
  <conditionalFormatting sqref="F3622:H3622">
    <cfRule type="duplicateValues" dxfId="1002" priority="1066"/>
  </conditionalFormatting>
  <conditionalFormatting sqref="F3623:H3623">
    <cfRule type="duplicateValues" dxfId="1001" priority="923"/>
  </conditionalFormatting>
  <conditionalFormatting sqref="F3624:H3624">
    <cfRule type="duplicateValues" dxfId="1000" priority="903"/>
  </conditionalFormatting>
  <conditionalFormatting sqref="F3625:H3625">
    <cfRule type="duplicateValues" dxfId="999" priority="882"/>
  </conditionalFormatting>
  <conditionalFormatting sqref="F3626:H3626">
    <cfRule type="duplicateValues" dxfId="998" priority="840"/>
  </conditionalFormatting>
  <conditionalFormatting sqref="F3627:H3627">
    <cfRule type="duplicateValues" dxfId="997" priority="861"/>
  </conditionalFormatting>
  <conditionalFormatting sqref="F3629:H3629">
    <cfRule type="duplicateValues" dxfId="996" priority="1046"/>
  </conditionalFormatting>
  <conditionalFormatting sqref="F3630:H3630">
    <cfRule type="duplicateValues" dxfId="995" priority="922"/>
  </conditionalFormatting>
  <conditionalFormatting sqref="F3631:H3631">
    <cfRule type="duplicateValues" dxfId="994" priority="1006"/>
  </conditionalFormatting>
  <conditionalFormatting sqref="F3632:H3632">
    <cfRule type="duplicateValues" dxfId="993" priority="986"/>
  </conditionalFormatting>
  <conditionalFormatting sqref="F3633:H3633">
    <cfRule type="duplicateValues" dxfId="992" priority="965"/>
  </conditionalFormatting>
  <conditionalFormatting sqref="F3634:H3634">
    <cfRule type="duplicateValues" dxfId="991" priority="943"/>
  </conditionalFormatting>
  <conditionalFormatting sqref="F3636:H3636">
    <cfRule type="duplicateValues" dxfId="990" priority="1064"/>
  </conditionalFormatting>
  <conditionalFormatting sqref="F3637:H3637">
    <cfRule type="duplicateValues" dxfId="989" priority="1025"/>
  </conditionalFormatting>
  <conditionalFormatting sqref="F3638:H3638">
    <cfRule type="duplicateValues" dxfId="988" priority="901"/>
  </conditionalFormatting>
  <conditionalFormatting sqref="F3639:H3639">
    <cfRule type="duplicateValues" dxfId="987" priority="880"/>
  </conditionalFormatting>
  <conditionalFormatting sqref="F3640:H3640">
    <cfRule type="duplicateValues" dxfId="986" priority="838"/>
  </conditionalFormatting>
  <conditionalFormatting sqref="F3641:H3641">
    <cfRule type="duplicateValues" dxfId="985" priority="859"/>
  </conditionalFormatting>
  <conditionalFormatting sqref="F3643:H3643">
    <cfRule type="duplicateValues" dxfId="984" priority="1045"/>
  </conditionalFormatting>
  <conditionalFormatting sqref="F3644:H3644">
    <cfRule type="duplicateValues" dxfId="983" priority="920"/>
  </conditionalFormatting>
  <conditionalFormatting sqref="F3645:H3645">
    <cfRule type="duplicateValues" dxfId="982" priority="900"/>
  </conditionalFormatting>
  <conditionalFormatting sqref="F3646:H3646">
    <cfRule type="duplicateValues" dxfId="981" priority="984"/>
  </conditionalFormatting>
  <conditionalFormatting sqref="F3647:H3647">
    <cfRule type="duplicateValues" dxfId="980" priority="963"/>
  </conditionalFormatting>
  <conditionalFormatting sqref="F3648:H3648">
    <cfRule type="duplicateValues" dxfId="979" priority="942"/>
  </conditionalFormatting>
  <conditionalFormatting sqref="F3650:H3650">
    <cfRule type="duplicateValues" dxfId="978" priority="1062"/>
  </conditionalFormatting>
  <conditionalFormatting sqref="F3651:H3651">
    <cfRule type="duplicateValues" dxfId="977" priority="1023"/>
  </conditionalFormatting>
  <conditionalFormatting sqref="F3652:H3652">
    <cfRule type="duplicateValues" dxfId="976" priority="1003"/>
  </conditionalFormatting>
  <conditionalFormatting sqref="F3653:H3653">
    <cfRule type="duplicateValues" dxfId="975" priority="878"/>
  </conditionalFormatting>
  <conditionalFormatting sqref="F3654:H3654">
    <cfRule type="duplicateValues" dxfId="974" priority="836"/>
  </conditionalFormatting>
  <conditionalFormatting sqref="F3655:H3655">
    <cfRule type="duplicateValues" dxfId="973" priority="857"/>
  </conditionalFormatting>
  <conditionalFormatting sqref="F3657:H3657">
    <cfRule type="duplicateValues" dxfId="972" priority="1044"/>
  </conditionalFormatting>
  <conditionalFormatting sqref="F3658:H3658">
    <cfRule type="duplicateValues" dxfId="971" priority="918"/>
  </conditionalFormatting>
  <conditionalFormatting sqref="F3659:H3659">
    <cfRule type="duplicateValues" dxfId="970" priority="898"/>
  </conditionalFormatting>
  <conditionalFormatting sqref="F3660:H3660">
    <cfRule type="duplicateValues" dxfId="969" priority="961"/>
  </conditionalFormatting>
  <conditionalFormatting sqref="F3661:H3661">
    <cfRule type="duplicateValues" dxfId="968" priority="940"/>
  </conditionalFormatting>
  <conditionalFormatting sqref="F3662:H3662">
    <cfRule type="duplicateValues" dxfId="967" priority="835"/>
  </conditionalFormatting>
  <conditionalFormatting sqref="F3664:H3664">
    <cfRule type="duplicateValues" dxfId="966" priority="1060"/>
  </conditionalFormatting>
  <conditionalFormatting sqref="F3665:H3665">
    <cfRule type="duplicateValues" dxfId="965" priority="1021"/>
  </conditionalFormatting>
  <conditionalFormatting sqref="F3666:H3666">
    <cfRule type="duplicateValues" dxfId="964" priority="1001"/>
  </conditionalFormatting>
  <conditionalFormatting sqref="F3667:H3667">
    <cfRule type="duplicateValues" dxfId="963" priority="981"/>
  </conditionalFormatting>
  <conditionalFormatting sqref="F3668:H3668">
    <cfRule type="duplicateValues" dxfId="962" priority="876"/>
  </conditionalFormatting>
  <conditionalFormatting sqref="F3669:H3669">
    <cfRule type="duplicateValues" dxfId="961" priority="855"/>
  </conditionalFormatting>
  <conditionalFormatting sqref="F3671:H3671">
    <cfRule type="duplicateValues" dxfId="960" priority="1042"/>
  </conditionalFormatting>
  <conditionalFormatting sqref="F3672:H3672">
    <cfRule type="duplicateValues" dxfId="959" priority="916"/>
  </conditionalFormatting>
  <conditionalFormatting sqref="F3673:H3673">
    <cfRule type="duplicateValues" dxfId="958" priority="896"/>
  </conditionalFormatting>
  <conditionalFormatting sqref="F3674:H3674">
    <cfRule type="duplicateValues" dxfId="957" priority="938"/>
  </conditionalFormatting>
  <conditionalFormatting sqref="F3675:H3675">
    <cfRule type="duplicateValues" dxfId="956" priority="833"/>
  </conditionalFormatting>
  <conditionalFormatting sqref="F3676:H3676">
    <cfRule type="duplicateValues" dxfId="955" priority="854"/>
  </conditionalFormatting>
  <conditionalFormatting sqref="F3678:H3678">
    <cfRule type="duplicateValues" dxfId="954" priority="1058"/>
  </conditionalFormatting>
  <conditionalFormatting sqref="F3679:H3679">
    <cfRule type="duplicateValues" dxfId="953" priority="1019"/>
  </conditionalFormatting>
  <conditionalFormatting sqref="F3680:H3680">
    <cfRule type="duplicateValues" dxfId="952" priority="999"/>
  </conditionalFormatting>
  <conditionalFormatting sqref="F3681:H3681">
    <cfRule type="duplicateValues" dxfId="951" priority="979"/>
  </conditionalFormatting>
  <conditionalFormatting sqref="F3682:H3682">
    <cfRule type="duplicateValues" dxfId="950" priority="958"/>
  </conditionalFormatting>
  <conditionalFormatting sqref="F3683:H3683">
    <cfRule type="duplicateValues" dxfId="949" priority="874"/>
  </conditionalFormatting>
  <conditionalFormatting sqref="H3531:H3534 H3536">
    <cfRule type="duplicateValues" dxfId="948" priority="825"/>
  </conditionalFormatting>
  <conditionalFormatting sqref="H3535">
    <cfRule type="duplicateValues" dxfId="947" priority="818"/>
  </conditionalFormatting>
  <conditionalFormatting sqref="H3610">
    <cfRule type="duplicateValues" dxfId="946" priority="821"/>
  </conditionalFormatting>
  <conditionalFormatting sqref="I3531:J3534 I3536:J3536">
    <cfRule type="duplicateValues" dxfId="945" priority="826"/>
  </conditionalFormatting>
  <conditionalFormatting sqref="I3610:J3610">
    <cfRule type="duplicateValues" dxfId="944" priority="822"/>
  </conditionalFormatting>
  <conditionalFormatting sqref="I3535:K3535">
    <cfRule type="duplicateValues" dxfId="943" priority="817"/>
  </conditionalFormatting>
  <conditionalFormatting sqref="I3538:K3538">
    <cfRule type="duplicateValues" dxfId="942" priority="1077"/>
  </conditionalFormatting>
  <conditionalFormatting sqref="I3539:K3539">
    <cfRule type="duplicateValues" dxfId="941" priority="957"/>
  </conditionalFormatting>
  <conditionalFormatting sqref="I3540:K3540">
    <cfRule type="duplicateValues" dxfId="940" priority="978"/>
  </conditionalFormatting>
  <conditionalFormatting sqref="I3541:K3541">
    <cfRule type="duplicateValues" dxfId="939" priority="1039"/>
  </conditionalFormatting>
  <conditionalFormatting sqref="I3542:K3542">
    <cfRule type="duplicateValues" dxfId="938" priority="998"/>
  </conditionalFormatting>
  <conditionalFormatting sqref="I3543:K3543">
    <cfRule type="duplicateValues" dxfId="937" priority="1018"/>
  </conditionalFormatting>
  <conditionalFormatting sqref="I3545:K3545">
    <cfRule type="duplicateValues" dxfId="936" priority="935"/>
  </conditionalFormatting>
  <conditionalFormatting sqref="I3546:K3546">
    <cfRule type="duplicateValues" dxfId="935" priority="1076"/>
  </conditionalFormatting>
  <conditionalFormatting sqref="I3547:K3547">
    <cfRule type="duplicateValues" dxfId="934" priority="893"/>
  </conditionalFormatting>
  <conditionalFormatting sqref="I3548:K3548">
    <cfRule type="duplicateValues" dxfId="933" priority="872"/>
  </conditionalFormatting>
  <conditionalFormatting sqref="I3549:K3549">
    <cfRule type="duplicateValues" dxfId="932" priority="851"/>
  </conditionalFormatting>
  <conditionalFormatting sqref="I3550:K3550">
    <cfRule type="duplicateValues" dxfId="931" priority="913"/>
  </conditionalFormatting>
  <conditionalFormatting sqref="I3552:K3552">
    <cfRule type="duplicateValues" dxfId="930" priority="1016"/>
  </conditionalFormatting>
  <conditionalFormatting sqref="I3553:K3553">
    <cfRule type="duplicateValues" dxfId="929" priority="933"/>
  </conditionalFormatting>
  <conditionalFormatting sqref="I3554:K3554">
    <cfRule type="duplicateValues" dxfId="928" priority="934"/>
  </conditionalFormatting>
  <conditionalFormatting sqref="I3555:K3555">
    <cfRule type="duplicateValues" dxfId="927" priority="996"/>
  </conditionalFormatting>
  <conditionalFormatting sqref="I3556:K3556">
    <cfRule type="duplicateValues" dxfId="926" priority="955"/>
  </conditionalFormatting>
  <conditionalFormatting sqref="I3557:K3557">
    <cfRule type="duplicateValues" dxfId="925" priority="976"/>
  </conditionalFormatting>
  <conditionalFormatting sqref="I3559:K3559">
    <cfRule type="duplicateValues" dxfId="924" priority="911"/>
  </conditionalFormatting>
  <conditionalFormatting sqref="I3560:K3560">
    <cfRule type="duplicateValues" dxfId="923" priority="849"/>
  </conditionalFormatting>
  <conditionalFormatting sqref="I3561:K3561">
    <cfRule type="duplicateValues" dxfId="922" priority="1036"/>
  </conditionalFormatting>
  <conditionalFormatting sqref="I3562:K3562">
    <cfRule type="duplicateValues" dxfId="921" priority="1074"/>
  </conditionalFormatting>
  <conditionalFormatting sqref="I3563:K3563">
    <cfRule type="duplicateValues" dxfId="920" priority="891"/>
  </conditionalFormatting>
  <conditionalFormatting sqref="I3564:K3564">
    <cfRule type="duplicateValues" dxfId="919" priority="870"/>
  </conditionalFormatting>
  <conditionalFormatting sqref="I3566:K3566">
    <cfRule type="duplicateValues" dxfId="918" priority="974"/>
  </conditionalFormatting>
  <conditionalFormatting sqref="I3567:K3567">
    <cfRule type="duplicateValues" dxfId="917" priority="994"/>
  </conditionalFormatting>
  <conditionalFormatting sqref="I3568:K3568">
    <cfRule type="duplicateValues" dxfId="916" priority="1054"/>
  </conditionalFormatting>
  <conditionalFormatting sqref="I3569:K3569">
    <cfRule type="duplicateValues" dxfId="915" priority="953"/>
  </conditionalFormatting>
  <conditionalFormatting sqref="I3570:K3570">
    <cfRule type="duplicateValues" dxfId="914" priority="910"/>
  </conditionalFormatting>
  <conditionalFormatting sqref="I3571:K3571">
    <cfRule type="duplicateValues" dxfId="913" priority="931"/>
  </conditionalFormatting>
  <conditionalFormatting sqref="I3573:K3573">
    <cfRule type="duplicateValues" dxfId="912" priority="847"/>
  </conditionalFormatting>
  <conditionalFormatting sqref="I3574:K3574">
    <cfRule type="duplicateValues" dxfId="911" priority="889"/>
  </conditionalFormatting>
  <conditionalFormatting sqref="I3575:K3575">
    <cfRule type="duplicateValues" dxfId="910" priority="868"/>
  </conditionalFormatting>
  <conditionalFormatting sqref="I3576:K3576">
    <cfRule type="duplicateValues" dxfId="909" priority="1013"/>
  </conditionalFormatting>
  <conditionalFormatting sqref="I3577:K3577">
    <cfRule type="duplicateValues" dxfId="908" priority="1034"/>
  </conditionalFormatting>
  <conditionalFormatting sqref="I3578:K3578">
    <cfRule type="duplicateValues" dxfId="907" priority="1072"/>
  </conditionalFormatting>
  <conditionalFormatting sqref="I3580:K3580">
    <cfRule type="duplicateValues" dxfId="906" priority="929"/>
  </conditionalFormatting>
  <conditionalFormatting sqref="I3581:K3581">
    <cfRule type="duplicateValues" dxfId="905" priority="951"/>
  </conditionalFormatting>
  <conditionalFormatting sqref="I3582:K3582">
    <cfRule type="duplicateValues" dxfId="904" priority="972"/>
  </conditionalFormatting>
  <conditionalFormatting sqref="I3583:K3583">
    <cfRule type="duplicateValues" dxfId="903" priority="1052"/>
  </conditionalFormatting>
  <conditionalFormatting sqref="I3584:K3584">
    <cfRule type="duplicateValues" dxfId="902" priority="908"/>
  </conditionalFormatting>
  <conditionalFormatting sqref="I3585:K3585">
    <cfRule type="duplicateValues" dxfId="901" priority="846"/>
  </conditionalFormatting>
  <conditionalFormatting sqref="I3587:K3587">
    <cfRule type="duplicateValues" dxfId="900" priority="866"/>
  </conditionalFormatting>
  <conditionalFormatting sqref="I3588:K3588">
    <cfRule type="duplicateValues" dxfId="899" priority="1032"/>
  </conditionalFormatting>
  <conditionalFormatting sqref="I3589:K3589">
    <cfRule type="duplicateValues" dxfId="898" priority="1070"/>
  </conditionalFormatting>
  <conditionalFormatting sqref="I3590:K3590">
    <cfRule type="duplicateValues" dxfId="897" priority="991"/>
  </conditionalFormatting>
  <conditionalFormatting sqref="I3591:K3591">
    <cfRule type="duplicateValues" dxfId="896" priority="1011"/>
  </conditionalFormatting>
  <conditionalFormatting sqref="I3592:K3592">
    <cfRule type="duplicateValues" dxfId="895" priority="887"/>
  </conditionalFormatting>
  <conditionalFormatting sqref="I3594:K3594">
    <cfRule type="duplicateValues" dxfId="894" priority="844"/>
  </conditionalFormatting>
  <conditionalFormatting sqref="I3595:K3595">
    <cfRule type="duplicateValues" dxfId="893" priority="906"/>
  </conditionalFormatting>
  <conditionalFormatting sqref="I3596:K3596">
    <cfRule type="duplicateValues" dxfId="892" priority="927"/>
  </conditionalFormatting>
  <conditionalFormatting sqref="I3597:K3597">
    <cfRule type="duplicateValues" dxfId="891" priority="949"/>
  </conditionalFormatting>
  <conditionalFormatting sqref="I3598:K3598">
    <cfRule type="duplicateValues" dxfId="890" priority="1050"/>
  </conditionalFormatting>
  <conditionalFormatting sqref="I3599:K3599">
    <cfRule type="duplicateValues" dxfId="889" priority="865"/>
  </conditionalFormatting>
  <conditionalFormatting sqref="I3601:K3601">
    <cfRule type="duplicateValues" dxfId="888" priority="885"/>
  </conditionalFormatting>
  <conditionalFormatting sqref="I3602:K3602">
    <cfRule type="duplicateValues" dxfId="887" priority="989"/>
  </conditionalFormatting>
  <conditionalFormatting sqref="I3603:K3603">
    <cfRule type="duplicateValues" dxfId="886" priority="1010"/>
  </conditionalFormatting>
  <conditionalFormatting sqref="I3604:K3604">
    <cfRule type="duplicateValues" dxfId="885" priority="969"/>
  </conditionalFormatting>
  <conditionalFormatting sqref="I3605:K3605">
    <cfRule type="duplicateValues" dxfId="884" priority="1030"/>
  </conditionalFormatting>
  <conditionalFormatting sqref="I3606:K3606">
    <cfRule type="duplicateValues" dxfId="883" priority="830"/>
  </conditionalFormatting>
  <conditionalFormatting sqref="I3608:K3608">
    <cfRule type="duplicateValues" dxfId="882" priority="947"/>
  </conditionalFormatting>
  <conditionalFormatting sqref="I3609:K3609">
    <cfRule type="duplicateValues" dxfId="881" priority="968"/>
  </conditionalFormatting>
  <conditionalFormatting sqref="I3611:K3611">
    <cfRule type="duplicateValues" dxfId="880" priority="1067"/>
  </conditionalFormatting>
  <conditionalFormatting sqref="I3612:K3612">
    <cfRule type="duplicateValues" dxfId="879" priority="1009"/>
  </conditionalFormatting>
  <conditionalFormatting sqref="I3613:K3613">
    <cfRule type="duplicateValues" dxfId="878" priority="1029"/>
  </conditionalFormatting>
  <conditionalFormatting sqref="I3615:K3615">
    <cfRule type="duplicateValues" dxfId="877" priority="1047"/>
  </conditionalFormatting>
  <conditionalFormatting sqref="I3616:K3616">
    <cfRule type="duplicateValues" dxfId="876" priority="883"/>
  </conditionalFormatting>
  <conditionalFormatting sqref="I3617:K3617">
    <cfRule type="duplicateValues" dxfId="875" priority="862"/>
  </conditionalFormatting>
  <conditionalFormatting sqref="I3618:K3618">
    <cfRule type="duplicateValues" dxfId="874" priority="841"/>
  </conditionalFormatting>
  <conditionalFormatting sqref="I3619:K3619">
    <cfRule type="duplicateValues" dxfId="873" priority="904"/>
  </conditionalFormatting>
  <conditionalFormatting sqref="I3620:K3620">
    <cfRule type="duplicateValues" dxfId="872" priority="924"/>
  </conditionalFormatting>
  <conditionalFormatting sqref="I3622:K3622">
    <cfRule type="duplicateValues" dxfId="871" priority="1028"/>
  </conditionalFormatting>
  <conditionalFormatting sqref="I3623:K3623">
    <cfRule type="duplicateValues" dxfId="870" priority="829"/>
  </conditionalFormatting>
  <conditionalFormatting sqref="I3624:K3624">
    <cfRule type="duplicateValues" dxfId="869" priority="945"/>
  </conditionalFormatting>
  <conditionalFormatting sqref="I3625:K3625">
    <cfRule type="duplicateValues" dxfId="868" priority="1007"/>
  </conditionalFormatting>
  <conditionalFormatting sqref="I3626:K3626">
    <cfRule type="duplicateValues" dxfId="867" priority="966"/>
  </conditionalFormatting>
  <conditionalFormatting sqref="I3627:K3627">
    <cfRule type="duplicateValues" dxfId="866" priority="987"/>
  </conditionalFormatting>
  <conditionalFormatting sqref="I3629:K3629">
    <cfRule type="duplicateValues" dxfId="865" priority="1026"/>
  </conditionalFormatting>
  <conditionalFormatting sqref="I3630:K3630">
    <cfRule type="duplicateValues" dxfId="864" priority="902"/>
  </conditionalFormatting>
  <conditionalFormatting sqref="I3631:K3631">
    <cfRule type="duplicateValues" dxfId="863" priority="1065"/>
  </conditionalFormatting>
  <conditionalFormatting sqref="I3632:K3632">
    <cfRule type="duplicateValues" dxfId="862" priority="881"/>
  </conditionalFormatting>
  <conditionalFormatting sqref="I3633:K3633">
    <cfRule type="duplicateValues" dxfId="861" priority="860"/>
  </conditionalFormatting>
  <conditionalFormatting sqref="I3634:K3634">
    <cfRule type="duplicateValues" dxfId="860" priority="839"/>
  </conditionalFormatting>
  <conditionalFormatting sqref="I3636:K3636">
    <cfRule type="duplicateValues" dxfId="859" priority="985"/>
  </conditionalFormatting>
  <conditionalFormatting sqref="I3637:K3637">
    <cfRule type="duplicateValues" dxfId="858" priority="1005"/>
  </conditionalFormatting>
  <conditionalFormatting sqref="I3638:K3638">
    <cfRule type="duplicateValues" dxfId="857" priority="828"/>
  </conditionalFormatting>
  <conditionalFormatting sqref="I3639:K3639">
    <cfRule type="duplicateValues" dxfId="856" priority="964"/>
  </conditionalFormatting>
  <conditionalFormatting sqref="I3640:K3640">
    <cfRule type="duplicateValues" dxfId="855" priority="921"/>
  </conditionalFormatting>
  <conditionalFormatting sqref="I3641:K3641">
    <cfRule type="duplicateValues" dxfId="854" priority="944"/>
  </conditionalFormatting>
  <conditionalFormatting sqref="I3643:K3643">
    <cfRule type="duplicateValues" dxfId="853" priority="1004"/>
  </conditionalFormatting>
  <conditionalFormatting sqref="I3644:K3644">
    <cfRule type="duplicateValues" dxfId="852" priority="858"/>
  </conditionalFormatting>
  <conditionalFormatting sqref="I3645:K3645">
    <cfRule type="duplicateValues" dxfId="851" priority="837"/>
  </conditionalFormatting>
  <conditionalFormatting sqref="I3646:K3646">
    <cfRule type="duplicateValues" dxfId="850" priority="1024"/>
  </conditionalFormatting>
  <conditionalFormatting sqref="I3647:K3647">
    <cfRule type="duplicateValues" dxfId="849" priority="1063"/>
  </conditionalFormatting>
  <conditionalFormatting sqref="I3648:K3648">
    <cfRule type="duplicateValues" dxfId="848" priority="879"/>
  </conditionalFormatting>
  <conditionalFormatting sqref="I3650:K3650">
    <cfRule type="duplicateValues" dxfId="847" priority="941"/>
  </conditionalFormatting>
  <conditionalFormatting sqref="I3651:K3651">
    <cfRule type="duplicateValues" dxfId="846" priority="962"/>
  </conditionalFormatting>
  <conditionalFormatting sqref="I3652:K3652">
    <cfRule type="duplicateValues" dxfId="845" priority="983"/>
  </conditionalFormatting>
  <conditionalFormatting sqref="I3653:K3653">
    <cfRule type="duplicateValues" dxfId="844" priority="919"/>
  </conditionalFormatting>
  <conditionalFormatting sqref="I3654:K3654">
    <cfRule type="duplicateValues" dxfId="843" priority="1043"/>
  </conditionalFormatting>
  <conditionalFormatting sqref="I3655:K3655">
    <cfRule type="duplicateValues" dxfId="842" priority="899"/>
  </conditionalFormatting>
  <conditionalFormatting sqref="I3657:K3657">
    <cfRule type="duplicateValues" dxfId="841" priority="982"/>
  </conditionalFormatting>
  <conditionalFormatting sqref="I3658:K3658">
    <cfRule type="duplicateValues" dxfId="840" priority="1061"/>
  </conditionalFormatting>
  <conditionalFormatting sqref="I3659:K3659">
    <cfRule type="duplicateValues" dxfId="839" priority="877"/>
  </conditionalFormatting>
  <conditionalFormatting sqref="I3660:K3660">
    <cfRule type="duplicateValues" dxfId="838" priority="1002"/>
  </conditionalFormatting>
  <conditionalFormatting sqref="I3661:K3661">
    <cfRule type="duplicateValues" dxfId="837" priority="1022"/>
  </conditionalFormatting>
  <conditionalFormatting sqref="I3662:K3662">
    <cfRule type="duplicateValues" dxfId="836" priority="856"/>
  </conditionalFormatting>
  <conditionalFormatting sqref="I3664:K3664">
    <cfRule type="duplicateValues" dxfId="835" priority="897"/>
  </conditionalFormatting>
  <conditionalFormatting sqref="I3665:K3665">
    <cfRule type="duplicateValues" dxfId="834" priority="917"/>
  </conditionalFormatting>
  <conditionalFormatting sqref="I3666:K3666">
    <cfRule type="duplicateValues" dxfId="833" priority="939"/>
  </conditionalFormatting>
  <conditionalFormatting sqref="I3667:K3667">
    <cfRule type="duplicateValues" dxfId="832" priority="960"/>
  </conditionalFormatting>
  <conditionalFormatting sqref="I3668:K3668">
    <cfRule type="duplicateValues" dxfId="831" priority="834"/>
  </conditionalFormatting>
  <conditionalFormatting sqref="I3669:K3669">
    <cfRule type="duplicateValues" dxfId="830" priority="1041"/>
  </conditionalFormatting>
  <conditionalFormatting sqref="I3671:K3671">
    <cfRule type="duplicateValues" dxfId="829" priority="959"/>
  </conditionalFormatting>
  <conditionalFormatting sqref="I3672:K3672">
    <cfRule type="duplicateValues" dxfId="828" priority="1000"/>
  </conditionalFormatting>
  <conditionalFormatting sqref="I3673:K3673">
    <cfRule type="duplicateValues" dxfId="827" priority="1020"/>
  </conditionalFormatting>
  <conditionalFormatting sqref="I3674:K3674">
    <cfRule type="duplicateValues" dxfId="826" priority="980"/>
  </conditionalFormatting>
  <conditionalFormatting sqref="I3675:K3675">
    <cfRule type="duplicateValues" dxfId="825" priority="1059"/>
  </conditionalFormatting>
  <conditionalFormatting sqref="I3676:K3676">
    <cfRule type="duplicateValues" dxfId="824" priority="875"/>
  </conditionalFormatting>
  <conditionalFormatting sqref="I3678:K3678">
    <cfRule type="duplicateValues" dxfId="823" priority="853"/>
  </conditionalFormatting>
  <conditionalFormatting sqref="I3679:K3679">
    <cfRule type="duplicateValues" dxfId="822" priority="832"/>
  </conditionalFormatting>
  <conditionalFormatting sqref="I3680:K3680">
    <cfRule type="duplicateValues" dxfId="821" priority="895"/>
  </conditionalFormatting>
  <conditionalFormatting sqref="I3681:K3681">
    <cfRule type="duplicateValues" dxfId="820" priority="915"/>
  </conditionalFormatting>
  <conditionalFormatting sqref="I3682:K3682">
    <cfRule type="duplicateValues" dxfId="819" priority="937"/>
  </conditionalFormatting>
  <conditionalFormatting sqref="I3683:K3683">
    <cfRule type="duplicateValues" dxfId="818" priority="1040"/>
  </conditionalFormatting>
  <conditionalFormatting sqref="K3531:K3534 K3536">
    <cfRule type="duplicateValues" dxfId="817" priority="824"/>
  </conditionalFormatting>
  <conditionalFormatting sqref="K3610">
    <cfRule type="duplicateValues" dxfId="816" priority="820"/>
  </conditionalFormatting>
  <conditionalFormatting sqref="G3531:G3683">
    <cfRule type="containsText" dxfId="815" priority="815" operator="containsText" text="G[Book1.xlsx]All!$F$1">
      <formula>NOT(ISERROR(SEARCH("G[Book1.xlsx]All!$F$1",G3531)))</formula>
    </cfRule>
    <cfRule type="containsText" dxfId="814" priority="816" operator="containsText" text="GREY$F:$F">
      <formula>NOT(ISERROR(SEARCH("GREY$F:$F",G3531)))</formula>
    </cfRule>
  </conditionalFormatting>
  <conditionalFormatting sqref="K3737">
    <cfRule type="containsText" dxfId="813" priority="814" operator="containsText" text="BYE">
      <formula>NOT(ISERROR(SEARCH("BYE",K3737)))</formula>
    </cfRule>
  </conditionalFormatting>
  <conditionalFormatting sqref="K3685:K3788">
    <cfRule type="containsText" dxfId="812" priority="812" operator="containsText" text="SOUT">
      <formula>NOT(ISERROR(SEARCH("SOUT",K3685)))</formula>
    </cfRule>
    <cfRule type="containsText" dxfId="811" priority="813" operator="containsText" text="Fylde 5 (W)">
      <formula>NOT(ISERROR(SEARCH("Fylde 5 (W)",K3685)))</formula>
    </cfRule>
  </conditionalFormatting>
  <conditionalFormatting sqref="K3797">
    <cfRule type="duplicateValues" dxfId="810" priority="811"/>
  </conditionalFormatting>
  <conditionalFormatting sqref="K3798">
    <cfRule type="duplicateValues" dxfId="809" priority="750"/>
  </conditionalFormatting>
  <conditionalFormatting sqref="K3799">
    <cfRule type="duplicateValues" dxfId="808" priority="761"/>
  </conditionalFormatting>
  <conditionalFormatting sqref="K3800">
    <cfRule type="duplicateValues" dxfId="807" priority="794"/>
  </conditionalFormatting>
  <conditionalFormatting sqref="K3801">
    <cfRule type="duplicateValues" dxfId="806" priority="772"/>
  </conditionalFormatting>
  <conditionalFormatting sqref="K3802">
    <cfRule type="duplicateValues" dxfId="805" priority="783"/>
  </conditionalFormatting>
  <conditionalFormatting sqref="K3804">
    <cfRule type="duplicateValues" dxfId="804" priority="739"/>
  </conditionalFormatting>
  <conditionalFormatting sqref="K3805">
    <cfRule type="duplicateValues" dxfId="803" priority="810"/>
  </conditionalFormatting>
  <conditionalFormatting sqref="K3806">
    <cfRule type="duplicateValues" dxfId="802" priority="718"/>
  </conditionalFormatting>
  <conditionalFormatting sqref="K3807">
    <cfRule type="duplicateValues" dxfId="801" priority="708"/>
  </conditionalFormatting>
  <conditionalFormatting sqref="K3808">
    <cfRule type="duplicateValues" dxfId="800" priority="698"/>
  </conditionalFormatting>
  <conditionalFormatting sqref="K3809">
    <cfRule type="duplicateValues" dxfId="799" priority="728"/>
  </conditionalFormatting>
  <conditionalFormatting sqref="K3811">
    <cfRule type="duplicateValues" dxfId="798" priority="782"/>
  </conditionalFormatting>
  <conditionalFormatting sqref="K3812">
    <cfRule type="duplicateValues" dxfId="797" priority="737"/>
  </conditionalFormatting>
  <conditionalFormatting sqref="K3813">
    <cfRule type="duplicateValues" dxfId="796" priority="738"/>
  </conditionalFormatting>
  <conditionalFormatting sqref="K3814">
    <cfRule type="duplicateValues" dxfId="795" priority="771"/>
  </conditionalFormatting>
  <conditionalFormatting sqref="K3815">
    <cfRule type="duplicateValues" dxfId="794" priority="749"/>
  </conditionalFormatting>
  <conditionalFormatting sqref="K3816">
    <cfRule type="duplicateValues" dxfId="793" priority="760"/>
  </conditionalFormatting>
  <conditionalFormatting sqref="K3818">
    <cfRule type="duplicateValues" dxfId="792" priority="727"/>
  </conditionalFormatting>
  <conditionalFormatting sqref="K3819">
    <cfRule type="duplicateValues" dxfId="791" priority="697"/>
  </conditionalFormatting>
  <conditionalFormatting sqref="K3820">
    <cfRule type="duplicateValues" dxfId="790" priority="793"/>
  </conditionalFormatting>
  <conditionalFormatting sqref="K3821">
    <cfRule type="duplicateValues" dxfId="789" priority="809"/>
  </conditionalFormatting>
  <conditionalFormatting sqref="K3822">
    <cfRule type="duplicateValues" dxfId="788" priority="717"/>
  </conditionalFormatting>
  <conditionalFormatting sqref="K3823">
    <cfRule type="duplicateValues" dxfId="787" priority="707"/>
  </conditionalFormatting>
  <conditionalFormatting sqref="K3825">
    <cfRule type="duplicateValues" dxfId="786" priority="759"/>
  </conditionalFormatting>
  <conditionalFormatting sqref="K3826">
    <cfRule type="duplicateValues" dxfId="785" priority="770"/>
  </conditionalFormatting>
  <conditionalFormatting sqref="K3827">
    <cfRule type="duplicateValues" dxfId="784" priority="801"/>
  </conditionalFormatting>
  <conditionalFormatting sqref="K3828">
    <cfRule type="duplicateValues" dxfId="783" priority="748"/>
  </conditionalFormatting>
  <conditionalFormatting sqref="K3829">
    <cfRule type="duplicateValues" dxfId="782" priority="726"/>
  </conditionalFormatting>
  <conditionalFormatting sqref="K3830">
    <cfRule type="duplicateValues" dxfId="781" priority="736"/>
  </conditionalFormatting>
  <conditionalFormatting sqref="K3832">
    <cfRule type="duplicateValues" dxfId="780" priority="696"/>
  </conditionalFormatting>
  <conditionalFormatting sqref="K3833">
    <cfRule type="duplicateValues" dxfId="779" priority="716"/>
  </conditionalFormatting>
  <conditionalFormatting sqref="K3834">
    <cfRule type="duplicateValues" dxfId="778" priority="706"/>
  </conditionalFormatting>
  <conditionalFormatting sqref="K3835">
    <cfRule type="duplicateValues" dxfId="777" priority="781"/>
  </conditionalFormatting>
  <conditionalFormatting sqref="K3836">
    <cfRule type="duplicateValues" dxfId="776" priority="792"/>
  </conditionalFormatting>
  <conditionalFormatting sqref="K3837">
    <cfRule type="duplicateValues" dxfId="775" priority="808"/>
  </conditionalFormatting>
  <conditionalFormatting sqref="K3839">
    <cfRule type="duplicateValues" dxfId="774" priority="735"/>
  </conditionalFormatting>
  <conditionalFormatting sqref="K3840">
    <cfRule type="duplicateValues" dxfId="773" priority="747"/>
  </conditionalFormatting>
  <conditionalFormatting sqref="K3841">
    <cfRule type="duplicateValues" dxfId="772" priority="758"/>
  </conditionalFormatting>
  <conditionalFormatting sqref="K3842">
    <cfRule type="duplicateValues" dxfId="771" priority="800"/>
  </conditionalFormatting>
  <conditionalFormatting sqref="K3843">
    <cfRule type="duplicateValues" dxfId="770" priority="725"/>
  </conditionalFormatting>
  <conditionalFormatting sqref="K3844">
    <cfRule type="duplicateValues" dxfId="769" priority="695"/>
  </conditionalFormatting>
  <conditionalFormatting sqref="K3846">
    <cfRule type="duplicateValues" dxfId="768" priority="705"/>
  </conditionalFormatting>
  <conditionalFormatting sqref="K3847">
    <cfRule type="duplicateValues" dxfId="767" priority="791"/>
  </conditionalFormatting>
  <conditionalFormatting sqref="K3848">
    <cfRule type="duplicateValues" dxfId="766" priority="807"/>
  </conditionalFormatting>
  <conditionalFormatting sqref="K3849">
    <cfRule type="duplicateValues" dxfId="765" priority="769"/>
  </conditionalFormatting>
  <conditionalFormatting sqref="K3850">
    <cfRule type="duplicateValues" dxfId="764" priority="780"/>
  </conditionalFormatting>
  <conditionalFormatting sqref="K3851">
    <cfRule type="duplicateValues" dxfId="763" priority="715"/>
  </conditionalFormatting>
  <conditionalFormatting sqref="K3853">
    <cfRule type="duplicateValues" dxfId="762" priority="694"/>
  </conditionalFormatting>
  <conditionalFormatting sqref="K3854">
    <cfRule type="duplicateValues" dxfId="761" priority="724"/>
  </conditionalFormatting>
  <conditionalFormatting sqref="K3855">
    <cfRule type="duplicateValues" dxfId="760" priority="734"/>
  </conditionalFormatting>
  <conditionalFormatting sqref="K3856">
    <cfRule type="duplicateValues" dxfId="759" priority="746"/>
  </conditionalFormatting>
  <conditionalFormatting sqref="K3857">
    <cfRule type="duplicateValues" dxfId="758" priority="799"/>
  </conditionalFormatting>
  <conditionalFormatting sqref="K3858">
    <cfRule type="duplicateValues" dxfId="757" priority="704"/>
  </conditionalFormatting>
  <conditionalFormatting sqref="K3860">
    <cfRule type="duplicateValues" dxfId="756" priority="714"/>
  </conditionalFormatting>
  <conditionalFormatting sqref="K3861">
    <cfRule type="duplicateValues" dxfId="755" priority="768"/>
  </conditionalFormatting>
  <conditionalFormatting sqref="K3862">
    <cfRule type="duplicateValues" dxfId="754" priority="779"/>
  </conditionalFormatting>
  <conditionalFormatting sqref="K3863">
    <cfRule type="duplicateValues" dxfId="753" priority="757"/>
  </conditionalFormatting>
  <conditionalFormatting sqref="K3864">
    <cfRule type="duplicateValues" dxfId="752" priority="790"/>
  </conditionalFormatting>
  <conditionalFormatting sqref="K3865">
    <cfRule type="duplicateValues" dxfId="751" priority="688"/>
  </conditionalFormatting>
  <conditionalFormatting sqref="K3867">
    <cfRule type="duplicateValues" dxfId="750" priority="745"/>
  </conditionalFormatting>
  <conditionalFormatting sqref="K3868">
    <cfRule type="duplicateValues" dxfId="749" priority="756"/>
  </conditionalFormatting>
  <conditionalFormatting sqref="K3869">
    <cfRule type="duplicateValues" dxfId="748" priority="767"/>
  </conditionalFormatting>
  <conditionalFormatting sqref="K3870">
    <cfRule type="duplicateValues" dxfId="747" priority="806"/>
  </conditionalFormatting>
  <conditionalFormatting sqref="K3871">
    <cfRule type="duplicateValues" dxfId="746" priority="778"/>
  </conditionalFormatting>
  <conditionalFormatting sqref="K3872">
    <cfRule type="duplicateValues" dxfId="745" priority="789"/>
  </conditionalFormatting>
  <conditionalFormatting sqref="K3874">
    <cfRule type="duplicateValues" dxfId="744" priority="798"/>
  </conditionalFormatting>
  <conditionalFormatting sqref="K3875">
    <cfRule type="duplicateValues" dxfId="743" priority="713"/>
  </conditionalFormatting>
  <conditionalFormatting sqref="K3876">
    <cfRule type="duplicateValues" dxfId="742" priority="703"/>
  </conditionalFormatting>
  <conditionalFormatting sqref="K3877">
    <cfRule type="duplicateValues" dxfId="741" priority="693"/>
  </conditionalFormatting>
  <conditionalFormatting sqref="K3878">
    <cfRule type="duplicateValues" dxfId="740" priority="723"/>
  </conditionalFormatting>
  <conditionalFormatting sqref="K3879">
    <cfRule type="duplicateValues" dxfId="739" priority="733"/>
  </conditionalFormatting>
  <conditionalFormatting sqref="K3881">
    <cfRule type="duplicateValues" dxfId="738" priority="788"/>
  </conditionalFormatting>
  <conditionalFormatting sqref="K3882">
    <cfRule type="duplicateValues" dxfId="737" priority="687"/>
  </conditionalFormatting>
  <conditionalFormatting sqref="K3883">
    <cfRule type="duplicateValues" dxfId="736" priority="744"/>
  </conditionalFormatting>
  <conditionalFormatting sqref="K3884">
    <cfRule type="duplicateValues" dxfId="735" priority="777"/>
  </conditionalFormatting>
  <conditionalFormatting sqref="K3885">
    <cfRule type="duplicateValues" dxfId="734" priority="755"/>
  </conditionalFormatting>
  <conditionalFormatting sqref="K3886">
    <cfRule type="duplicateValues" dxfId="733" priority="766"/>
  </conditionalFormatting>
  <conditionalFormatting sqref="K3888">
    <cfRule type="duplicateValues" dxfId="732" priority="787"/>
  </conditionalFormatting>
  <conditionalFormatting sqref="K3889">
    <cfRule type="duplicateValues" dxfId="731" priority="722"/>
  </conditionalFormatting>
  <conditionalFormatting sqref="K3890">
    <cfRule type="duplicateValues" dxfId="730" priority="805"/>
  </conditionalFormatting>
  <conditionalFormatting sqref="K3891">
    <cfRule type="duplicateValues" dxfId="729" priority="712"/>
  </conditionalFormatting>
  <conditionalFormatting sqref="K3892">
    <cfRule type="duplicateValues" dxfId="728" priority="702"/>
  </conditionalFormatting>
  <conditionalFormatting sqref="K3893">
    <cfRule type="duplicateValues" dxfId="727" priority="692"/>
  </conditionalFormatting>
  <conditionalFormatting sqref="K3895">
    <cfRule type="duplicateValues" dxfId="726" priority="765"/>
  </conditionalFormatting>
  <conditionalFormatting sqref="K3896">
    <cfRule type="duplicateValues" dxfId="725" priority="776"/>
  </conditionalFormatting>
  <conditionalFormatting sqref="K3897">
    <cfRule type="duplicateValues" dxfId="724" priority="686"/>
  </conditionalFormatting>
  <conditionalFormatting sqref="K3898">
    <cfRule type="duplicateValues" dxfId="723" priority="754"/>
  </conditionalFormatting>
  <conditionalFormatting sqref="K3899">
    <cfRule type="duplicateValues" dxfId="722" priority="732"/>
  </conditionalFormatting>
  <conditionalFormatting sqref="K3900">
    <cfRule type="duplicateValues" dxfId="721" priority="743"/>
  </conditionalFormatting>
  <conditionalFormatting sqref="K3902">
    <cfRule type="duplicateValues" dxfId="720" priority="775"/>
  </conditionalFormatting>
  <conditionalFormatting sqref="K3903">
    <cfRule type="duplicateValues" dxfId="719" priority="701"/>
  </conditionalFormatting>
  <conditionalFormatting sqref="K3904">
    <cfRule type="duplicateValues" dxfId="718" priority="691"/>
  </conditionalFormatting>
  <conditionalFormatting sqref="K3905">
    <cfRule type="duplicateValues" dxfId="717" priority="786"/>
  </conditionalFormatting>
  <conditionalFormatting sqref="K3906">
    <cfRule type="duplicateValues" dxfId="716" priority="804"/>
  </conditionalFormatting>
  <conditionalFormatting sqref="K3907">
    <cfRule type="duplicateValues" dxfId="715" priority="711"/>
  </conditionalFormatting>
  <conditionalFormatting sqref="K3909">
    <cfRule type="duplicateValues" dxfId="714" priority="742"/>
  </conditionalFormatting>
  <conditionalFormatting sqref="K3910">
    <cfRule type="duplicateValues" dxfId="713" priority="753"/>
  </conditionalFormatting>
  <conditionalFormatting sqref="K3911">
    <cfRule type="duplicateValues" dxfId="712" priority="764"/>
  </conditionalFormatting>
  <conditionalFormatting sqref="K3912">
    <cfRule type="duplicateValues" dxfId="711" priority="731"/>
  </conditionalFormatting>
  <conditionalFormatting sqref="K3913">
    <cfRule type="duplicateValues" dxfId="710" priority="797"/>
  </conditionalFormatting>
  <conditionalFormatting sqref="K3914">
    <cfRule type="duplicateValues" dxfId="709" priority="721"/>
  </conditionalFormatting>
  <conditionalFormatting sqref="K3916">
    <cfRule type="duplicateValues" dxfId="708" priority="763"/>
  </conditionalFormatting>
  <conditionalFormatting sqref="K3917">
    <cfRule type="duplicateValues" dxfId="707" priority="803"/>
  </conditionalFormatting>
  <conditionalFormatting sqref="K3918">
    <cfRule type="duplicateValues" dxfId="706" priority="710"/>
  </conditionalFormatting>
  <conditionalFormatting sqref="K3919">
    <cfRule type="duplicateValues" dxfId="705" priority="774"/>
  </conditionalFormatting>
  <conditionalFormatting sqref="K3920">
    <cfRule type="duplicateValues" dxfId="704" priority="785"/>
  </conditionalFormatting>
  <conditionalFormatting sqref="K3921">
    <cfRule type="duplicateValues" dxfId="703" priority="700"/>
  </conditionalFormatting>
  <conditionalFormatting sqref="K3923">
    <cfRule type="duplicateValues" dxfId="702" priority="720"/>
  </conditionalFormatting>
  <conditionalFormatting sqref="K3924">
    <cfRule type="duplicateValues" dxfId="701" priority="730"/>
  </conditionalFormatting>
  <conditionalFormatting sqref="K3925">
    <cfRule type="duplicateValues" dxfId="700" priority="741"/>
  </conditionalFormatting>
  <conditionalFormatting sqref="K3926">
    <cfRule type="duplicateValues" dxfId="699" priority="752"/>
  </conditionalFormatting>
  <conditionalFormatting sqref="K3927">
    <cfRule type="duplicateValues" dxfId="698" priority="690"/>
  </conditionalFormatting>
  <conditionalFormatting sqref="K3928">
    <cfRule type="duplicateValues" dxfId="697" priority="796"/>
  </conditionalFormatting>
  <conditionalFormatting sqref="K3930">
    <cfRule type="duplicateValues" dxfId="696" priority="751"/>
  </conditionalFormatting>
  <conditionalFormatting sqref="K3931">
    <cfRule type="duplicateValues" dxfId="695" priority="773"/>
  </conditionalFormatting>
  <conditionalFormatting sqref="K3932">
    <cfRule type="duplicateValues" dxfId="694" priority="784"/>
  </conditionalFormatting>
  <conditionalFormatting sqref="K3933">
    <cfRule type="duplicateValues" dxfId="693" priority="762"/>
  </conditionalFormatting>
  <conditionalFormatting sqref="K3934">
    <cfRule type="duplicateValues" dxfId="692" priority="802"/>
  </conditionalFormatting>
  <conditionalFormatting sqref="K3935">
    <cfRule type="duplicateValues" dxfId="691" priority="709"/>
  </conditionalFormatting>
  <conditionalFormatting sqref="K3937">
    <cfRule type="duplicateValues" dxfId="690" priority="699"/>
  </conditionalFormatting>
  <conditionalFormatting sqref="K3938">
    <cfRule type="duplicateValues" dxfId="689" priority="689"/>
  </conditionalFormatting>
  <conditionalFormatting sqref="K3939">
    <cfRule type="duplicateValues" dxfId="688" priority="719"/>
  </conditionalFormatting>
  <conditionalFormatting sqref="K3940">
    <cfRule type="duplicateValues" dxfId="687" priority="729"/>
  </conditionalFormatting>
  <conditionalFormatting sqref="K3941">
    <cfRule type="duplicateValues" dxfId="686" priority="740"/>
  </conditionalFormatting>
  <conditionalFormatting sqref="K3942">
    <cfRule type="duplicateValues" dxfId="685" priority="795"/>
  </conditionalFormatting>
  <conditionalFormatting sqref="K3790:K3795">
    <cfRule type="duplicateValues" dxfId="684" priority="685"/>
  </conditionalFormatting>
  <conditionalFormatting sqref="K3951">
    <cfRule type="duplicateValues" dxfId="683" priority="684"/>
  </conditionalFormatting>
  <conditionalFormatting sqref="K3953">
    <cfRule type="duplicateValues" dxfId="682" priority="638"/>
  </conditionalFormatting>
  <conditionalFormatting sqref="K3954">
    <cfRule type="duplicateValues" dxfId="681" priority="668"/>
  </conditionalFormatting>
  <conditionalFormatting sqref="K3955">
    <cfRule type="duplicateValues" dxfId="680" priority="648"/>
  </conditionalFormatting>
  <conditionalFormatting sqref="K3956">
    <cfRule type="duplicateValues" dxfId="679" priority="658"/>
  </conditionalFormatting>
  <conditionalFormatting sqref="K3958">
    <cfRule type="duplicateValues" dxfId="678" priority="618"/>
  </conditionalFormatting>
  <conditionalFormatting sqref="K3959">
    <cfRule type="duplicateValues" dxfId="677" priority="683"/>
  </conditionalFormatting>
  <conditionalFormatting sqref="K3960">
    <cfRule type="duplicateValues" dxfId="676" priority="597"/>
  </conditionalFormatting>
  <conditionalFormatting sqref="K3962">
    <cfRule type="duplicateValues" dxfId="675" priority="581"/>
  </conditionalFormatting>
  <conditionalFormatting sqref="K3963">
    <cfRule type="duplicateValues" dxfId="674" priority="607"/>
  </conditionalFormatting>
  <conditionalFormatting sqref="K3965">
    <cfRule type="duplicateValues" dxfId="673" priority="657"/>
  </conditionalFormatting>
  <conditionalFormatting sqref="K3966">
    <cfRule type="duplicateValues" dxfId="672" priority="616"/>
  </conditionalFormatting>
  <conditionalFormatting sqref="K3967">
    <cfRule type="duplicateValues" dxfId="671" priority="617"/>
  </conditionalFormatting>
  <conditionalFormatting sqref="K3968">
    <cfRule type="duplicateValues" dxfId="670" priority="647"/>
  </conditionalFormatting>
  <conditionalFormatting sqref="K3969">
    <cfRule type="duplicateValues" dxfId="669" priority="628"/>
  </conditionalFormatting>
  <conditionalFormatting sqref="K3970">
    <cfRule type="duplicateValues" dxfId="668" priority="637"/>
  </conditionalFormatting>
  <conditionalFormatting sqref="K3972">
    <cfRule type="duplicateValues" dxfId="667" priority="606"/>
  </conditionalFormatting>
  <conditionalFormatting sqref="K3973">
    <cfRule type="duplicateValues" dxfId="666" priority="580"/>
  </conditionalFormatting>
  <conditionalFormatting sqref="K3974">
    <cfRule type="duplicateValues" dxfId="665" priority="667"/>
  </conditionalFormatting>
  <conditionalFormatting sqref="K3975">
    <cfRule type="duplicateValues" dxfId="664" priority="682"/>
  </conditionalFormatting>
  <conditionalFormatting sqref="K3976">
    <cfRule type="duplicateValues" dxfId="663" priority="596"/>
  </conditionalFormatting>
  <conditionalFormatting sqref="K3979">
    <cfRule type="duplicateValues" dxfId="662" priority="636"/>
  </conditionalFormatting>
  <conditionalFormatting sqref="K3980">
    <cfRule type="duplicateValues" dxfId="661" priority="646"/>
  </conditionalFormatting>
  <conditionalFormatting sqref="K3981">
    <cfRule type="duplicateValues" dxfId="660" priority="675"/>
  </conditionalFormatting>
  <conditionalFormatting sqref="K3982">
    <cfRule type="duplicateValues" dxfId="659" priority="627"/>
  </conditionalFormatting>
  <conditionalFormatting sqref="K3983">
    <cfRule type="duplicateValues" dxfId="658" priority="605"/>
  </conditionalFormatting>
  <conditionalFormatting sqref="K3984">
    <cfRule type="duplicateValues" dxfId="657" priority="615"/>
  </conditionalFormatting>
  <conditionalFormatting sqref="K3986">
    <cfRule type="duplicateValues" dxfId="656" priority="579"/>
  </conditionalFormatting>
  <conditionalFormatting sqref="K3987">
    <cfRule type="duplicateValues" dxfId="655" priority="595"/>
  </conditionalFormatting>
  <conditionalFormatting sqref="K3988">
    <cfRule type="duplicateValues" dxfId="654" priority="589"/>
  </conditionalFormatting>
  <conditionalFormatting sqref="K3990">
    <cfRule type="duplicateValues" dxfId="653" priority="666"/>
  </conditionalFormatting>
  <conditionalFormatting sqref="K3991">
    <cfRule type="duplicateValues" dxfId="652" priority="681"/>
  </conditionalFormatting>
  <conditionalFormatting sqref="K3993">
    <cfRule type="duplicateValues" dxfId="651" priority="614"/>
  </conditionalFormatting>
  <conditionalFormatting sqref="K3994">
    <cfRule type="duplicateValues" dxfId="650" priority="626"/>
  </conditionalFormatting>
  <conditionalFormatting sqref="K3995">
    <cfRule type="duplicateValues" dxfId="649" priority="635"/>
  </conditionalFormatting>
  <conditionalFormatting sqref="K3996">
    <cfRule type="duplicateValues" dxfId="648" priority="674"/>
  </conditionalFormatting>
  <conditionalFormatting sqref="K3997">
    <cfRule type="duplicateValues" dxfId="647" priority="604"/>
  </conditionalFormatting>
  <conditionalFormatting sqref="K3998">
    <cfRule type="duplicateValues" dxfId="646" priority="578"/>
  </conditionalFormatting>
  <conditionalFormatting sqref="K4000">
    <cfRule type="duplicateValues" dxfId="645" priority="588"/>
  </conditionalFormatting>
  <conditionalFormatting sqref="K4001">
    <cfRule type="duplicateValues" dxfId="644" priority="665"/>
  </conditionalFormatting>
  <conditionalFormatting sqref="K4002">
    <cfRule type="duplicateValues" dxfId="643" priority="680"/>
  </conditionalFormatting>
  <conditionalFormatting sqref="K4004">
    <cfRule type="duplicateValues" dxfId="642" priority="656"/>
  </conditionalFormatting>
  <conditionalFormatting sqref="K4005">
    <cfRule type="duplicateValues" dxfId="641" priority="594"/>
  </conditionalFormatting>
  <conditionalFormatting sqref="K4007">
    <cfRule type="duplicateValues" dxfId="640" priority="577"/>
  </conditionalFormatting>
  <conditionalFormatting sqref="K4008">
    <cfRule type="duplicateValues" dxfId="639" priority="603"/>
  </conditionalFormatting>
  <conditionalFormatting sqref="K4009">
    <cfRule type="duplicateValues" dxfId="638" priority="613"/>
  </conditionalFormatting>
  <conditionalFormatting sqref="K4010">
    <cfRule type="duplicateValues" dxfId="637" priority="625"/>
  </conditionalFormatting>
  <conditionalFormatting sqref="K4011">
    <cfRule type="duplicateValues" dxfId="636" priority="673"/>
  </conditionalFormatting>
  <conditionalFormatting sqref="K4012">
    <cfRule type="duplicateValues" dxfId="635" priority="587"/>
  </conditionalFormatting>
  <conditionalFormatting sqref="K4014">
    <cfRule type="duplicateValues" dxfId="634" priority="593"/>
  </conditionalFormatting>
  <conditionalFormatting sqref="K4015">
    <cfRule type="duplicateValues" dxfId="633" priority="645"/>
  </conditionalFormatting>
  <conditionalFormatting sqref="K4016">
    <cfRule type="duplicateValues" dxfId="632" priority="655"/>
  </conditionalFormatting>
  <conditionalFormatting sqref="K4017">
    <cfRule type="duplicateValues" dxfId="631" priority="634"/>
  </conditionalFormatting>
  <conditionalFormatting sqref="K4018">
    <cfRule type="duplicateValues" dxfId="630" priority="664"/>
  </conditionalFormatting>
  <conditionalFormatting sqref="K4021">
    <cfRule type="duplicateValues" dxfId="629" priority="624"/>
  </conditionalFormatting>
  <conditionalFormatting sqref="K4022">
    <cfRule type="duplicateValues" dxfId="628" priority="633"/>
  </conditionalFormatting>
  <conditionalFormatting sqref="K4023">
    <cfRule type="duplicateValues" dxfId="627" priority="644"/>
  </conditionalFormatting>
  <conditionalFormatting sqref="K4024">
    <cfRule type="duplicateValues" dxfId="626" priority="679"/>
  </conditionalFormatting>
  <conditionalFormatting sqref="K4025">
    <cfRule type="duplicateValues" dxfId="625" priority="654"/>
  </conditionalFormatting>
  <conditionalFormatting sqref="K4028">
    <cfRule type="duplicateValues" dxfId="624" priority="672"/>
  </conditionalFormatting>
  <conditionalFormatting sqref="K4029">
    <cfRule type="duplicateValues" dxfId="623" priority="592"/>
  </conditionalFormatting>
  <conditionalFormatting sqref="K4030">
    <cfRule type="duplicateValues" dxfId="622" priority="586"/>
  </conditionalFormatting>
  <conditionalFormatting sqref="K4031">
    <cfRule type="duplicateValues" dxfId="621" priority="576"/>
  </conditionalFormatting>
  <conditionalFormatting sqref="K4032">
    <cfRule type="duplicateValues" dxfId="620" priority="602"/>
  </conditionalFormatting>
  <conditionalFormatting sqref="K4033">
    <cfRule type="duplicateValues" dxfId="619" priority="612"/>
  </conditionalFormatting>
  <conditionalFormatting sqref="K4035">
    <cfRule type="duplicateValues" dxfId="618" priority="663"/>
  </conditionalFormatting>
  <conditionalFormatting sqref="K4036">
    <cfRule type="duplicateValues" dxfId="617" priority="571"/>
  </conditionalFormatting>
  <conditionalFormatting sqref="K4037">
    <cfRule type="duplicateValues" dxfId="616" priority="623"/>
  </conditionalFormatting>
  <conditionalFormatting sqref="K4038">
    <cfRule type="duplicateValues" dxfId="615" priority="653"/>
  </conditionalFormatting>
  <conditionalFormatting sqref="K4039">
    <cfRule type="duplicateValues" dxfId="614" priority="632"/>
  </conditionalFormatting>
  <conditionalFormatting sqref="K4040">
    <cfRule type="duplicateValues" dxfId="613" priority="643"/>
  </conditionalFormatting>
  <conditionalFormatting sqref="K4042">
    <cfRule type="duplicateValues" dxfId="612" priority="662"/>
  </conditionalFormatting>
  <conditionalFormatting sqref="K4043">
    <cfRule type="duplicateValues" dxfId="611" priority="601"/>
  </conditionalFormatting>
  <conditionalFormatting sqref="K4044">
    <cfRule type="duplicateValues" dxfId="610" priority="678"/>
  </conditionalFormatting>
  <conditionalFormatting sqref="K4046">
    <cfRule type="duplicateValues" dxfId="609" priority="585"/>
  </conditionalFormatting>
  <conditionalFormatting sqref="K4047">
    <cfRule type="duplicateValues" dxfId="608" priority="575"/>
  </conditionalFormatting>
  <conditionalFormatting sqref="K4049">
    <cfRule type="duplicateValues" dxfId="607" priority="642"/>
  </conditionalFormatting>
  <conditionalFormatting sqref="K4050">
    <cfRule type="duplicateValues" dxfId="606" priority="652"/>
  </conditionalFormatting>
  <conditionalFormatting sqref="K4051">
    <cfRule type="duplicateValues" dxfId="605" priority="570"/>
  </conditionalFormatting>
  <conditionalFormatting sqref="K4052">
    <cfRule type="duplicateValues" dxfId="604" priority="631"/>
  </conditionalFormatting>
  <conditionalFormatting sqref="K4053">
    <cfRule type="duplicateValues" dxfId="603" priority="611"/>
  </conditionalFormatting>
  <conditionalFormatting sqref="K4054">
    <cfRule type="duplicateValues" dxfId="602" priority="622"/>
  </conditionalFormatting>
  <conditionalFormatting sqref="K4056">
    <cfRule type="duplicateValues" dxfId="601" priority="651"/>
  </conditionalFormatting>
  <conditionalFormatting sqref="K4057">
    <cfRule type="duplicateValues" dxfId="600" priority="584"/>
  </conditionalFormatting>
  <conditionalFormatting sqref="K4058">
    <cfRule type="duplicateValues" dxfId="599" priority="574"/>
  </conditionalFormatting>
  <conditionalFormatting sqref="K4059">
    <cfRule type="duplicateValues" dxfId="598" priority="661"/>
  </conditionalFormatting>
  <conditionalFormatting sqref="K4061">
    <cfRule type="duplicateValues" dxfId="597" priority="591"/>
  </conditionalFormatting>
  <conditionalFormatting sqref="K4063">
    <cfRule type="duplicateValues" dxfId="596" priority="621"/>
  </conditionalFormatting>
  <conditionalFormatting sqref="K4064">
    <cfRule type="duplicateValues" dxfId="595" priority="630"/>
  </conditionalFormatting>
  <conditionalFormatting sqref="K4065">
    <cfRule type="duplicateValues" dxfId="594" priority="641"/>
  </conditionalFormatting>
  <conditionalFormatting sqref="K4066">
    <cfRule type="duplicateValues" dxfId="593" priority="610"/>
  </conditionalFormatting>
  <conditionalFormatting sqref="K4067">
    <cfRule type="duplicateValues" dxfId="592" priority="671"/>
  </conditionalFormatting>
  <conditionalFormatting sqref="K4068">
    <cfRule type="duplicateValues" dxfId="591" priority="600"/>
  </conditionalFormatting>
  <conditionalFormatting sqref="K4070">
    <cfRule type="duplicateValues" dxfId="590" priority="640"/>
  </conditionalFormatting>
  <conditionalFormatting sqref="K4071">
    <cfRule type="duplicateValues" dxfId="589" priority="677"/>
  </conditionalFormatting>
  <conditionalFormatting sqref="K4073">
    <cfRule type="duplicateValues" dxfId="588" priority="650"/>
  </conditionalFormatting>
  <conditionalFormatting sqref="K4074">
    <cfRule type="duplicateValues" dxfId="587" priority="660"/>
  </conditionalFormatting>
  <conditionalFormatting sqref="K4075">
    <cfRule type="duplicateValues" dxfId="586" priority="583"/>
  </conditionalFormatting>
  <conditionalFormatting sqref="K4077">
    <cfRule type="duplicateValues" dxfId="585" priority="599"/>
  </conditionalFormatting>
  <conditionalFormatting sqref="K4078">
    <cfRule type="duplicateValues" dxfId="584" priority="609"/>
  </conditionalFormatting>
  <conditionalFormatting sqref="K4079">
    <cfRule type="duplicateValues" dxfId="583" priority="620"/>
  </conditionalFormatting>
  <conditionalFormatting sqref="K4080">
    <cfRule type="duplicateValues" dxfId="582" priority="629"/>
  </conditionalFormatting>
  <conditionalFormatting sqref="K4081">
    <cfRule type="duplicateValues" dxfId="581" priority="573"/>
  </conditionalFormatting>
  <conditionalFormatting sqref="K4082">
    <cfRule type="duplicateValues" dxfId="580" priority="670"/>
  </conditionalFormatting>
  <conditionalFormatting sqref="K4085">
    <cfRule type="duplicateValues" dxfId="579" priority="649"/>
  </conditionalFormatting>
  <conditionalFormatting sqref="K4086">
    <cfRule type="duplicateValues" dxfId="578" priority="659"/>
  </conditionalFormatting>
  <conditionalFormatting sqref="K4087">
    <cfRule type="duplicateValues" dxfId="577" priority="639"/>
  </conditionalFormatting>
  <conditionalFormatting sqref="K4088">
    <cfRule type="duplicateValues" dxfId="576" priority="676"/>
  </conditionalFormatting>
  <conditionalFormatting sqref="K4089">
    <cfRule type="duplicateValues" dxfId="575" priority="590"/>
  </conditionalFormatting>
  <conditionalFormatting sqref="K4091">
    <cfRule type="duplicateValues" dxfId="574" priority="582"/>
  </conditionalFormatting>
  <conditionalFormatting sqref="K4092">
    <cfRule type="duplicateValues" dxfId="573" priority="572"/>
  </conditionalFormatting>
  <conditionalFormatting sqref="K4093">
    <cfRule type="duplicateValues" dxfId="572" priority="598"/>
  </conditionalFormatting>
  <conditionalFormatting sqref="K4094">
    <cfRule type="duplicateValues" dxfId="571" priority="608"/>
  </conditionalFormatting>
  <conditionalFormatting sqref="K4095">
    <cfRule type="duplicateValues" dxfId="570" priority="619"/>
  </conditionalFormatting>
  <conditionalFormatting sqref="K4096">
    <cfRule type="duplicateValues" dxfId="569" priority="669"/>
  </conditionalFormatting>
  <conditionalFormatting sqref="K3944:K3949">
    <cfRule type="duplicateValues" dxfId="568" priority="569"/>
  </conditionalFormatting>
  <conditionalFormatting sqref="F3944:G3944">
    <cfRule type="duplicateValues" dxfId="567" priority="568"/>
  </conditionalFormatting>
  <conditionalFormatting sqref="I3952:J3952">
    <cfRule type="duplicateValues" dxfId="566" priority="567"/>
  </conditionalFormatting>
  <conditionalFormatting sqref="I3961:J3961">
    <cfRule type="duplicateValues" dxfId="565" priority="566"/>
  </conditionalFormatting>
  <conditionalFormatting sqref="F3966:G3966">
    <cfRule type="duplicateValues" dxfId="564" priority="565"/>
  </conditionalFormatting>
  <conditionalFormatting sqref="I3977:J3977">
    <cfRule type="duplicateValues" dxfId="563" priority="564"/>
  </conditionalFormatting>
  <conditionalFormatting sqref="F3980:G3980">
    <cfRule type="duplicateValues" dxfId="562" priority="563"/>
  </conditionalFormatting>
  <conditionalFormatting sqref="I3989:J3989">
    <cfRule type="duplicateValues" dxfId="561" priority="562"/>
  </conditionalFormatting>
  <conditionalFormatting sqref="F3993:G3993">
    <cfRule type="duplicateValues" dxfId="560" priority="561"/>
  </conditionalFormatting>
  <conditionalFormatting sqref="I4003:J4003">
    <cfRule type="duplicateValues" dxfId="559" priority="560"/>
  </conditionalFormatting>
  <conditionalFormatting sqref="F4007:G4007">
    <cfRule type="duplicateValues" dxfId="558" priority="559"/>
  </conditionalFormatting>
  <conditionalFormatting sqref="I4019:J4019">
    <cfRule type="duplicateValues" dxfId="557" priority="558"/>
  </conditionalFormatting>
  <conditionalFormatting sqref="I4026:J4026">
    <cfRule type="duplicateValues" dxfId="556" priority="557"/>
  </conditionalFormatting>
  <conditionalFormatting sqref="F4028:G4028">
    <cfRule type="duplicateValues" dxfId="555" priority="556"/>
  </conditionalFormatting>
  <conditionalFormatting sqref="F4036:G4036">
    <cfRule type="duplicateValues" dxfId="554" priority="555"/>
  </conditionalFormatting>
  <conditionalFormatting sqref="I4045:J4045">
    <cfRule type="duplicateValues" dxfId="553" priority="554"/>
  </conditionalFormatting>
  <conditionalFormatting sqref="F4050:G4050">
    <cfRule type="duplicateValues" dxfId="552" priority="553"/>
  </conditionalFormatting>
  <conditionalFormatting sqref="I4060:J4060">
    <cfRule type="duplicateValues" dxfId="551" priority="552"/>
  </conditionalFormatting>
  <conditionalFormatting sqref="F4064:G4064">
    <cfRule type="duplicateValues" dxfId="550" priority="551"/>
  </conditionalFormatting>
  <conditionalFormatting sqref="I4072:J4072">
    <cfRule type="duplicateValues" dxfId="549" priority="550"/>
  </conditionalFormatting>
  <conditionalFormatting sqref="F4077:G4077">
    <cfRule type="duplicateValues" dxfId="548" priority="549"/>
  </conditionalFormatting>
  <conditionalFormatting sqref="I4084:J4084">
    <cfRule type="duplicateValues" dxfId="547" priority="548"/>
  </conditionalFormatting>
  <conditionalFormatting sqref="F4091:G4091">
    <cfRule type="duplicateValues" dxfId="546" priority="547"/>
  </conditionalFormatting>
  <conditionalFormatting sqref="G3944:G4096">
    <cfRule type="containsText" dxfId="545" priority="546" operator="containsText" text="sefton">
      <formula>NOT(ISERROR(SEARCH("sefton",G3944)))</formula>
    </cfRule>
  </conditionalFormatting>
  <conditionalFormatting sqref="K4150">
    <cfRule type="containsText" dxfId="544" priority="545" operator="containsText" text="BYE">
      <formula>NOT(ISERROR(SEARCH("BYE",K4150)))</formula>
    </cfRule>
  </conditionalFormatting>
  <conditionalFormatting sqref="G4098:K4201">
    <cfRule type="containsText" dxfId="543" priority="544" operator="containsText" text="CODE">
      <formula>NOT(ISERROR(SEARCH("CODE",G4098)))</formula>
    </cfRule>
  </conditionalFormatting>
  <conditionalFormatting sqref="H4210">
    <cfRule type="duplicateValues" dxfId="542" priority="523"/>
  </conditionalFormatting>
  <conditionalFormatting sqref="H4211">
    <cfRule type="duplicateValues" dxfId="541" priority="402"/>
  </conditionalFormatting>
  <conditionalFormatting sqref="H4212">
    <cfRule type="duplicateValues" dxfId="540" priority="380"/>
  </conditionalFormatting>
  <conditionalFormatting sqref="H4213">
    <cfRule type="duplicateValues" dxfId="539" priority="360"/>
  </conditionalFormatting>
  <conditionalFormatting sqref="H4214">
    <cfRule type="duplicateValues" dxfId="538" priority="318"/>
  </conditionalFormatting>
  <conditionalFormatting sqref="H4215">
    <cfRule type="duplicateValues" dxfId="537" priority="339"/>
  </conditionalFormatting>
  <conditionalFormatting sqref="H4217">
    <cfRule type="duplicateValues" dxfId="536" priority="522"/>
  </conditionalFormatting>
  <conditionalFormatting sqref="H4218">
    <cfRule type="duplicateValues" dxfId="535" priority="504"/>
  </conditionalFormatting>
  <conditionalFormatting sqref="H4219">
    <cfRule type="duplicateValues" dxfId="534" priority="483"/>
  </conditionalFormatting>
  <conditionalFormatting sqref="H4220">
    <cfRule type="duplicateValues" dxfId="533" priority="464"/>
  </conditionalFormatting>
  <conditionalFormatting sqref="H4221">
    <cfRule type="duplicateValues" dxfId="532" priority="443"/>
  </conditionalFormatting>
  <conditionalFormatting sqref="H4222">
    <cfRule type="duplicateValues" dxfId="531" priority="422"/>
  </conditionalFormatting>
  <conditionalFormatting sqref="H4224">
    <cfRule type="duplicateValues" dxfId="530" priority="541"/>
  </conditionalFormatting>
  <conditionalFormatting sqref="H4225">
    <cfRule type="duplicateValues" dxfId="529" priority="503"/>
  </conditionalFormatting>
  <conditionalFormatting sqref="H4226">
    <cfRule type="duplicateValues" dxfId="528" priority="378"/>
  </conditionalFormatting>
  <conditionalFormatting sqref="H4227">
    <cfRule type="duplicateValues" dxfId="527" priority="358"/>
  </conditionalFormatting>
  <conditionalFormatting sqref="H4228">
    <cfRule type="duplicateValues" dxfId="526" priority="316"/>
  </conditionalFormatting>
  <conditionalFormatting sqref="H4229">
    <cfRule type="duplicateValues" dxfId="525" priority="337"/>
  </conditionalFormatting>
  <conditionalFormatting sqref="H4231">
    <cfRule type="duplicateValues" dxfId="524" priority="521"/>
  </conditionalFormatting>
  <conditionalFormatting sqref="H4232">
    <cfRule type="duplicateValues" dxfId="523" priority="398"/>
  </conditionalFormatting>
  <conditionalFormatting sqref="H4233">
    <cfRule type="duplicateValues" dxfId="522" priority="481"/>
  </conditionalFormatting>
  <conditionalFormatting sqref="H4234">
    <cfRule type="duplicateValues" dxfId="521" priority="462"/>
  </conditionalFormatting>
  <conditionalFormatting sqref="H4235">
    <cfRule type="duplicateValues" dxfId="520" priority="441"/>
  </conditionalFormatting>
  <conditionalFormatting sqref="H4236">
    <cfRule type="duplicateValues" dxfId="519" priority="420"/>
  </conditionalFormatting>
  <conditionalFormatting sqref="H4238">
    <cfRule type="duplicateValues" dxfId="518" priority="539"/>
  </conditionalFormatting>
  <conditionalFormatting sqref="H4239">
    <cfRule type="duplicateValues" dxfId="517" priority="501"/>
  </conditionalFormatting>
  <conditionalFormatting sqref="H4240">
    <cfRule type="duplicateValues" dxfId="516" priority="480"/>
  </conditionalFormatting>
  <conditionalFormatting sqref="H4241">
    <cfRule type="duplicateValues" dxfId="515" priority="356"/>
  </conditionalFormatting>
  <conditionalFormatting sqref="H4242">
    <cfRule type="duplicateValues" dxfId="514" priority="314"/>
  </conditionalFormatting>
  <conditionalFormatting sqref="H4243">
    <cfRule type="duplicateValues" dxfId="513" priority="335"/>
  </conditionalFormatting>
  <conditionalFormatting sqref="H4245">
    <cfRule type="duplicateValues" dxfId="512" priority="519"/>
  </conditionalFormatting>
  <conditionalFormatting sqref="H4246">
    <cfRule type="duplicateValues" dxfId="511" priority="396"/>
  </conditionalFormatting>
  <conditionalFormatting sqref="H4247">
    <cfRule type="duplicateValues" dxfId="510" priority="375"/>
  </conditionalFormatting>
  <conditionalFormatting sqref="H4248">
    <cfRule type="duplicateValues" dxfId="509" priority="460"/>
  </conditionalFormatting>
  <conditionalFormatting sqref="H4249">
    <cfRule type="duplicateValues" dxfId="508" priority="439"/>
  </conditionalFormatting>
  <conditionalFormatting sqref="H4250">
    <cfRule type="duplicateValues" dxfId="507" priority="418"/>
  </conditionalFormatting>
  <conditionalFormatting sqref="H4252">
    <cfRule type="duplicateValues" dxfId="506" priority="537"/>
  </conditionalFormatting>
  <conditionalFormatting sqref="H4253">
    <cfRule type="duplicateValues" dxfId="505" priority="499"/>
  </conditionalFormatting>
  <conditionalFormatting sqref="H4254">
    <cfRule type="duplicateValues" dxfId="504" priority="478"/>
  </conditionalFormatting>
  <conditionalFormatting sqref="H4255">
    <cfRule type="duplicateValues" dxfId="503" priority="459"/>
  </conditionalFormatting>
  <conditionalFormatting sqref="H4256">
    <cfRule type="duplicateValues" dxfId="502" priority="354"/>
  </conditionalFormatting>
  <conditionalFormatting sqref="H4257">
    <cfRule type="duplicateValues" dxfId="501" priority="333"/>
  </conditionalFormatting>
  <conditionalFormatting sqref="H4259">
    <cfRule type="duplicateValues" dxfId="500" priority="517"/>
  </conditionalFormatting>
  <conditionalFormatting sqref="H4260">
    <cfRule type="duplicateValues" dxfId="499" priority="394"/>
  </conditionalFormatting>
  <conditionalFormatting sqref="H4261">
    <cfRule type="duplicateValues" dxfId="498" priority="373"/>
  </conditionalFormatting>
  <conditionalFormatting sqref="H4262">
    <cfRule type="duplicateValues" dxfId="497" priority="437"/>
  </conditionalFormatting>
  <conditionalFormatting sqref="H4263">
    <cfRule type="duplicateValues" dxfId="496" priority="416"/>
  </conditionalFormatting>
  <conditionalFormatting sqref="H4264">
    <cfRule type="duplicateValues" dxfId="495" priority="311"/>
  </conditionalFormatting>
  <conditionalFormatting sqref="H4266">
    <cfRule type="duplicateValues" dxfId="494" priority="535"/>
  </conditionalFormatting>
  <conditionalFormatting sqref="H4267">
    <cfRule type="duplicateValues" dxfId="493" priority="497"/>
  </conditionalFormatting>
  <conditionalFormatting sqref="H4268">
    <cfRule type="duplicateValues" dxfId="492" priority="297"/>
  </conditionalFormatting>
  <conditionalFormatting sqref="H4269">
    <cfRule type="duplicateValues" dxfId="491" priority="457"/>
  </conditionalFormatting>
  <conditionalFormatting sqref="H4270">
    <cfRule type="duplicateValues" dxfId="490" priority="436"/>
  </conditionalFormatting>
  <conditionalFormatting sqref="H4271">
    <cfRule type="duplicateValues" dxfId="489" priority="352"/>
  </conditionalFormatting>
  <conditionalFormatting sqref="H4273">
    <cfRule type="duplicateValues" dxfId="488" priority="515"/>
  </conditionalFormatting>
  <conditionalFormatting sqref="H4274">
    <cfRule type="duplicateValues" dxfId="487" priority="392"/>
  </conditionalFormatting>
  <conditionalFormatting sqref="H4275">
    <cfRule type="duplicateValues" dxfId="486" priority="371"/>
  </conditionalFormatting>
  <conditionalFormatting sqref="H4276">
    <cfRule type="duplicateValues" dxfId="485" priority="414"/>
  </conditionalFormatting>
  <conditionalFormatting sqref="H4277">
    <cfRule type="duplicateValues" dxfId="484" priority="309"/>
  </conditionalFormatting>
  <conditionalFormatting sqref="H4278">
    <cfRule type="duplicateValues" dxfId="483" priority="330"/>
  </conditionalFormatting>
  <conditionalFormatting sqref="H4280">
    <cfRule type="duplicateValues" dxfId="482" priority="514"/>
  </conditionalFormatting>
  <conditionalFormatting sqref="H4281">
    <cfRule type="duplicateValues" dxfId="481" priority="391"/>
  </conditionalFormatting>
  <conditionalFormatting sqref="H4282">
    <cfRule type="duplicateValues" dxfId="480" priority="370"/>
  </conditionalFormatting>
  <conditionalFormatting sqref="H4283">
    <cfRule type="duplicateValues" dxfId="479" priority="350"/>
  </conditionalFormatting>
  <conditionalFormatting sqref="H4284">
    <cfRule type="duplicateValues" dxfId="478" priority="308"/>
  </conditionalFormatting>
  <conditionalFormatting sqref="H4285">
    <cfRule type="duplicateValues" dxfId="477" priority="329"/>
  </conditionalFormatting>
  <conditionalFormatting sqref="H4287">
    <cfRule type="duplicateValues" dxfId="476" priority="534"/>
  </conditionalFormatting>
  <conditionalFormatting sqref="H4288">
    <cfRule type="duplicateValues" dxfId="475" priority="493"/>
  </conditionalFormatting>
  <conditionalFormatting sqref="H4289">
    <cfRule type="duplicateValues" dxfId="474" priority="474"/>
  </conditionalFormatting>
  <conditionalFormatting sqref="H4290">
    <cfRule type="duplicateValues" dxfId="473" priority="454"/>
  </conditionalFormatting>
  <conditionalFormatting sqref="H4291">
    <cfRule type="duplicateValues" dxfId="472" priority="433"/>
  </conditionalFormatting>
  <conditionalFormatting sqref="H4292">
    <cfRule type="duplicateValues" dxfId="471" priority="412"/>
  </conditionalFormatting>
  <conditionalFormatting sqref="H4294">
    <cfRule type="duplicateValues" dxfId="470" priority="532"/>
  </conditionalFormatting>
  <conditionalFormatting sqref="H4295">
    <cfRule type="duplicateValues" dxfId="469" priority="389"/>
  </conditionalFormatting>
  <conditionalFormatting sqref="H4296">
    <cfRule type="duplicateValues" dxfId="468" priority="368"/>
  </conditionalFormatting>
  <conditionalFormatting sqref="H4297">
    <cfRule type="duplicateValues" dxfId="467" priority="348"/>
  </conditionalFormatting>
  <conditionalFormatting sqref="H4298">
    <cfRule type="duplicateValues" dxfId="466" priority="306"/>
  </conditionalFormatting>
  <conditionalFormatting sqref="H4299">
    <cfRule type="duplicateValues" dxfId="465" priority="327"/>
  </conditionalFormatting>
  <conditionalFormatting sqref="H4301">
    <cfRule type="duplicateValues" dxfId="464" priority="512"/>
  </conditionalFormatting>
  <conditionalFormatting sqref="H4302">
    <cfRule type="duplicateValues" dxfId="463" priority="388"/>
  </conditionalFormatting>
  <conditionalFormatting sqref="H4303">
    <cfRule type="duplicateValues" dxfId="462" priority="472"/>
  </conditionalFormatting>
  <conditionalFormatting sqref="H4304">
    <cfRule type="duplicateValues" dxfId="461" priority="452"/>
  </conditionalFormatting>
  <conditionalFormatting sqref="H4305">
    <cfRule type="duplicateValues" dxfId="460" priority="431"/>
  </conditionalFormatting>
  <conditionalFormatting sqref="H4306">
    <cfRule type="duplicateValues" dxfId="459" priority="409"/>
  </conditionalFormatting>
  <conditionalFormatting sqref="H4308">
    <cfRule type="duplicateValues" dxfId="458" priority="530"/>
  </conditionalFormatting>
  <conditionalFormatting sqref="H4309">
    <cfRule type="duplicateValues" dxfId="457" priority="491"/>
  </conditionalFormatting>
  <conditionalFormatting sqref="H4310">
    <cfRule type="duplicateValues" dxfId="456" priority="366"/>
  </conditionalFormatting>
  <conditionalFormatting sqref="H4311">
    <cfRule type="duplicateValues" dxfId="455" priority="346"/>
  </conditionalFormatting>
  <conditionalFormatting sqref="H4312">
    <cfRule type="duplicateValues" dxfId="454" priority="304"/>
  </conditionalFormatting>
  <conditionalFormatting sqref="H4313">
    <cfRule type="duplicateValues" dxfId="453" priority="325"/>
  </conditionalFormatting>
  <conditionalFormatting sqref="H4315">
    <cfRule type="duplicateValues" dxfId="452" priority="511"/>
  </conditionalFormatting>
  <conditionalFormatting sqref="H4316">
    <cfRule type="duplicateValues" dxfId="451" priority="386"/>
  </conditionalFormatting>
  <conditionalFormatting sqref="H4317">
    <cfRule type="duplicateValues" dxfId="450" priority="365"/>
  </conditionalFormatting>
  <conditionalFormatting sqref="H4318">
    <cfRule type="duplicateValues" dxfId="449" priority="450"/>
  </conditionalFormatting>
  <conditionalFormatting sqref="H4319">
    <cfRule type="duplicateValues" dxfId="448" priority="429"/>
  </conditionalFormatting>
  <conditionalFormatting sqref="H4320">
    <cfRule type="duplicateValues" dxfId="447" priority="408"/>
  </conditionalFormatting>
  <conditionalFormatting sqref="H4322">
    <cfRule type="duplicateValues" dxfId="446" priority="528"/>
  </conditionalFormatting>
  <conditionalFormatting sqref="H4323">
    <cfRule type="duplicateValues" dxfId="445" priority="489"/>
  </conditionalFormatting>
  <conditionalFormatting sqref="H4324">
    <cfRule type="duplicateValues" dxfId="444" priority="469"/>
  </conditionalFormatting>
  <conditionalFormatting sqref="H4325">
    <cfRule type="duplicateValues" dxfId="443" priority="344"/>
  </conditionalFormatting>
  <conditionalFormatting sqref="H4326">
    <cfRule type="duplicateValues" dxfId="442" priority="302"/>
  </conditionalFormatting>
  <conditionalFormatting sqref="H4327">
    <cfRule type="duplicateValues" dxfId="441" priority="323"/>
  </conditionalFormatting>
  <conditionalFormatting sqref="H4329">
    <cfRule type="duplicateValues" dxfId="440" priority="510"/>
  </conditionalFormatting>
  <conditionalFormatting sqref="H4330">
    <cfRule type="duplicateValues" dxfId="439" priority="384"/>
  </conditionalFormatting>
  <conditionalFormatting sqref="H4331">
    <cfRule type="duplicateValues" dxfId="438" priority="363"/>
  </conditionalFormatting>
  <conditionalFormatting sqref="H4332">
    <cfRule type="duplicateValues" dxfId="437" priority="427"/>
  </conditionalFormatting>
  <conditionalFormatting sqref="H4333">
    <cfRule type="duplicateValues" dxfId="436" priority="406"/>
  </conditionalFormatting>
  <conditionalFormatting sqref="H4334">
    <cfRule type="duplicateValues" dxfId="435" priority="301"/>
  </conditionalFormatting>
  <conditionalFormatting sqref="H4336">
    <cfRule type="duplicateValues" dxfId="434" priority="526"/>
  </conditionalFormatting>
  <conditionalFormatting sqref="H4337">
    <cfRule type="duplicateValues" dxfId="433" priority="487"/>
  </conditionalFormatting>
  <conditionalFormatting sqref="H4338">
    <cfRule type="duplicateValues" dxfId="432" priority="467"/>
  </conditionalFormatting>
  <conditionalFormatting sqref="H4339">
    <cfRule type="duplicateValues" dxfId="431" priority="447"/>
  </conditionalFormatting>
  <conditionalFormatting sqref="H4340">
    <cfRule type="duplicateValues" dxfId="430" priority="342"/>
  </conditionalFormatting>
  <conditionalFormatting sqref="H4341">
    <cfRule type="duplicateValues" dxfId="429" priority="321"/>
  </conditionalFormatting>
  <conditionalFormatting sqref="H4343">
    <cfRule type="duplicateValues" dxfId="428" priority="508"/>
  </conditionalFormatting>
  <conditionalFormatting sqref="H4344">
    <cfRule type="duplicateValues" dxfId="427" priority="382"/>
  </conditionalFormatting>
  <conditionalFormatting sqref="H4345">
    <cfRule type="duplicateValues" dxfId="426" priority="361"/>
  </conditionalFormatting>
  <conditionalFormatting sqref="H4346">
    <cfRule type="duplicateValues" dxfId="425" priority="404"/>
  </conditionalFormatting>
  <conditionalFormatting sqref="H4347">
    <cfRule type="duplicateValues" dxfId="424" priority="299"/>
  </conditionalFormatting>
  <conditionalFormatting sqref="H4348">
    <cfRule type="duplicateValues" dxfId="423" priority="320"/>
  </conditionalFormatting>
  <conditionalFormatting sqref="H4350">
    <cfRule type="duplicateValues" dxfId="422" priority="524"/>
  </conditionalFormatting>
  <conditionalFormatting sqref="H4351">
    <cfRule type="duplicateValues" dxfId="421" priority="485"/>
  </conditionalFormatting>
  <conditionalFormatting sqref="H4352">
    <cfRule type="duplicateValues" dxfId="420" priority="445"/>
  </conditionalFormatting>
  <conditionalFormatting sqref="H4353">
    <cfRule type="duplicateValues" dxfId="419" priority="424"/>
  </conditionalFormatting>
  <conditionalFormatting sqref="H4354">
    <cfRule type="duplicateValues" dxfId="418" priority="340"/>
  </conditionalFormatting>
  <conditionalFormatting sqref="H4355">
    <cfRule type="duplicateValues" dxfId="417" priority="290"/>
  </conditionalFormatting>
  <conditionalFormatting sqref="H4203:H4208">
    <cfRule type="duplicateValues" dxfId="416" priority="292"/>
  </conditionalFormatting>
  <conditionalFormatting sqref="J4203:J4208">
    <cfRule type="duplicateValues" dxfId="415" priority="293"/>
  </conditionalFormatting>
  <conditionalFormatting sqref="I4210:K4210">
    <cfRule type="duplicateValues" dxfId="414" priority="543"/>
  </conditionalFormatting>
  <conditionalFormatting sqref="I4211:K4211">
    <cfRule type="duplicateValues" dxfId="413" priority="423"/>
  </conditionalFormatting>
  <conditionalFormatting sqref="I4212:K4212">
    <cfRule type="duplicateValues" dxfId="412" priority="444"/>
  </conditionalFormatting>
  <conditionalFormatting sqref="I4213:K4213">
    <cfRule type="duplicateValues" dxfId="411" priority="505"/>
  </conditionalFormatting>
  <conditionalFormatting sqref="I4214:K4214">
    <cfRule type="duplicateValues" dxfId="410" priority="465"/>
  </conditionalFormatting>
  <conditionalFormatting sqref="I4215:K4215">
    <cfRule type="duplicateValues" dxfId="409" priority="484"/>
  </conditionalFormatting>
  <conditionalFormatting sqref="I4217:K4217">
    <cfRule type="duplicateValues" dxfId="408" priority="401"/>
  </conditionalFormatting>
  <conditionalFormatting sqref="I4218:K4218">
    <cfRule type="duplicateValues" dxfId="407" priority="542"/>
  </conditionalFormatting>
  <conditionalFormatting sqref="I4219:K4219">
    <cfRule type="duplicateValues" dxfId="406" priority="359"/>
  </conditionalFormatting>
  <conditionalFormatting sqref="I4220:K4220">
    <cfRule type="duplicateValues" dxfId="405" priority="338"/>
  </conditionalFormatting>
  <conditionalFormatting sqref="I4221:K4221">
    <cfRule type="duplicateValues" dxfId="404" priority="317"/>
  </conditionalFormatting>
  <conditionalFormatting sqref="I4222:K4222">
    <cfRule type="duplicateValues" dxfId="403" priority="379"/>
  </conditionalFormatting>
  <conditionalFormatting sqref="I4224:K4224">
    <cfRule type="duplicateValues" dxfId="402" priority="482"/>
  </conditionalFormatting>
  <conditionalFormatting sqref="I4225:K4225">
    <cfRule type="duplicateValues" dxfId="401" priority="399"/>
  </conditionalFormatting>
  <conditionalFormatting sqref="I4226:K4226">
    <cfRule type="duplicateValues" dxfId="400" priority="400"/>
  </conditionalFormatting>
  <conditionalFormatting sqref="I4227:K4227">
    <cfRule type="duplicateValues" dxfId="399" priority="463"/>
  </conditionalFormatting>
  <conditionalFormatting sqref="I4228:K4228">
    <cfRule type="duplicateValues" dxfId="398" priority="421"/>
  </conditionalFormatting>
  <conditionalFormatting sqref="I4229:K4229">
    <cfRule type="duplicateValues" dxfId="397" priority="442"/>
  </conditionalFormatting>
  <conditionalFormatting sqref="I4231:K4231">
    <cfRule type="duplicateValues" dxfId="396" priority="377"/>
  </conditionalFormatting>
  <conditionalFormatting sqref="I4232:K4232">
    <cfRule type="duplicateValues" dxfId="395" priority="315"/>
  </conditionalFormatting>
  <conditionalFormatting sqref="I4233:K4233">
    <cfRule type="duplicateValues" dxfId="394" priority="502"/>
  </conditionalFormatting>
  <conditionalFormatting sqref="I4234:K4234">
    <cfRule type="duplicateValues" dxfId="393" priority="540"/>
  </conditionalFormatting>
  <conditionalFormatting sqref="I4235:K4235">
    <cfRule type="duplicateValues" dxfId="392" priority="357"/>
  </conditionalFormatting>
  <conditionalFormatting sqref="I4236:K4236">
    <cfRule type="duplicateValues" dxfId="391" priority="336"/>
  </conditionalFormatting>
  <conditionalFormatting sqref="I4238:K4238">
    <cfRule type="duplicateValues" dxfId="390" priority="440"/>
  </conditionalFormatting>
  <conditionalFormatting sqref="I4239:K4239">
    <cfRule type="duplicateValues" dxfId="389" priority="461"/>
  </conditionalFormatting>
  <conditionalFormatting sqref="I4240:K4240">
    <cfRule type="duplicateValues" dxfId="388" priority="520"/>
  </conditionalFormatting>
  <conditionalFormatting sqref="I4241:K4241">
    <cfRule type="duplicateValues" dxfId="387" priority="419"/>
  </conditionalFormatting>
  <conditionalFormatting sqref="I4242:K4242">
    <cfRule type="duplicateValues" dxfId="386" priority="376"/>
  </conditionalFormatting>
  <conditionalFormatting sqref="I4243:K4243">
    <cfRule type="duplicateValues" dxfId="385" priority="397"/>
  </conditionalFormatting>
  <conditionalFormatting sqref="I4245:K4245">
    <cfRule type="duplicateValues" dxfId="384" priority="313"/>
  </conditionalFormatting>
  <conditionalFormatting sqref="I4246:K4246">
    <cfRule type="duplicateValues" dxfId="383" priority="355"/>
  </conditionalFormatting>
  <conditionalFormatting sqref="I4247:K4247">
    <cfRule type="duplicateValues" dxfId="382" priority="334"/>
  </conditionalFormatting>
  <conditionalFormatting sqref="I4248:K4248">
    <cfRule type="duplicateValues" dxfId="381" priority="479"/>
  </conditionalFormatting>
  <conditionalFormatting sqref="I4249:K4249">
    <cfRule type="duplicateValues" dxfId="380" priority="500"/>
  </conditionalFormatting>
  <conditionalFormatting sqref="I4250:K4250">
    <cfRule type="duplicateValues" dxfId="379" priority="538"/>
  </conditionalFormatting>
  <conditionalFormatting sqref="I4252:K4252">
    <cfRule type="duplicateValues" dxfId="378" priority="395"/>
  </conditionalFormatting>
  <conditionalFormatting sqref="I4253:K4253">
    <cfRule type="duplicateValues" dxfId="377" priority="417"/>
  </conditionalFormatting>
  <conditionalFormatting sqref="I4254:K4254">
    <cfRule type="duplicateValues" dxfId="376" priority="438"/>
  </conditionalFormatting>
  <conditionalFormatting sqref="I4255:K4255">
    <cfRule type="duplicateValues" dxfId="375" priority="518"/>
  </conditionalFormatting>
  <conditionalFormatting sqref="I4256:K4256">
    <cfRule type="duplicateValues" dxfId="374" priority="374"/>
  </conditionalFormatting>
  <conditionalFormatting sqref="I4257:K4257">
    <cfRule type="duplicateValues" dxfId="373" priority="312"/>
  </conditionalFormatting>
  <conditionalFormatting sqref="I4259:K4259">
    <cfRule type="duplicateValues" dxfId="372" priority="332"/>
  </conditionalFormatting>
  <conditionalFormatting sqref="I4260:K4260">
    <cfRule type="duplicateValues" dxfId="371" priority="498"/>
  </conditionalFormatting>
  <conditionalFormatting sqref="I4261:K4261">
    <cfRule type="duplicateValues" dxfId="370" priority="536"/>
  </conditionalFormatting>
  <conditionalFormatting sqref="I4262:K4262">
    <cfRule type="duplicateValues" dxfId="369" priority="458"/>
  </conditionalFormatting>
  <conditionalFormatting sqref="I4263:K4263">
    <cfRule type="duplicateValues" dxfId="368" priority="477"/>
  </conditionalFormatting>
  <conditionalFormatting sqref="I4264:K4264">
    <cfRule type="duplicateValues" dxfId="367" priority="353"/>
  </conditionalFormatting>
  <conditionalFormatting sqref="I4266:K4266">
    <cfRule type="duplicateValues" dxfId="366" priority="310"/>
  </conditionalFormatting>
  <conditionalFormatting sqref="I4267:K4267">
    <cfRule type="duplicateValues" dxfId="365" priority="372"/>
  </conditionalFormatting>
  <conditionalFormatting sqref="I4268:K4268">
    <cfRule type="duplicateValues" dxfId="364" priority="393"/>
  </conditionalFormatting>
  <conditionalFormatting sqref="I4269:K4269">
    <cfRule type="duplicateValues" dxfId="363" priority="415"/>
  </conditionalFormatting>
  <conditionalFormatting sqref="I4270:K4270">
    <cfRule type="duplicateValues" dxfId="362" priority="516"/>
  </conditionalFormatting>
  <conditionalFormatting sqref="I4271:K4271">
    <cfRule type="duplicateValues" dxfId="361" priority="331"/>
  </conditionalFormatting>
  <conditionalFormatting sqref="I4273:K4273">
    <cfRule type="duplicateValues" dxfId="360" priority="351"/>
  </conditionalFormatting>
  <conditionalFormatting sqref="I4274:K4274">
    <cfRule type="duplicateValues" dxfId="359" priority="456"/>
  </conditionalFormatting>
  <conditionalFormatting sqref="I4275:K4275">
    <cfRule type="duplicateValues" dxfId="358" priority="476"/>
  </conditionalFormatting>
  <conditionalFormatting sqref="I4276:K4276">
    <cfRule type="duplicateValues" dxfId="357" priority="435"/>
  </conditionalFormatting>
  <conditionalFormatting sqref="I4277:K4277">
    <cfRule type="duplicateValues" dxfId="356" priority="496"/>
  </conditionalFormatting>
  <conditionalFormatting sqref="I4278:K4278">
    <cfRule type="duplicateValues" dxfId="355" priority="296"/>
  </conditionalFormatting>
  <conditionalFormatting sqref="I4280:K4280">
    <cfRule type="duplicateValues" dxfId="354" priority="413"/>
  </conditionalFormatting>
  <conditionalFormatting sqref="I4281:K4281">
    <cfRule type="duplicateValues" dxfId="353" priority="434"/>
  </conditionalFormatting>
  <conditionalFormatting sqref="I4282:K4282">
    <cfRule type="duplicateValues" dxfId="352" priority="455"/>
  </conditionalFormatting>
  <conditionalFormatting sqref="I4283:K4283">
    <cfRule type="duplicateValues" dxfId="351" priority="533"/>
  </conditionalFormatting>
  <conditionalFormatting sqref="I4284:K4284">
    <cfRule type="duplicateValues" dxfId="350" priority="475"/>
  </conditionalFormatting>
  <conditionalFormatting sqref="I4285:K4285">
    <cfRule type="duplicateValues" dxfId="349" priority="495"/>
  </conditionalFormatting>
  <conditionalFormatting sqref="I4287:K4287">
    <cfRule type="duplicateValues" dxfId="348" priority="513"/>
  </conditionalFormatting>
  <conditionalFormatting sqref="I4288:K4288">
    <cfRule type="duplicateValues" dxfId="347" priority="349"/>
  </conditionalFormatting>
  <conditionalFormatting sqref="I4289:K4289">
    <cfRule type="duplicateValues" dxfId="346" priority="328"/>
  </conditionalFormatting>
  <conditionalFormatting sqref="I4290:K4290">
    <cfRule type="duplicateValues" dxfId="345" priority="307"/>
  </conditionalFormatting>
  <conditionalFormatting sqref="I4291:K4291">
    <cfRule type="duplicateValues" dxfId="344" priority="369"/>
  </conditionalFormatting>
  <conditionalFormatting sqref="I4292:K4292">
    <cfRule type="duplicateValues" dxfId="343" priority="390"/>
  </conditionalFormatting>
  <conditionalFormatting sqref="I4294:K4294">
    <cfRule type="duplicateValues" dxfId="342" priority="494"/>
  </conditionalFormatting>
  <conditionalFormatting sqref="I4295:K4295">
    <cfRule type="duplicateValues" dxfId="341" priority="295"/>
  </conditionalFormatting>
  <conditionalFormatting sqref="I4296:K4296">
    <cfRule type="duplicateValues" dxfId="340" priority="411"/>
  </conditionalFormatting>
  <conditionalFormatting sqref="I4297:K4297">
    <cfRule type="duplicateValues" dxfId="339" priority="473"/>
  </conditionalFormatting>
  <conditionalFormatting sqref="I4298:K4298">
    <cfRule type="duplicateValues" dxfId="338" priority="432"/>
  </conditionalFormatting>
  <conditionalFormatting sqref="I4299:K4299">
    <cfRule type="duplicateValues" dxfId="337" priority="453"/>
  </conditionalFormatting>
  <conditionalFormatting sqref="I4301:K4301">
    <cfRule type="duplicateValues" dxfId="336" priority="492"/>
  </conditionalFormatting>
  <conditionalFormatting sqref="I4302:K4302">
    <cfRule type="duplicateValues" dxfId="335" priority="367"/>
  </conditionalFormatting>
  <conditionalFormatting sqref="I4303:K4303">
    <cfRule type="duplicateValues" dxfId="334" priority="531"/>
  </conditionalFormatting>
  <conditionalFormatting sqref="I4304:K4304">
    <cfRule type="duplicateValues" dxfId="333" priority="347"/>
  </conditionalFormatting>
  <conditionalFormatting sqref="I4305:K4305">
    <cfRule type="duplicateValues" dxfId="332" priority="326"/>
  </conditionalFormatting>
  <conditionalFormatting sqref="I4306:K4306">
    <cfRule type="duplicateValues" dxfId="331" priority="305"/>
  </conditionalFormatting>
  <conditionalFormatting sqref="I4308:K4308">
    <cfRule type="duplicateValues" dxfId="330" priority="451"/>
  </conditionalFormatting>
  <conditionalFormatting sqref="I4309:K4309">
    <cfRule type="duplicateValues" dxfId="329" priority="471"/>
  </conditionalFormatting>
  <conditionalFormatting sqref="I4310:K4310">
    <cfRule type="duplicateValues" dxfId="328" priority="294"/>
  </conditionalFormatting>
  <conditionalFormatting sqref="I4311:K4311">
    <cfRule type="duplicateValues" dxfId="327" priority="430"/>
  </conditionalFormatting>
  <conditionalFormatting sqref="I4312:K4312">
    <cfRule type="duplicateValues" dxfId="326" priority="387"/>
  </conditionalFormatting>
  <conditionalFormatting sqref="I4313:K4313">
    <cfRule type="duplicateValues" dxfId="325" priority="410"/>
  </conditionalFormatting>
  <conditionalFormatting sqref="I4315:K4315">
    <cfRule type="duplicateValues" dxfId="324" priority="470"/>
  </conditionalFormatting>
  <conditionalFormatting sqref="I4316:K4316">
    <cfRule type="duplicateValues" dxfId="323" priority="324"/>
  </conditionalFormatting>
  <conditionalFormatting sqref="I4317:K4317">
    <cfRule type="duplicateValues" dxfId="322" priority="303"/>
  </conditionalFormatting>
  <conditionalFormatting sqref="I4318:K4318">
    <cfRule type="duplicateValues" dxfId="321" priority="490"/>
  </conditionalFormatting>
  <conditionalFormatting sqref="I4319:K4319">
    <cfRule type="duplicateValues" dxfId="320" priority="529"/>
  </conditionalFormatting>
  <conditionalFormatting sqref="I4320:K4320">
    <cfRule type="duplicateValues" dxfId="319" priority="345"/>
  </conditionalFormatting>
  <conditionalFormatting sqref="I4322:K4322">
    <cfRule type="duplicateValues" dxfId="318" priority="407"/>
  </conditionalFormatting>
  <conditionalFormatting sqref="I4323:K4323">
    <cfRule type="duplicateValues" dxfId="317" priority="428"/>
  </conditionalFormatting>
  <conditionalFormatting sqref="I4324:K4324">
    <cfRule type="duplicateValues" dxfId="316" priority="449"/>
  </conditionalFormatting>
  <conditionalFormatting sqref="I4325:K4325">
    <cfRule type="duplicateValues" dxfId="315" priority="385"/>
  </conditionalFormatting>
  <conditionalFormatting sqref="I4326:K4326">
    <cfRule type="duplicateValues" dxfId="314" priority="509"/>
  </conditionalFormatting>
  <conditionalFormatting sqref="I4327:K4327">
    <cfRule type="duplicateValues" dxfId="313" priority="364"/>
  </conditionalFormatting>
  <conditionalFormatting sqref="I4329:K4329">
    <cfRule type="duplicateValues" dxfId="312" priority="448"/>
  </conditionalFormatting>
  <conditionalFormatting sqref="I4330:K4330">
    <cfRule type="duplicateValues" dxfId="311" priority="527"/>
  </conditionalFormatting>
  <conditionalFormatting sqref="I4331:K4331">
    <cfRule type="duplicateValues" dxfId="310" priority="343"/>
  </conditionalFormatting>
  <conditionalFormatting sqref="I4332:K4332">
    <cfRule type="duplicateValues" dxfId="309" priority="468"/>
  </conditionalFormatting>
  <conditionalFormatting sqref="I4333:K4333">
    <cfRule type="duplicateValues" dxfId="308" priority="488"/>
  </conditionalFormatting>
  <conditionalFormatting sqref="I4334:K4334">
    <cfRule type="duplicateValues" dxfId="307" priority="322"/>
  </conditionalFormatting>
  <conditionalFormatting sqref="I4336:K4336">
    <cfRule type="duplicateValues" dxfId="306" priority="362"/>
  </conditionalFormatting>
  <conditionalFormatting sqref="I4337:K4337">
    <cfRule type="duplicateValues" dxfId="305" priority="383"/>
  </conditionalFormatting>
  <conditionalFormatting sqref="I4338:K4338">
    <cfRule type="duplicateValues" dxfId="304" priority="405"/>
  </conditionalFormatting>
  <conditionalFormatting sqref="I4339:K4339">
    <cfRule type="duplicateValues" dxfId="303" priority="426"/>
  </conditionalFormatting>
  <conditionalFormatting sqref="I4340:K4340">
    <cfRule type="duplicateValues" dxfId="302" priority="300"/>
  </conditionalFormatting>
  <conditionalFormatting sqref="I4341:K4341">
    <cfRule type="duplicateValues" dxfId="301" priority="507"/>
  </conditionalFormatting>
  <conditionalFormatting sqref="I4343:K4343">
    <cfRule type="duplicateValues" dxfId="300" priority="425"/>
  </conditionalFormatting>
  <conditionalFormatting sqref="I4344:K4344">
    <cfRule type="duplicateValues" dxfId="299" priority="466"/>
  </conditionalFormatting>
  <conditionalFormatting sqref="I4345:K4345">
    <cfRule type="duplicateValues" dxfId="298" priority="486"/>
  </conditionalFormatting>
  <conditionalFormatting sqref="I4346:K4346">
    <cfRule type="duplicateValues" dxfId="297" priority="446"/>
  </conditionalFormatting>
  <conditionalFormatting sqref="I4347:K4347">
    <cfRule type="duplicateValues" dxfId="296" priority="525"/>
  </conditionalFormatting>
  <conditionalFormatting sqref="I4348:K4348">
    <cfRule type="duplicateValues" dxfId="295" priority="341"/>
  </conditionalFormatting>
  <conditionalFormatting sqref="I4350:K4350">
    <cfRule type="duplicateValues" dxfId="294" priority="319"/>
  </conditionalFormatting>
  <conditionalFormatting sqref="I4351:K4351">
    <cfRule type="duplicateValues" dxfId="293" priority="298"/>
  </conditionalFormatting>
  <conditionalFormatting sqref="I4352:K4352">
    <cfRule type="duplicateValues" dxfId="292" priority="381"/>
  </conditionalFormatting>
  <conditionalFormatting sqref="I4353:K4353">
    <cfRule type="duplicateValues" dxfId="291" priority="403"/>
  </conditionalFormatting>
  <conditionalFormatting sqref="I4354:K4354">
    <cfRule type="duplicateValues" dxfId="290" priority="506"/>
  </conditionalFormatting>
  <conditionalFormatting sqref="I4355:K4355">
    <cfRule type="duplicateValues" dxfId="289" priority="289"/>
  </conditionalFormatting>
  <conditionalFormatting sqref="K4203:K4208">
    <cfRule type="duplicateValues" dxfId="288" priority="291"/>
  </conditionalFormatting>
  <conditionalFormatting sqref="H4357:K4463">
    <cfRule type="containsText" dxfId="287" priority="288" operator="containsText" text="code">
      <formula>NOT(ISERROR(SEARCH("code",H4357)))</formula>
    </cfRule>
  </conditionalFormatting>
  <conditionalFormatting sqref="G4465:K4571">
    <cfRule type="containsText" dxfId="286" priority="287" operator="containsText" text="code">
      <formula>NOT(ISERROR(SEARCH("code",G4465)))</formula>
    </cfRule>
  </conditionalFormatting>
  <conditionalFormatting sqref="G4573:G4578">
    <cfRule type="duplicateValues" dxfId="285" priority="38"/>
  </conditionalFormatting>
  <conditionalFormatting sqref="F4580:H4580">
    <cfRule type="duplicateValues" dxfId="284" priority="266"/>
  </conditionalFormatting>
  <conditionalFormatting sqref="F4581:H4581">
    <cfRule type="duplicateValues" dxfId="283" priority="146"/>
  </conditionalFormatting>
  <conditionalFormatting sqref="F4582:H4582">
    <cfRule type="duplicateValues" dxfId="282" priority="124"/>
  </conditionalFormatting>
  <conditionalFormatting sqref="F4583:H4583">
    <cfRule type="duplicateValues" dxfId="281" priority="104"/>
  </conditionalFormatting>
  <conditionalFormatting sqref="F4584:H4584">
    <cfRule type="duplicateValues" dxfId="280" priority="63"/>
  </conditionalFormatting>
  <conditionalFormatting sqref="F4585:H4585">
    <cfRule type="duplicateValues" dxfId="279" priority="84"/>
  </conditionalFormatting>
  <conditionalFormatting sqref="F4587:H4587">
    <cfRule type="duplicateValues" dxfId="278" priority="265"/>
  </conditionalFormatting>
  <conditionalFormatting sqref="F4588:H4588">
    <cfRule type="duplicateValues" dxfId="277" priority="248"/>
  </conditionalFormatting>
  <conditionalFormatting sqref="F4589:H4589">
    <cfRule type="duplicateValues" dxfId="276" priority="227"/>
  </conditionalFormatting>
  <conditionalFormatting sqref="F4590:H4590">
    <cfRule type="duplicateValues" dxfId="275" priority="208"/>
  </conditionalFormatting>
  <conditionalFormatting sqref="F4591:H4591">
    <cfRule type="duplicateValues" dxfId="274" priority="187"/>
  </conditionalFormatting>
  <conditionalFormatting sqref="F4592:H4592">
    <cfRule type="duplicateValues" dxfId="273" priority="166"/>
  </conditionalFormatting>
  <conditionalFormatting sqref="F4594:H4594">
    <cfRule type="duplicateValues" dxfId="272" priority="284"/>
  </conditionalFormatting>
  <conditionalFormatting sqref="F4595:H4595">
    <cfRule type="duplicateValues" dxfId="271" priority="247"/>
  </conditionalFormatting>
  <conditionalFormatting sqref="F4596:H4596">
    <cfRule type="duplicateValues" dxfId="270" priority="122"/>
  </conditionalFormatting>
  <conditionalFormatting sqref="F4597:H4597">
    <cfRule type="duplicateValues" dxfId="269" priority="102"/>
  </conditionalFormatting>
  <conditionalFormatting sqref="F4598:H4598">
    <cfRule type="duplicateValues" dxfId="268" priority="61"/>
  </conditionalFormatting>
  <conditionalFormatting sqref="F4599:H4599">
    <cfRule type="duplicateValues" dxfId="267" priority="82"/>
  </conditionalFormatting>
  <conditionalFormatting sqref="F4601:H4601">
    <cfRule type="duplicateValues" dxfId="266" priority="264"/>
  </conditionalFormatting>
  <conditionalFormatting sqref="F4602:H4602">
    <cfRule type="duplicateValues" dxfId="265" priority="142"/>
  </conditionalFormatting>
  <conditionalFormatting sqref="F4603:H4603">
    <cfRule type="duplicateValues" dxfId="264" priority="225"/>
  </conditionalFormatting>
  <conditionalFormatting sqref="F4604:H4604">
    <cfRule type="duplicateValues" dxfId="263" priority="206"/>
  </conditionalFormatting>
  <conditionalFormatting sqref="F4605:H4605">
    <cfRule type="duplicateValues" dxfId="262" priority="185"/>
  </conditionalFormatting>
  <conditionalFormatting sqref="F4606:H4606">
    <cfRule type="duplicateValues" dxfId="261" priority="164"/>
  </conditionalFormatting>
  <conditionalFormatting sqref="F4608:H4608">
    <cfRule type="duplicateValues" dxfId="260" priority="282"/>
  </conditionalFormatting>
  <conditionalFormatting sqref="F4609:H4609">
    <cfRule type="duplicateValues" dxfId="259" priority="245"/>
  </conditionalFormatting>
  <conditionalFormatting sqref="F4610:H4610">
    <cfRule type="duplicateValues" dxfId="258" priority="224"/>
  </conditionalFormatting>
  <conditionalFormatting sqref="F4611:H4611">
    <cfRule type="duplicateValues" dxfId="257" priority="100"/>
  </conditionalFormatting>
  <conditionalFormatting sqref="F4612:H4612">
    <cfRule type="duplicateValues" dxfId="256" priority="59"/>
  </conditionalFormatting>
  <conditionalFormatting sqref="F4613:H4613">
    <cfRule type="duplicateValues" dxfId="255" priority="80"/>
  </conditionalFormatting>
  <conditionalFormatting sqref="F4615:H4615">
    <cfRule type="duplicateValues" dxfId="254" priority="262"/>
  </conditionalFormatting>
  <conditionalFormatting sqref="F4616:H4616">
    <cfRule type="duplicateValues" dxfId="253" priority="140"/>
  </conditionalFormatting>
  <conditionalFormatting sqref="F4617:H4617">
    <cfRule type="duplicateValues" dxfId="252" priority="119"/>
  </conditionalFormatting>
  <conditionalFormatting sqref="F4618:H4618">
    <cfRule type="duplicateValues" dxfId="251" priority="204"/>
  </conditionalFormatting>
  <conditionalFormatting sqref="F4619:H4619">
    <cfRule type="duplicateValues" dxfId="250" priority="183"/>
  </conditionalFormatting>
  <conditionalFormatting sqref="F4620:H4620">
    <cfRule type="duplicateValues" dxfId="249" priority="162"/>
  </conditionalFormatting>
  <conditionalFormatting sqref="F4622:H4622">
    <cfRule type="duplicateValues" dxfId="248" priority="280"/>
  </conditionalFormatting>
  <conditionalFormatting sqref="F4623:H4623">
    <cfRule type="duplicateValues" dxfId="247" priority="243"/>
  </conditionalFormatting>
  <conditionalFormatting sqref="F4624:H4624">
    <cfRule type="duplicateValues" dxfId="246" priority="222"/>
  </conditionalFormatting>
  <conditionalFormatting sqref="F4625:H4625">
    <cfRule type="duplicateValues" dxfId="245" priority="203"/>
  </conditionalFormatting>
  <conditionalFormatting sqref="F4626:H4626">
    <cfRule type="duplicateValues" dxfId="244" priority="98"/>
  </conditionalFormatting>
  <conditionalFormatting sqref="F4627:H4627">
    <cfRule type="duplicateValues" dxfId="243" priority="78"/>
  </conditionalFormatting>
  <conditionalFormatting sqref="F4629:H4629">
    <cfRule type="duplicateValues" dxfId="242" priority="260"/>
  </conditionalFormatting>
  <conditionalFormatting sqref="F4630:H4630">
    <cfRule type="duplicateValues" dxfId="241" priority="138"/>
  </conditionalFormatting>
  <conditionalFormatting sqref="F4631:H4631">
    <cfRule type="duplicateValues" dxfId="240" priority="117"/>
  </conditionalFormatting>
  <conditionalFormatting sqref="F4632:H4632">
    <cfRule type="duplicateValues" dxfId="239" priority="181"/>
  </conditionalFormatting>
  <conditionalFormatting sqref="F4633:H4633">
    <cfRule type="duplicateValues" dxfId="238" priority="160"/>
  </conditionalFormatting>
  <conditionalFormatting sqref="F4634:H4634">
    <cfRule type="duplicateValues" dxfId="237" priority="56"/>
  </conditionalFormatting>
  <conditionalFormatting sqref="F4636:H4636">
    <cfRule type="duplicateValues" dxfId="236" priority="278"/>
  </conditionalFormatting>
  <conditionalFormatting sqref="F4637:H4637">
    <cfRule type="duplicateValues" dxfId="235" priority="241"/>
  </conditionalFormatting>
  <conditionalFormatting sqref="F4638:H4638">
    <cfRule type="duplicateValues" dxfId="234" priority="42"/>
  </conditionalFormatting>
  <conditionalFormatting sqref="F4639:H4639">
    <cfRule type="duplicateValues" dxfId="233" priority="201"/>
  </conditionalFormatting>
  <conditionalFormatting sqref="F4640:H4640">
    <cfRule type="duplicateValues" dxfId="232" priority="180"/>
  </conditionalFormatting>
  <conditionalFormatting sqref="F4641:H4641">
    <cfRule type="duplicateValues" dxfId="231" priority="96"/>
  </conditionalFormatting>
  <conditionalFormatting sqref="F4643:H4643">
    <cfRule type="duplicateValues" dxfId="230" priority="258"/>
  </conditionalFormatting>
  <conditionalFormatting sqref="F4644:H4644">
    <cfRule type="duplicateValues" dxfId="229" priority="136"/>
  </conditionalFormatting>
  <conditionalFormatting sqref="F4645:H4645">
    <cfRule type="duplicateValues" dxfId="228" priority="115"/>
  </conditionalFormatting>
  <conditionalFormatting sqref="F4646:H4646">
    <cfRule type="duplicateValues" dxfId="227" priority="158"/>
  </conditionalFormatting>
  <conditionalFormatting sqref="F4647:H4647">
    <cfRule type="duplicateValues" dxfId="226" priority="54"/>
  </conditionalFormatting>
  <conditionalFormatting sqref="F4648:H4648">
    <cfRule type="duplicateValues" dxfId="225" priority="75"/>
  </conditionalFormatting>
  <conditionalFormatting sqref="F4650:H4650">
    <cfRule type="duplicateValues" dxfId="224" priority="257"/>
  </conditionalFormatting>
  <conditionalFormatting sqref="F4651:H4651">
    <cfRule type="duplicateValues" dxfId="223" priority="135"/>
  </conditionalFormatting>
  <conditionalFormatting sqref="F4652:H4652">
    <cfRule type="duplicateValues" dxfId="222" priority="114"/>
  </conditionalFormatting>
  <conditionalFormatting sqref="F4653:H4653">
    <cfRule type="duplicateValues" dxfId="221" priority="94"/>
  </conditionalFormatting>
  <conditionalFormatting sqref="F4654:H4654">
    <cfRule type="duplicateValues" dxfId="220" priority="53"/>
  </conditionalFormatting>
  <conditionalFormatting sqref="F4655:H4655">
    <cfRule type="duplicateValues" dxfId="219" priority="74"/>
  </conditionalFormatting>
  <conditionalFormatting sqref="F4657:H4657">
    <cfRule type="duplicateValues" dxfId="218" priority="277"/>
  </conditionalFormatting>
  <conditionalFormatting sqref="F4658:H4658">
    <cfRule type="duplicateValues" dxfId="217" priority="237"/>
  </conditionalFormatting>
  <conditionalFormatting sqref="F4659:H4659">
    <cfRule type="duplicateValues" dxfId="216" priority="218"/>
  </conditionalFormatting>
  <conditionalFormatting sqref="F4660:H4660">
    <cfRule type="duplicateValues" dxfId="215" priority="198"/>
  </conditionalFormatting>
  <conditionalFormatting sqref="F4661:H4661">
    <cfRule type="duplicateValues" dxfId="214" priority="177"/>
  </conditionalFormatting>
  <conditionalFormatting sqref="F4662:H4662">
    <cfRule type="duplicateValues" dxfId="213" priority="156"/>
  </conditionalFormatting>
  <conditionalFormatting sqref="F4664:H4664">
    <cfRule type="duplicateValues" dxfId="212" priority="275"/>
  </conditionalFormatting>
  <conditionalFormatting sqref="F4665:H4665">
    <cfRule type="duplicateValues" dxfId="211" priority="133"/>
  </conditionalFormatting>
  <conditionalFormatting sqref="F4666:H4666">
    <cfRule type="duplicateValues" dxfId="210" priority="112"/>
  </conditionalFormatting>
  <conditionalFormatting sqref="F4667:H4667">
    <cfRule type="duplicateValues" dxfId="209" priority="92"/>
  </conditionalFormatting>
  <conditionalFormatting sqref="F4668:H4668">
    <cfRule type="duplicateValues" dxfId="208" priority="51"/>
  </conditionalFormatting>
  <conditionalFormatting sqref="F4669:H4669">
    <cfRule type="duplicateValues" dxfId="207" priority="72"/>
  </conditionalFormatting>
  <conditionalFormatting sqref="F4671:H4671">
    <cfRule type="duplicateValues" dxfId="206" priority="255"/>
  </conditionalFormatting>
  <conditionalFormatting sqref="F4672:H4672">
    <cfRule type="duplicateValues" dxfId="205" priority="132"/>
  </conditionalFormatting>
  <conditionalFormatting sqref="F4673:H4673">
    <cfRule type="duplicateValues" dxfId="204" priority="216"/>
  </conditionalFormatting>
  <conditionalFormatting sqref="F4674:H4674">
    <cfRule type="duplicateValues" dxfId="203" priority="196"/>
  </conditionalFormatting>
  <conditionalFormatting sqref="F4675:H4675">
    <cfRule type="duplicateValues" dxfId="202" priority="175"/>
  </conditionalFormatting>
  <conditionalFormatting sqref="F4676:H4676">
    <cfRule type="duplicateValues" dxfId="201" priority="153"/>
  </conditionalFormatting>
  <conditionalFormatting sqref="F4678:H4678">
    <cfRule type="duplicateValues" dxfId="200" priority="273"/>
  </conditionalFormatting>
  <conditionalFormatting sqref="F4679:H4679">
    <cfRule type="duplicateValues" dxfId="199" priority="235"/>
  </conditionalFormatting>
  <conditionalFormatting sqref="F4680:H4680">
    <cfRule type="duplicateValues" dxfId="198" priority="110"/>
  </conditionalFormatting>
  <conditionalFormatting sqref="F4681:H4681">
    <cfRule type="duplicateValues" dxfId="197" priority="90"/>
  </conditionalFormatting>
  <conditionalFormatting sqref="F4682:H4682">
    <cfRule type="duplicateValues" dxfId="196" priority="49"/>
  </conditionalFormatting>
  <conditionalFormatting sqref="F4683:H4683">
    <cfRule type="duplicateValues" dxfId="195" priority="70"/>
  </conditionalFormatting>
  <conditionalFormatting sqref="F4685:H4685">
    <cfRule type="duplicateValues" dxfId="194" priority="254"/>
  </conditionalFormatting>
  <conditionalFormatting sqref="F4686:H4686">
    <cfRule type="duplicateValues" dxfId="193" priority="130"/>
  </conditionalFormatting>
  <conditionalFormatting sqref="F4687:H4687">
    <cfRule type="duplicateValues" dxfId="192" priority="109"/>
  </conditionalFormatting>
  <conditionalFormatting sqref="F4688:H4688">
    <cfRule type="duplicateValues" dxfId="191" priority="194"/>
  </conditionalFormatting>
  <conditionalFormatting sqref="F4689:H4689">
    <cfRule type="duplicateValues" dxfId="190" priority="173"/>
  </conditionalFormatting>
  <conditionalFormatting sqref="F4690:H4690">
    <cfRule type="duplicateValues" dxfId="189" priority="152"/>
  </conditionalFormatting>
  <conditionalFormatting sqref="F4692:H4692">
    <cfRule type="duplicateValues" dxfId="188" priority="271"/>
  </conditionalFormatting>
  <conditionalFormatting sqref="F4693:H4693">
    <cfRule type="duplicateValues" dxfId="187" priority="233"/>
  </conditionalFormatting>
  <conditionalFormatting sqref="F4694:H4694">
    <cfRule type="duplicateValues" dxfId="186" priority="213"/>
  </conditionalFormatting>
  <conditionalFormatting sqref="F4695:H4695">
    <cfRule type="duplicateValues" dxfId="185" priority="88"/>
  </conditionalFormatting>
  <conditionalFormatting sqref="F4696:H4696">
    <cfRule type="duplicateValues" dxfId="184" priority="47"/>
  </conditionalFormatting>
  <conditionalFormatting sqref="F4697:H4697">
    <cfRule type="duplicateValues" dxfId="183" priority="68"/>
  </conditionalFormatting>
  <conditionalFormatting sqref="F4699:H4699">
    <cfRule type="duplicateValues" dxfId="182" priority="253"/>
  </conditionalFormatting>
  <conditionalFormatting sqref="F4700:H4700">
    <cfRule type="duplicateValues" dxfId="181" priority="128"/>
  </conditionalFormatting>
  <conditionalFormatting sqref="F4701:H4701">
    <cfRule type="duplicateValues" dxfId="180" priority="107"/>
  </conditionalFormatting>
  <conditionalFormatting sqref="F4702:H4702">
    <cfRule type="duplicateValues" dxfId="179" priority="171"/>
  </conditionalFormatting>
  <conditionalFormatting sqref="F4703:H4703">
    <cfRule type="duplicateValues" dxfId="178" priority="150"/>
  </conditionalFormatting>
  <conditionalFormatting sqref="F4704:H4704">
    <cfRule type="duplicateValues" dxfId="177" priority="46"/>
  </conditionalFormatting>
  <conditionalFormatting sqref="F4706:H4706">
    <cfRule type="duplicateValues" dxfId="176" priority="269"/>
  </conditionalFormatting>
  <conditionalFormatting sqref="F4707:H4707">
    <cfRule type="duplicateValues" dxfId="175" priority="231"/>
  </conditionalFormatting>
  <conditionalFormatting sqref="F4708:H4708">
    <cfRule type="duplicateValues" dxfId="174" priority="211"/>
  </conditionalFormatting>
  <conditionalFormatting sqref="F4709:H4709">
    <cfRule type="duplicateValues" dxfId="173" priority="191"/>
  </conditionalFormatting>
  <conditionalFormatting sqref="F4710:H4710">
    <cfRule type="duplicateValues" dxfId="172" priority="86"/>
  </conditionalFormatting>
  <conditionalFormatting sqref="F4711:H4711">
    <cfRule type="duplicateValues" dxfId="171" priority="66"/>
  </conditionalFormatting>
  <conditionalFormatting sqref="F4713:H4713">
    <cfRule type="duplicateValues" dxfId="170" priority="251"/>
  </conditionalFormatting>
  <conditionalFormatting sqref="F4714:H4714">
    <cfRule type="duplicateValues" dxfId="169" priority="126"/>
  </conditionalFormatting>
  <conditionalFormatting sqref="F4715:H4715">
    <cfRule type="duplicateValues" dxfId="168" priority="105"/>
  </conditionalFormatting>
  <conditionalFormatting sqref="F4716:H4716">
    <cfRule type="duplicateValues" dxfId="167" priority="148"/>
  </conditionalFormatting>
  <conditionalFormatting sqref="F4717:H4717">
    <cfRule type="duplicateValues" dxfId="166" priority="44"/>
  </conditionalFormatting>
  <conditionalFormatting sqref="F4718:H4718">
    <cfRule type="duplicateValues" dxfId="165" priority="65"/>
  </conditionalFormatting>
  <conditionalFormatting sqref="F4720:H4720">
    <cfRule type="duplicateValues" dxfId="164" priority="267"/>
  </conditionalFormatting>
  <conditionalFormatting sqref="F4721:H4721">
    <cfRule type="duplicateValues" dxfId="163" priority="229"/>
  </conditionalFormatting>
  <conditionalFormatting sqref="F4722:H4722">
    <cfRule type="duplicateValues" dxfId="162" priority="189"/>
  </conditionalFormatting>
  <conditionalFormatting sqref="F4723:H4723">
    <cfRule type="duplicateValues" dxfId="161" priority="168"/>
  </conditionalFormatting>
  <conditionalFormatting sqref="H4573:H4578">
    <cfRule type="duplicateValues" dxfId="160" priority="36"/>
  </conditionalFormatting>
  <conditionalFormatting sqref="J4573:J4578">
    <cfRule type="duplicateValues" dxfId="159" priority="37"/>
  </conditionalFormatting>
  <conditionalFormatting sqref="I4580:K4580">
    <cfRule type="duplicateValues" dxfId="158" priority="286"/>
  </conditionalFormatting>
  <conditionalFormatting sqref="I4581:K4581">
    <cfRule type="duplicateValues" dxfId="157" priority="167"/>
  </conditionalFormatting>
  <conditionalFormatting sqref="I4582:K4582">
    <cfRule type="duplicateValues" dxfId="156" priority="188"/>
  </conditionalFormatting>
  <conditionalFormatting sqref="I4583:K4583">
    <cfRule type="duplicateValues" dxfId="155" priority="249"/>
  </conditionalFormatting>
  <conditionalFormatting sqref="I4584:K4584">
    <cfRule type="duplicateValues" dxfId="154" priority="209"/>
  </conditionalFormatting>
  <conditionalFormatting sqref="I4585:K4585">
    <cfRule type="duplicateValues" dxfId="153" priority="228"/>
  </conditionalFormatting>
  <conditionalFormatting sqref="I4587:K4587">
    <cfRule type="duplicateValues" dxfId="152" priority="145"/>
  </conditionalFormatting>
  <conditionalFormatting sqref="I4588:K4588">
    <cfRule type="duplicateValues" dxfId="151" priority="285"/>
  </conditionalFormatting>
  <conditionalFormatting sqref="I4589:K4589">
    <cfRule type="duplicateValues" dxfId="150" priority="103"/>
  </conditionalFormatting>
  <conditionalFormatting sqref="I4590:K4590">
    <cfRule type="duplicateValues" dxfId="149" priority="83"/>
  </conditionalFormatting>
  <conditionalFormatting sqref="I4591:K4591">
    <cfRule type="duplicateValues" dxfId="148" priority="62"/>
  </conditionalFormatting>
  <conditionalFormatting sqref="I4592:K4592">
    <cfRule type="duplicateValues" dxfId="147" priority="123"/>
  </conditionalFormatting>
  <conditionalFormatting sqref="I4594:K4594">
    <cfRule type="duplicateValues" dxfId="146" priority="226"/>
  </conditionalFormatting>
  <conditionalFormatting sqref="I4595:K4595">
    <cfRule type="duplicateValues" dxfId="145" priority="143"/>
  </conditionalFormatting>
  <conditionalFormatting sqref="I4596:K4596">
    <cfRule type="duplicateValues" dxfId="144" priority="144"/>
  </conditionalFormatting>
  <conditionalFormatting sqref="I4597:K4597">
    <cfRule type="duplicateValues" dxfId="143" priority="207"/>
  </conditionalFormatting>
  <conditionalFormatting sqref="I4598:K4598">
    <cfRule type="duplicateValues" dxfId="142" priority="165"/>
  </conditionalFormatting>
  <conditionalFormatting sqref="I4599:K4599">
    <cfRule type="duplicateValues" dxfId="141" priority="186"/>
  </conditionalFormatting>
  <conditionalFormatting sqref="I4601:K4601">
    <cfRule type="duplicateValues" dxfId="140" priority="121"/>
  </conditionalFormatting>
  <conditionalFormatting sqref="I4602:K4602">
    <cfRule type="duplicateValues" dxfId="139" priority="60"/>
  </conditionalFormatting>
  <conditionalFormatting sqref="I4603:K4603">
    <cfRule type="duplicateValues" dxfId="138" priority="246"/>
  </conditionalFormatting>
  <conditionalFormatting sqref="I4604:K4604">
    <cfRule type="duplicateValues" dxfId="137" priority="283"/>
  </conditionalFormatting>
  <conditionalFormatting sqref="I4605:K4605">
    <cfRule type="duplicateValues" dxfId="136" priority="101"/>
  </conditionalFormatting>
  <conditionalFormatting sqref="I4606:K4606">
    <cfRule type="duplicateValues" dxfId="135" priority="81"/>
  </conditionalFormatting>
  <conditionalFormatting sqref="I4608:K4608">
    <cfRule type="duplicateValues" dxfId="134" priority="184"/>
  </conditionalFormatting>
  <conditionalFormatting sqref="I4609:K4609">
    <cfRule type="duplicateValues" dxfId="133" priority="205"/>
  </conditionalFormatting>
  <conditionalFormatting sqref="I4610:K4610">
    <cfRule type="duplicateValues" dxfId="132" priority="263"/>
  </conditionalFormatting>
  <conditionalFormatting sqref="I4611:K4611">
    <cfRule type="duplicateValues" dxfId="131" priority="163"/>
  </conditionalFormatting>
  <conditionalFormatting sqref="I4612:K4612">
    <cfRule type="duplicateValues" dxfId="130" priority="120"/>
  </conditionalFormatting>
  <conditionalFormatting sqref="I4613:K4613">
    <cfRule type="duplicateValues" dxfId="129" priority="141"/>
  </conditionalFormatting>
  <conditionalFormatting sqref="I4615:K4615">
    <cfRule type="duplicateValues" dxfId="128" priority="58"/>
  </conditionalFormatting>
  <conditionalFormatting sqref="I4616:K4616">
    <cfRule type="duplicateValues" dxfId="127" priority="99"/>
  </conditionalFormatting>
  <conditionalFormatting sqref="I4617:K4617">
    <cfRule type="duplicateValues" dxfId="126" priority="79"/>
  </conditionalFormatting>
  <conditionalFormatting sqref="I4618:K4618">
    <cfRule type="duplicateValues" dxfId="125" priority="223"/>
  </conditionalFormatting>
  <conditionalFormatting sqref="I4619:K4619">
    <cfRule type="duplicateValues" dxfId="124" priority="244"/>
  </conditionalFormatting>
  <conditionalFormatting sqref="I4620:K4620">
    <cfRule type="duplicateValues" dxfId="123" priority="281"/>
  </conditionalFormatting>
  <conditionalFormatting sqref="I4622:K4622">
    <cfRule type="duplicateValues" dxfId="122" priority="139"/>
  </conditionalFormatting>
  <conditionalFormatting sqref="I4623:K4623">
    <cfRule type="duplicateValues" dxfId="121" priority="161"/>
  </conditionalFormatting>
  <conditionalFormatting sqref="I4624:K4624">
    <cfRule type="duplicateValues" dxfId="120" priority="182"/>
  </conditionalFormatting>
  <conditionalFormatting sqref="I4625:K4625">
    <cfRule type="duplicateValues" dxfId="119" priority="261"/>
  </conditionalFormatting>
  <conditionalFormatting sqref="I4626:K4626">
    <cfRule type="duplicateValues" dxfId="118" priority="118"/>
  </conditionalFormatting>
  <conditionalFormatting sqref="I4627:K4627">
    <cfRule type="duplicateValues" dxfId="117" priority="57"/>
  </conditionalFormatting>
  <conditionalFormatting sqref="I4629:K4629">
    <cfRule type="duplicateValues" dxfId="116" priority="77"/>
  </conditionalFormatting>
  <conditionalFormatting sqref="I4630:K4630">
    <cfRule type="duplicateValues" dxfId="115" priority="242"/>
  </conditionalFormatting>
  <conditionalFormatting sqref="I4631:K4631">
    <cfRule type="duplicateValues" dxfId="114" priority="279"/>
  </conditionalFormatting>
  <conditionalFormatting sqref="I4632:K4632">
    <cfRule type="duplicateValues" dxfId="113" priority="202"/>
  </conditionalFormatting>
  <conditionalFormatting sqref="I4633:K4633">
    <cfRule type="duplicateValues" dxfId="112" priority="221"/>
  </conditionalFormatting>
  <conditionalFormatting sqref="I4634:K4634">
    <cfRule type="duplicateValues" dxfId="111" priority="97"/>
  </conditionalFormatting>
  <conditionalFormatting sqref="I4636:K4636">
    <cfRule type="duplicateValues" dxfId="110" priority="55"/>
  </conditionalFormatting>
  <conditionalFormatting sqref="I4637:K4637">
    <cfRule type="duplicateValues" dxfId="109" priority="116"/>
  </conditionalFormatting>
  <conditionalFormatting sqref="I4638:K4638">
    <cfRule type="duplicateValues" dxfId="108" priority="137"/>
  </conditionalFormatting>
  <conditionalFormatting sqref="I4639:K4639">
    <cfRule type="duplicateValues" dxfId="107" priority="159"/>
  </conditionalFormatting>
  <conditionalFormatting sqref="I4640:K4640">
    <cfRule type="duplicateValues" dxfId="106" priority="259"/>
  </conditionalFormatting>
  <conditionalFormatting sqref="I4641:K4641">
    <cfRule type="duplicateValues" dxfId="105" priority="76"/>
  </conditionalFormatting>
  <conditionalFormatting sqref="I4643:K4643">
    <cfRule type="duplicateValues" dxfId="104" priority="95"/>
  </conditionalFormatting>
  <conditionalFormatting sqref="I4644:K4644">
    <cfRule type="duplicateValues" dxfId="103" priority="200"/>
  </conditionalFormatting>
  <conditionalFormatting sqref="I4645:K4645">
    <cfRule type="duplicateValues" dxfId="102" priority="220"/>
  </conditionalFormatting>
  <conditionalFormatting sqref="I4646:K4646">
    <cfRule type="duplicateValues" dxfId="101" priority="179"/>
  </conditionalFormatting>
  <conditionalFormatting sqref="I4647:K4647">
    <cfRule type="duplicateValues" dxfId="100" priority="240"/>
  </conditionalFormatting>
  <conditionalFormatting sqref="I4648:K4648">
    <cfRule type="duplicateValues" dxfId="99" priority="41"/>
  </conditionalFormatting>
  <conditionalFormatting sqref="I4650:K4650">
    <cfRule type="duplicateValues" dxfId="98" priority="157"/>
  </conditionalFormatting>
  <conditionalFormatting sqref="I4651:K4651">
    <cfRule type="duplicateValues" dxfId="97" priority="178"/>
  </conditionalFormatting>
  <conditionalFormatting sqref="I4652:K4652">
    <cfRule type="duplicateValues" dxfId="96" priority="199"/>
  </conditionalFormatting>
  <conditionalFormatting sqref="I4653:K4653">
    <cfRule type="duplicateValues" dxfId="95" priority="276"/>
  </conditionalFormatting>
  <conditionalFormatting sqref="I4654:K4654">
    <cfRule type="duplicateValues" dxfId="94" priority="219"/>
  </conditionalFormatting>
  <conditionalFormatting sqref="I4655:K4655">
    <cfRule type="duplicateValues" dxfId="93" priority="239"/>
  </conditionalFormatting>
  <conditionalFormatting sqref="I4657:K4657">
    <cfRule type="duplicateValues" dxfId="92" priority="256"/>
  </conditionalFormatting>
  <conditionalFormatting sqref="I4658:K4658">
    <cfRule type="duplicateValues" dxfId="91" priority="93"/>
  </conditionalFormatting>
  <conditionalFormatting sqref="I4659:K4659">
    <cfRule type="duplicateValues" dxfId="90" priority="73"/>
  </conditionalFormatting>
  <conditionalFormatting sqref="I4660:K4660">
    <cfRule type="duplicateValues" dxfId="89" priority="52"/>
  </conditionalFormatting>
  <conditionalFormatting sqref="I4661:K4661">
    <cfRule type="duplicateValues" dxfId="88" priority="113"/>
  </conditionalFormatting>
  <conditionalFormatting sqref="I4662:K4662">
    <cfRule type="duplicateValues" dxfId="87" priority="134"/>
  </conditionalFormatting>
  <conditionalFormatting sqref="I4664:K4664">
    <cfRule type="duplicateValues" dxfId="86" priority="238"/>
  </conditionalFormatting>
  <conditionalFormatting sqref="I4665:K4665">
    <cfRule type="duplicateValues" dxfId="85" priority="40"/>
  </conditionalFormatting>
  <conditionalFormatting sqref="I4666:K4666">
    <cfRule type="duplicateValues" dxfId="84" priority="155"/>
  </conditionalFormatting>
  <conditionalFormatting sqref="I4667:K4667">
    <cfRule type="duplicateValues" dxfId="83" priority="217"/>
  </conditionalFormatting>
  <conditionalFormatting sqref="I4668:K4668">
    <cfRule type="duplicateValues" dxfId="82" priority="176"/>
  </conditionalFormatting>
  <conditionalFormatting sqref="I4669:K4669">
    <cfRule type="duplicateValues" dxfId="81" priority="197"/>
  </conditionalFormatting>
  <conditionalFormatting sqref="I4671:K4671">
    <cfRule type="duplicateValues" dxfId="80" priority="236"/>
  </conditionalFormatting>
  <conditionalFormatting sqref="I4672:K4672">
    <cfRule type="duplicateValues" dxfId="79" priority="111"/>
  </conditionalFormatting>
  <conditionalFormatting sqref="I4673:K4673">
    <cfRule type="duplicateValues" dxfId="78" priority="274"/>
  </conditionalFormatting>
  <conditionalFormatting sqref="I4674:K4674">
    <cfRule type="duplicateValues" dxfId="77" priority="91"/>
  </conditionalFormatting>
  <conditionalFormatting sqref="I4675:K4675">
    <cfRule type="duplicateValues" dxfId="76" priority="71"/>
  </conditionalFormatting>
  <conditionalFormatting sqref="I4676:K4676">
    <cfRule type="duplicateValues" dxfId="75" priority="50"/>
  </conditionalFormatting>
  <conditionalFormatting sqref="I4678:K4678">
    <cfRule type="duplicateValues" dxfId="74" priority="195"/>
  </conditionalFormatting>
  <conditionalFormatting sqref="I4679:K4679">
    <cfRule type="duplicateValues" dxfId="73" priority="215"/>
  </conditionalFormatting>
  <conditionalFormatting sqref="I4680:K4680">
    <cfRule type="duplicateValues" dxfId="72" priority="39"/>
  </conditionalFormatting>
  <conditionalFormatting sqref="I4681:K4681">
    <cfRule type="duplicateValues" dxfId="71" priority="174"/>
  </conditionalFormatting>
  <conditionalFormatting sqref="I4682:K4682">
    <cfRule type="duplicateValues" dxfId="70" priority="131"/>
  </conditionalFormatting>
  <conditionalFormatting sqref="I4683:K4683">
    <cfRule type="duplicateValues" dxfId="69" priority="154"/>
  </conditionalFormatting>
  <conditionalFormatting sqref="I4685:K4685">
    <cfRule type="duplicateValues" dxfId="68" priority="214"/>
  </conditionalFormatting>
  <conditionalFormatting sqref="I4686:K4686">
    <cfRule type="duplicateValues" dxfId="67" priority="69"/>
  </conditionalFormatting>
  <conditionalFormatting sqref="I4687:K4687">
    <cfRule type="duplicateValues" dxfId="66" priority="48"/>
  </conditionalFormatting>
  <conditionalFormatting sqref="I4688:K4688">
    <cfRule type="duplicateValues" dxfId="65" priority="234"/>
  </conditionalFormatting>
  <conditionalFormatting sqref="I4689:K4689">
    <cfRule type="duplicateValues" dxfId="64" priority="272"/>
  </conditionalFormatting>
  <conditionalFormatting sqref="I4690:K4690">
    <cfRule type="duplicateValues" dxfId="63" priority="89"/>
  </conditionalFormatting>
  <conditionalFormatting sqref="I4692:K4692">
    <cfRule type="duplicateValues" dxfId="62" priority="151"/>
  </conditionalFormatting>
  <conditionalFormatting sqref="I4693:K4693">
    <cfRule type="duplicateValues" dxfId="61" priority="172"/>
  </conditionalFormatting>
  <conditionalFormatting sqref="I4694:K4694">
    <cfRule type="duplicateValues" dxfId="60" priority="193"/>
  </conditionalFormatting>
  <conditionalFormatting sqref="I4695:K4695">
    <cfRule type="duplicateValues" dxfId="59" priority="129"/>
  </conditionalFormatting>
  <conditionalFormatting sqref="I4696:K4696">
    <cfRule type="duplicateValues" dxfId="58" priority="252"/>
  </conditionalFormatting>
  <conditionalFormatting sqref="I4697:K4697">
    <cfRule type="duplicateValues" dxfId="57" priority="108"/>
  </conditionalFormatting>
  <conditionalFormatting sqref="I4699:K4699">
    <cfRule type="duplicateValues" dxfId="56" priority="192"/>
  </conditionalFormatting>
  <conditionalFormatting sqref="I4700:K4700">
    <cfRule type="duplicateValues" dxfId="55" priority="270"/>
  </conditionalFormatting>
  <conditionalFormatting sqref="I4701:K4701">
    <cfRule type="duplicateValues" dxfId="54" priority="87"/>
  </conditionalFormatting>
  <conditionalFormatting sqref="I4702:K4702">
    <cfRule type="duplicateValues" dxfId="53" priority="212"/>
  </conditionalFormatting>
  <conditionalFormatting sqref="I4703:K4703">
    <cfRule type="duplicateValues" dxfId="52" priority="232"/>
  </conditionalFormatting>
  <conditionalFormatting sqref="I4704:K4704">
    <cfRule type="duplicateValues" dxfId="51" priority="67"/>
  </conditionalFormatting>
  <conditionalFormatting sqref="I4706:K4706">
    <cfRule type="duplicateValues" dxfId="50" priority="106"/>
  </conditionalFormatting>
  <conditionalFormatting sqref="I4707:K4707">
    <cfRule type="duplicateValues" dxfId="49" priority="127"/>
  </conditionalFormatting>
  <conditionalFormatting sqref="I4708:K4708">
    <cfRule type="duplicateValues" dxfId="48" priority="149"/>
  </conditionalFormatting>
  <conditionalFormatting sqref="I4709:K4709">
    <cfRule type="duplicateValues" dxfId="47" priority="170"/>
  </conditionalFormatting>
  <conditionalFormatting sqref="I4710:K4710">
    <cfRule type="duplicateValues" dxfId="46" priority="45"/>
  </conditionalFormatting>
  <conditionalFormatting sqref="I4711:K4711">
    <cfRule type="duplicateValues" dxfId="45" priority="250"/>
  </conditionalFormatting>
  <conditionalFormatting sqref="I4713:K4713">
    <cfRule type="duplicateValues" dxfId="44" priority="169"/>
  </conditionalFormatting>
  <conditionalFormatting sqref="I4714:K4714">
    <cfRule type="duplicateValues" dxfId="43" priority="210"/>
  </conditionalFormatting>
  <conditionalFormatting sqref="I4715:K4715">
    <cfRule type="duplicateValues" dxfId="42" priority="230"/>
  </conditionalFormatting>
  <conditionalFormatting sqref="I4716:K4716">
    <cfRule type="duplicateValues" dxfId="41" priority="190"/>
  </conditionalFormatting>
  <conditionalFormatting sqref="I4717:K4717">
    <cfRule type="duplicateValues" dxfId="40" priority="268"/>
  </conditionalFormatting>
  <conditionalFormatting sqref="I4718:K4718">
    <cfRule type="duplicateValues" dxfId="39" priority="85"/>
  </conditionalFormatting>
  <conditionalFormatting sqref="I4720:K4720">
    <cfRule type="duplicateValues" dxfId="38" priority="64"/>
  </conditionalFormatting>
  <conditionalFormatting sqref="I4721:K4721">
    <cfRule type="duplicateValues" dxfId="37" priority="43"/>
  </conditionalFormatting>
  <conditionalFormatting sqref="I4722:K4722">
    <cfRule type="duplicateValues" dxfId="36" priority="125"/>
  </conditionalFormatting>
  <conditionalFormatting sqref="I4723:K4723">
    <cfRule type="duplicateValues" dxfId="35" priority="147"/>
  </conditionalFormatting>
  <conditionalFormatting sqref="K4573:K4578">
    <cfRule type="duplicateValues" dxfId="34" priority="35"/>
  </conditionalFormatting>
  <conditionalFormatting sqref="F281:F433">
    <cfRule type="containsText" dxfId="33" priority="33" operator="containsText" text="Code">
      <formula>NOT(ISERROR(SEARCH("Code",F281)))</formula>
    </cfRule>
    <cfRule type="containsText" dxfId="32" priority="34" operator="containsText" text="c'[Fixtures All.xlsx]Women Filtered'!$F$2">
      <formula>NOT(ISERROR(SEARCH("c'[Fixtures All.xlsx]Women Filtered'!$F$2",F281)))</formula>
    </cfRule>
  </conditionalFormatting>
  <conditionalFormatting sqref="F589:F594">
    <cfRule type="duplicateValues" dxfId="31" priority="31"/>
  </conditionalFormatting>
  <conditionalFormatting sqref="F720:F721">
    <cfRule type="duplicateValues" dxfId="30" priority="32"/>
  </conditionalFormatting>
  <conditionalFormatting sqref="F1051:F1203">
    <cfRule type="containsText" dxfId="29" priority="30" operator="containsText" text="BM5E!$F$26M5E!$F$26">
      <formula>NOT(ISERROR(SEARCH("BM5E!$F$26M5E!$F$26",F1051)))</formula>
    </cfRule>
  </conditionalFormatting>
  <conditionalFormatting sqref="F1205:F1357">
    <cfRule type="containsText" dxfId="28" priority="28" operator="containsText" text="Code">
      <formula>NOT(ISERROR(SEARCH("Code",F1205)))</formula>
    </cfRule>
    <cfRule type="containsText" dxfId="27" priority="29" operator="containsText" text="c'[Fixtures All.xlsx]Women Filtered'!$F$2">
      <formula>NOT(ISERROR(SEARCH("c'[Fixtures All.xlsx]Women Filtered'!$F$2",F1205)))</formula>
    </cfRule>
  </conditionalFormatting>
  <conditionalFormatting sqref="F1359:F1511">
    <cfRule type="containsText" dxfId="26" priority="27" operator="containsText" text="Code">
      <formula>NOT(ISERROR(SEARCH("Code",F1359)))</formula>
    </cfRule>
  </conditionalFormatting>
  <conditionalFormatting sqref="F1821:F1927">
    <cfRule type="containsText" dxfId="25" priority="26" operator="containsText" text="Code">
      <formula>NOT(ISERROR(SEARCH("Code",F1821)))</formula>
    </cfRule>
  </conditionalFormatting>
  <conditionalFormatting sqref="F2037:F2042">
    <cfRule type="duplicateValues" dxfId="24" priority="24"/>
  </conditionalFormatting>
  <conditionalFormatting sqref="F2168:F2169">
    <cfRule type="duplicateValues" dxfId="23" priority="25"/>
  </conditionalFormatting>
  <conditionalFormatting sqref="F2037:F2189">
    <cfRule type="containsText" dxfId="22" priority="23" operator="containsText" text="Code">
      <formula>NOT(ISERROR(SEARCH("Code",F2037)))</formula>
    </cfRule>
  </conditionalFormatting>
  <conditionalFormatting sqref="F2191:F2297">
    <cfRule type="containsText" dxfId="21" priority="22" operator="containsText" text="code">
      <formula>NOT(ISERROR(SEARCH("code",F2191)))</formula>
    </cfRule>
  </conditionalFormatting>
  <conditionalFormatting sqref="F2607:F2759">
    <cfRule type="containsText" dxfId="20" priority="21" operator="containsText" text="cODE">
      <formula>NOT(ISERROR(SEARCH("cODE",F2607)))</formula>
    </cfRule>
  </conditionalFormatting>
  <conditionalFormatting sqref="F2761:F2766">
    <cfRule type="duplicateValues" dxfId="19" priority="20"/>
  </conditionalFormatting>
  <conditionalFormatting sqref="F2915:F3067">
    <cfRule type="containsText" dxfId="18" priority="17" operator="containsText" text="c$I$26">
      <formula>NOT(ISERROR(SEARCH("c$I$26",F2915)))</formula>
    </cfRule>
    <cfRule type="containsText" dxfId="17" priority="18" operator="containsText" text="o$K$24">
      <formula>NOT(ISERROR(SEARCH("o$K$24",F2915)))</formula>
    </cfRule>
  </conditionalFormatting>
  <conditionalFormatting sqref="F2915:F2920">
    <cfRule type="duplicateValues" dxfId="16" priority="19"/>
  </conditionalFormatting>
  <conditionalFormatting sqref="F3069:F3221">
    <cfRule type="containsText" dxfId="15" priority="16" operator="containsText" text="cODE">
      <formula>NOT(ISERROR(SEARCH("cODE",F3069)))</formula>
    </cfRule>
  </conditionalFormatting>
  <conditionalFormatting sqref="F3223:F3375">
    <cfRule type="containsText" dxfId="14" priority="15" operator="containsText" text="cODE">
      <formula>NOT(ISERROR(SEARCH("cODE",F3223)))</formula>
    </cfRule>
  </conditionalFormatting>
  <conditionalFormatting sqref="F3531:F3683">
    <cfRule type="containsText" dxfId="13" priority="13" operator="containsText" text="G[Book1.xlsx]All!$F$1">
      <formula>NOT(ISERROR(SEARCH("G[Book1.xlsx]All!$F$1",F3531)))</formula>
    </cfRule>
    <cfRule type="containsText" dxfId="12" priority="14" operator="containsText" text="GREY$F:$F">
      <formula>NOT(ISERROR(SEARCH("GREY$F:$F",F3531)))</formula>
    </cfRule>
  </conditionalFormatting>
  <conditionalFormatting sqref="F3944:F4096">
    <cfRule type="containsText" dxfId="11" priority="12" operator="containsText" text="sefton">
      <formula>NOT(ISERROR(SEARCH("sefton",F3944)))</formula>
    </cfRule>
  </conditionalFormatting>
  <conditionalFormatting sqref="F4098:F4201">
    <cfRule type="containsText" dxfId="10" priority="11" operator="containsText" text="CODE">
      <formula>NOT(ISERROR(SEARCH("CODE",F4098)))</formula>
    </cfRule>
  </conditionalFormatting>
  <conditionalFormatting sqref="F4465:F4571">
    <cfRule type="containsText" dxfId="9" priority="10" operator="containsText" text="code">
      <formula>NOT(ISERROR(SEARCH("code",F4465)))</formula>
    </cfRule>
  </conditionalFormatting>
  <conditionalFormatting sqref="F4573:F4578">
    <cfRule type="duplicateValues" dxfId="8" priority="9"/>
  </conditionalFormatting>
  <conditionalFormatting sqref="I589:I594">
    <cfRule type="duplicateValues" dxfId="7" priority="7"/>
  </conditionalFormatting>
  <conditionalFormatting sqref="I720:I721">
    <cfRule type="duplicateValues" dxfId="6" priority="8"/>
  </conditionalFormatting>
  <conditionalFormatting sqref="I2037:I2042">
    <cfRule type="duplicateValues" dxfId="5" priority="5"/>
  </conditionalFormatting>
  <conditionalFormatting sqref="I2168:I2169">
    <cfRule type="duplicateValues" dxfId="4" priority="6"/>
  </conditionalFormatting>
  <conditionalFormatting sqref="I2761:I2766">
    <cfRule type="duplicateValues" dxfId="3" priority="4"/>
  </conditionalFormatting>
  <conditionalFormatting sqref="I2915:I2920">
    <cfRule type="duplicateValues" dxfId="2" priority="3"/>
  </conditionalFormatting>
  <conditionalFormatting sqref="I4203:I4208">
    <cfRule type="duplicateValues" dxfId="1" priority="2"/>
  </conditionalFormatting>
  <conditionalFormatting sqref="I4573:I4578">
    <cfRule type="duplicateValues" dxfId="0" priority="1"/>
  </conditionalFormatting>
  <hyperlinks>
    <hyperlink ref="N3" location="Contents!A1" display="Back to Contents" xr:uid="{65CBBD47-C5A4-486A-8A60-0213D46B9919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5E5DD-2E4B-49D7-B8E1-F28AD3FCD2D7}">
  <dimension ref="A2:AQ178"/>
  <sheetViews>
    <sheetView workbookViewId="0"/>
  </sheetViews>
  <sheetFormatPr defaultRowHeight="14.4" x14ac:dyDescent="0.3"/>
  <cols>
    <col min="1" max="1" width="4" style="47" customWidth="1"/>
    <col min="2" max="2" width="25.5546875" style="4" customWidth="1"/>
    <col min="3" max="3" width="26.21875" style="4" customWidth="1"/>
    <col min="4" max="4" width="39.6640625" style="4" customWidth="1"/>
    <col min="5" max="5" width="17.5546875" style="4" customWidth="1"/>
    <col min="6" max="6" width="31.44140625" style="4" customWidth="1"/>
    <col min="7" max="7" width="13.88671875" style="4" customWidth="1"/>
    <col min="8" max="8" width="28.5546875" style="4" customWidth="1"/>
    <col min="9" max="9" width="8.88671875" style="4"/>
    <col min="10" max="10" width="6.109375" style="3" customWidth="1"/>
    <col min="11" max="11" width="18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614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E8" s="15"/>
      <c r="F8" s="15"/>
      <c r="G8" s="15"/>
      <c r="H8" s="15"/>
      <c r="I8" s="15"/>
    </row>
    <row r="9" spans="1:12" ht="15" customHeight="1" x14ac:dyDescent="0.4">
      <c r="B9" s="21" t="s">
        <v>85</v>
      </c>
      <c r="E9" s="15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s="3" customFormat="1" ht="15" customHeight="1" x14ac:dyDescent="0.3">
      <c r="A10" s="47">
        <f>COUNTIF(F$26:I$178,"City of Liverpool 1 (W)")</f>
        <v>22</v>
      </c>
      <c r="B10" s="195" t="s">
        <v>346</v>
      </c>
      <c r="C10" s="198">
        <v>3208900</v>
      </c>
      <c r="D10" s="57">
        <f>COUNTIF(F$26:I$178,"3208900")</f>
        <v>22</v>
      </c>
      <c r="E10" s="15"/>
      <c r="F10" s="57">
        <f>COUNTIF(F$26:F$178,"City of Liverpool 1 (W)")</f>
        <v>11</v>
      </c>
      <c r="G10" s="57"/>
      <c r="H10" s="57">
        <f>COUNTIF(H$26:H$178,"City of Liverpool 1 (W)")</f>
        <v>11</v>
      </c>
      <c r="I10" s="57">
        <f>COUNTIF(F$26:F$101,"City of Liverpool 1 (W)")</f>
        <v>6</v>
      </c>
      <c r="J10" s="57">
        <f>COUNTIF(F$102:F$178,"City of Liverpool 1 (W)")</f>
        <v>5</v>
      </c>
      <c r="K10" s="57">
        <f>COUNTIF(H$26:H$101,"City of Liverpool 1 (W)")</f>
        <v>5</v>
      </c>
      <c r="L10" s="57">
        <f>COUNTIF(H$102:H$178,"City of Liverpool 1 (W)")</f>
        <v>6</v>
      </c>
    </row>
    <row r="11" spans="1:12" s="3" customFormat="1" ht="15" customHeight="1" x14ac:dyDescent="0.3">
      <c r="A11" s="47">
        <f>COUNTIF(F$26:I$178,"Formby Development (W)")</f>
        <v>22</v>
      </c>
      <c r="B11" s="4" t="s">
        <v>453</v>
      </c>
      <c r="C11" s="198">
        <v>3206006</v>
      </c>
      <c r="D11" s="57">
        <f>COUNTIF(F$26:I$178,"3206006")</f>
        <v>22</v>
      </c>
      <c r="E11" s="15"/>
      <c r="F11" s="57">
        <f>COUNTIF(F$26:F$178,"Formby Development (W)")</f>
        <v>11</v>
      </c>
      <c r="G11" s="57"/>
      <c r="H11" s="57">
        <f>COUNTIF(H$26:H$178,"Formby Development (W)")</f>
        <v>11</v>
      </c>
      <c r="I11" s="57">
        <f>COUNTIF(F$26:F$101,"Formby Development (W)")</f>
        <v>5</v>
      </c>
      <c r="J11" s="57">
        <f>COUNTIF(F$102:F$178,"Formby Development (W)")</f>
        <v>6</v>
      </c>
      <c r="K11" s="57">
        <f>COUNTIF(H$26:H$101,"Formby Development (W)")</f>
        <v>6</v>
      </c>
      <c r="L11" s="57">
        <f>COUNTIF(H$102:H$178,"Formby Development (W)")</f>
        <v>5</v>
      </c>
    </row>
    <row r="12" spans="1:12" s="3" customFormat="1" ht="15" customHeight="1" x14ac:dyDescent="0.3">
      <c r="A12" s="47">
        <f>COUNTIF(F$26:I$178,"Golborne &amp; Prescot 3 (W)")</f>
        <v>22</v>
      </c>
      <c r="B12" s="195" t="s">
        <v>622</v>
      </c>
      <c r="C12" s="199">
        <v>3969502</v>
      </c>
      <c r="D12" s="57">
        <f>COUNTIF(F$26:I$178,"3969502")</f>
        <v>22</v>
      </c>
      <c r="E12" s="15"/>
      <c r="F12" s="57">
        <f>COUNTIF(F$26:F$178,"Golborne &amp; Prescot 3 (W)")</f>
        <v>11</v>
      </c>
      <c r="G12" s="57"/>
      <c r="H12" s="57">
        <f>COUNTIF(H$26:H$178,"Golborne &amp; Prescot 3 (W)")</f>
        <v>11</v>
      </c>
      <c r="I12" s="57">
        <f>COUNTIF(F$26:F$101,"Golborne &amp; Prescot 3 (W)")</f>
        <v>6</v>
      </c>
      <c r="J12" s="57">
        <f>COUNTIF(F$102:F$178,"Golborne &amp; Prescot 3 (W)")</f>
        <v>5</v>
      </c>
      <c r="K12" s="57">
        <f>COUNTIF(H$26:H$101,"Golborne &amp; Prescot 3 (W)")</f>
        <v>5</v>
      </c>
      <c r="L12" s="57">
        <f>COUNTIF(H$102:H$178,"Golborne &amp; Prescot 3 (W)")</f>
        <v>6</v>
      </c>
    </row>
    <row r="13" spans="1:12" s="3" customFormat="1" ht="15" customHeight="1" x14ac:dyDescent="0.3">
      <c r="A13" s="47">
        <f>COUNTIF(F$26:I$178,"Liverpool Sefton 5 (W)")</f>
        <v>22</v>
      </c>
      <c r="B13" s="193" t="s">
        <v>380</v>
      </c>
      <c r="C13" s="198">
        <v>3202208</v>
      </c>
      <c r="D13" s="57">
        <f>COUNTIF(F$26:I$178,"3202208")</f>
        <v>22</v>
      </c>
      <c r="E13" s="15"/>
      <c r="F13" s="57">
        <f>COUNTIF(F$26:F$178,"Liverpool Sefton 5 (W)")</f>
        <v>11</v>
      </c>
      <c r="G13" s="57"/>
      <c r="H13" s="57">
        <f>COUNTIF(H$26:H$178,"Liverpool Sefton 5 (W)")</f>
        <v>11</v>
      </c>
      <c r="I13" s="57">
        <f>COUNTIF(F$26:F$101,"Liverpool Sefton 5 (W)")</f>
        <v>5</v>
      </c>
      <c r="J13" s="57">
        <f>COUNTIF(F$102:F$178,"Liverpool Sefton 5 (W)")</f>
        <v>6</v>
      </c>
      <c r="K13" s="57">
        <f>COUNTIF(H$26:H$101,"Liverpool Sefton 5 (W)")</f>
        <v>6</v>
      </c>
      <c r="L13" s="57">
        <f>COUNTIF(H$102:H$178,"Liverpool Sefton 5 (W)")</f>
        <v>5</v>
      </c>
    </row>
    <row r="14" spans="1:12" s="3" customFormat="1" ht="15" customHeight="1" x14ac:dyDescent="0.3">
      <c r="A14" s="47">
        <f>COUNTIF(F$26:I$178,"Northern 2 (W)")</f>
        <v>22</v>
      </c>
      <c r="B14" s="4" t="s">
        <v>454</v>
      </c>
      <c r="C14" s="198">
        <v>3820300</v>
      </c>
      <c r="D14" s="57">
        <f>COUNTIF(F$26:I$178,"3820300")</f>
        <v>22</v>
      </c>
      <c r="E14" s="15"/>
      <c r="F14" s="57">
        <f>COUNTIF(F$26:F$178,"Northern 2 (W)")</f>
        <v>11</v>
      </c>
      <c r="G14" s="57"/>
      <c r="H14" s="57">
        <f>COUNTIF(H$26:H$178,"Northern 2 (W)")</f>
        <v>11</v>
      </c>
      <c r="I14" s="57">
        <f>COUNTIF(F$26:F$101,"Northern 2 (W)")</f>
        <v>6</v>
      </c>
      <c r="J14" s="57">
        <f>COUNTIF(F$102:F$178,"Northern 2 (W)")</f>
        <v>5</v>
      </c>
      <c r="K14" s="57">
        <f>COUNTIF(H$26:H$101,"Northern 2 (W)")</f>
        <v>5</v>
      </c>
      <c r="L14" s="57">
        <f>COUNTIF(H$102:H$178,"Northern 2 (W)")</f>
        <v>6</v>
      </c>
    </row>
    <row r="15" spans="1:12" s="3" customFormat="1" x14ac:dyDescent="0.3">
      <c r="A15" s="47">
        <f>COUNTIF(F$26:I$178,"Oxton 3 (W)")</f>
        <v>22</v>
      </c>
      <c r="B15" s="4" t="s">
        <v>384</v>
      </c>
      <c r="C15" s="198">
        <v>3199508</v>
      </c>
      <c r="D15" s="57">
        <f>COUNTIF(F$26:I$178,"3199508")</f>
        <v>22</v>
      </c>
      <c r="E15" s="15"/>
      <c r="F15" s="57">
        <f>COUNTIF(F$26:F$178,"Oxton 3 (W)")</f>
        <v>11</v>
      </c>
      <c r="G15" s="57"/>
      <c r="H15" s="57">
        <f>COUNTIF(H$26:H$178,"Oxton 3 (W)")</f>
        <v>11</v>
      </c>
      <c r="I15" s="57">
        <f>COUNTIF(F$26:F$101,"Oxton 3 (W)")</f>
        <v>6</v>
      </c>
      <c r="J15" s="57">
        <f>COUNTIF(F$102:F$178,"Oxton 3 (W)")</f>
        <v>5</v>
      </c>
      <c r="K15" s="57">
        <f>COUNTIF(H$26:H$101,"Oxton 3 (W)")</f>
        <v>5</v>
      </c>
      <c r="L15" s="57">
        <f>COUNTIF(H$102:H$178,"Oxton 3 (W)")</f>
        <v>6</v>
      </c>
    </row>
    <row r="16" spans="1:12" s="3" customFormat="1" x14ac:dyDescent="0.3">
      <c r="A16" s="47">
        <f>COUNTIF(F$26:I$178,"Oxton Development (W)")</f>
        <v>22</v>
      </c>
      <c r="B16" s="4" t="s">
        <v>385</v>
      </c>
      <c r="C16" s="198">
        <v>3199602</v>
      </c>
      <c r="D16" s="57">
        <f>COUNTIF(F$26:I$178,"3199602")</f>
        <v>22</v>
      </c>
      <c r="E16" s="15"/>
      <c r="F16" s="57">
        <f>COUNTIF(F$26:F$178,"Oxton Development (W)")</f>
        <v>11</v>
      </c>
      <c r="G16" s="57"/>
      <c r="H16" s="57">
        <f>COUNTIF(H$26:H$178,"Oxton Development (W)")</f>
        <v>11</v>
      </c>
      <c r="I16" s="57">
        <f>COUNTIF(F$26:F$101,"Oxton Development (W)")</f>
        <v>6</v>
      </c>
      <c r="J16" s="57">
        <f>COUNTIF(F$102:F$178,"Oxton Development (W)")</f>
        <v>5</v>
      </c>
      <c r="K16" s="57">
        <f>COUNTIF(H$26:H$101,"Oxton Development (W)")</f>
        <v>5</v>
      </c>
      <c r="L16" s="57">
        <f>COUNTIF(H$102:H$178,"Oxton Development (W)")</f>
        <v>6</v>
      </c>
    </row>
    <row r="17" spans="1:12" s="3" customFormat="1" x14ac:dyDescent="0.3">
      <c r="A17" s="47">
        <f>COUNTIF(F$26:I$178,"Runcorn Development (W)")</f>
        <v>22</v>
      </c>
      <c r="B17" s="197" t="s">
        <v>403</v>
      </c>
      <c r="C17" s="198">
        <v>3198509</v>
      </c>
      <c r="D17" s="57">
        <f>COUNTIF(F$26:I$178,"3198509")</f>
        <v>22</v>
      </c>
      <c r="E17" s="15"/>
      <c r="F17" s="57">
        <f>COUNTIF(F$26:F$178,"Runcorn Development (W)")</f>
        <v>11</v>
      </c>
      <c r="G17" s="57"/>
      <c r="H17" s="57">
        <f>COUNTIF(H$26:H$178,"Runcorn Development (W)")</f>
        <v>11</v>
      </c>
      <c r="I17" s="57">
        <f>COUNTIF(F$26:F$101,"Runcorn Development (W)")</f>
        <v>6</v>
      </c>
      <c r="J17" s="57">
        <f>COUNTIF(F$102:F$178,"Runcorn Development (W)")</f>
        <v>5</v>
      </c>
      <c r="K17" s="57">
        <f>COUNTIF(H$26:H$101,"Runcorn Development (W)")</f>
        <v>5</v>
      </c>
      <c r="L17" s="57">
        <f>COUNTIF(H$102:H$178,"Runcorn Development (W)")</f>
        <v>6</v>
      </c>
    </row>
    <row r="18" spans="1:12" s="3" customFormat="1" x14ac:dyDescent="0.3">
      <c r="A18" s="47">
        <f>COUNTIF(F$26:I$178,"St Helens 1 (W)")</f>
        <v>22</v>
      </c>
      <c r="B18" s="4" t="s">
        <v>386</v>
      </c>
      <c r="C18" s="198">
        <v>3900807</v>
      </c>
      <c r="D18" s="57">
        <f>COUNTIF(F$26:I$178,"3900807")</f>
        <v>22</v>
      </c>
      <c r="E18" s="15"/>
      <c r="F18" s="57">
        <f>COUNTIF(F$26:F$178,"St Helens 1 (W)")</f>
        <v>11</v>
      </c>
      <c r="G18" s="57"/>
      <c r="H18" s="57">
        <f>COUNTIF(H$26:H$178,"St Helens 1 (W)")</f>
        <v>11</v>
      </c>
      <c r="I18" s="57">
        <f>COUNTIF(F$26:F$101,"St Helens 1 (W)")</f>
        <v>5</v>
      </c>
      <c r="J18" s="57">
        <f>COUNTIF(F$102:F$178,"St Helens 1 (W)")</f>
        <v>6</v>
      </c>
      <c r="K18" s="57">
        <f>COUNTIF(H$26:H$101,"St Helens 1 (W)")</f>
        <v>6</v>
      </c>
      <c r="L18" s="57">
        <f>COUNTIF(H$102:H$178,"St Helens 1 (W)")</f>
        <v>5</v>
      </c>
    </row>
    <row r="19" spans="1:12" s="3" customFormat="1" x14ac:dyDescent="0.3">
      <c r="A19" s="47">
        <f>COUNTIF(F$26:I$178,"St Helens 2 (W)")</f>
        <v>22</v>
      </c>
      <c r="B19" s="195" t="s">
        <v>623</v>
      </c>
      <c r="C19" s="198">
        <v>3819305</v>
      </c>
      <c r="D19" s="57">
        <f>COUNTIF(F$26:I$178,"3819305")</f>
        <v>22</v>
      </c>
      <c r="E19" s="15"/>
      <c r="F19" s="57">
        <f>COUNTIF(F$26:F$178,"St Helens 2 (W)")</f>
        <v>11</v>
      </c>
      <c r="G19" s="57"/>
      <c r="H19" s="57">
        <f>COUNTIF(H$26:H$178,"St Helens 2 (W)")</f>
        <v>11</v>
      </c>
      <c r="I19" s="57">
        <f>COUNTIF(F$26:F$101,"St Helens 2 (W)")</f>
        <v>5</v>
      </c>
      <c r="J19" s="57">
        <f>COUNTIF(F$102:F$178,"St Helens 2 (W)")</f>
        <v>6</v>
      </c>
      <c r="K19" s="57">
        <f>COUNTIF(H$26:H$101,"St Helens 2 (W)")</f>
        <v>6</v>
      </c>
      <c r="L19" s="57">
        <f>COUNTIF(H$102:H$178,"St Helens 2 (W)")</f>
        <v>5</v>
      </c>
    </row>
    <row r="20" spans="1:12" s="3" customFormat="1" x14ac:dyDescent="0.3">
      <c r="A20" s="47">
        <f>COUNTIF(F$26:I$178,"University of Liverpool 2 (W)")</f>
        <v>22</v>
      </c>
      <c r="B20" s="195" t="s">
        <v>624</v>
      </c>
      <c r="C20" s="198">
        <v>3196105</v>
      </c>
      <c r="D20" s="57">
        <f>COUNTIF(F$26:I$178,"3196105")</f>
        <v>22</v>
      </c>
      <c r="E20" s="15"/>
      <c r="F20" s="57">
        <f>COUNTIF(F$26:F$178,"University of Liverpool 2 (W)")</f>
        <v>11</v>
      </c>
      <c r="G20" s="57"/>
      <c r="H20" s="57">
        <f>COUNTIF(H$26:H$178,"University of Liverpool 2 (W)")</f>
        <v>11</v>
      </c>
      <c r="I20" s="57">
        <f>COUNTIF(F$26:F$101,"University of Liverpool 2 (W)")</f>
        <v>5</v>
      </c>
      <c r="J20" s="57">
        <f>COUNTIF(F$102:F$178,"University of Liverpool 2 (W)")</f>
        <v>6</v>
      </c>
      <c r="K20" s="57">
        <f>COUNTIF(H$26:H$101,"University of Liverpool 2 (W)")</f>
        <v>6</v>
      </c>
      <c r="L20" s="57">
        <f>COUNTIF(H$102:H$178,"University of Liverpool 2 (W)")</f>
        <v>5</v>
      </c>
    </row>
    <row r="21" spans="1:12" s="3" customFormat="1" x14ac:dyDescent="0.3">
      <c r="A21" s="47">
        <f>COUNTIF(F$26:I$178,"West Derby 2 (W)")</f>
        <v>22</v>
      </c>
      <c r="B21" s="4" t="s">
        <v>455</v>
      </c>
      <c r="C21" s="198">
        <v>3961604</v>
      </c>
      <c r="D21" s="57">
        <f>COUNTIF(F$26:I$178,"3961604")</f>
        <v>22</v>
      </c>
      <c r="E21" s="15"/>
      <c r="F21" s="57">
        <f>COUNTIF(F$26:F$178,"West Derby 2 (W)")</f>
        <v>11</v>
      </c>
      <c r="G21" s="57"/>
      <c r="H21" s="57">
        <f>COUNTIF(H$26:H$178,"West Derby 2 (W)")</f>
        <v>11</v>
      </c>
      <c r="I21" s="57">
        <f>COUNTIF(F$26:F$101,"West Derby 2 (W)")</f>
        <v>5</v>
      </c>
      <c r="J21" s="57">
        <f>COUNTIF(F$102:F$178,"West Derby 2 (W)")</f>
        <v>6</v>
      </c>
      <c r="K21" s="57">
        <f>COUNTIF(H$26:H$101,"West Derby 2 (W)")</f>
        <v>6</v>
      </c>
      <c r="L21" s="57">
        <f>COUNTIF(H$102:H$178,"West Derby 2 (W)")</f>
        <v>5</v>
      </c>
    </row>
    <row r="22" spans="1:12" x14ac:dyDescent="0.3">
      <c r="E22" s="15"/>
      <c r="F22" s="15"/>
      <c r="G22" s="15"/>
      <c r="H22" s="15"/>
      <c r="I22" s="15"/>
    </row>
    <row r="23" spans="1:12" ht="21" x14ac:dyDescent="0.4">
      <c r="B23" s="60" t="s">
        <v>93</v>
      </c>
      <c r="E23" s="15"/>
      <c r="F23" s="15"/>
      <c r="G23" s="15"/>
      <c r="H23" s="15"/>
      <c r="I23" s="15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5" spans="1:12" x14ac:dyDescent="0.3">
      <c r="B25" s="40"/>
      <c r="C25" s="14"/>
      <c r="D25" s="14"/>
      <c r="E25" s="14"/>
      <c r="F25" s="14"/>
      <c r="G25" s="14"/>
      <c r="H25" s="14"/>
      <c r="I25" s="14"/>
    </row>
    <row r="26" spans="1:12" x14ac:dyDescent="0.3">
      <c r="B26" s="44">
        <v>45913</v>
      </c>
      <c r="C26" s="3" t="s">
        <v>416</v>
      </c>
      <c r="D26" s="4" t="s">
        <v>614</v>
      </c>
      <c r="E26" s="101"/>
      <c r="F26" s="3" t="s">
        <v>453</v>
      </c>
      <c r="G26" s="4">
        <v>3206006</v>
      </c>
      <c r="H26" s="4" t="s">
        <v>380</v>
      </c>
      <c r="I26" s="4">
        <v>3202208</v>
      </c>
    </row>
    <row r="27" spans="1:12" x14ac:dyDescent="0.3">
      <c r="B27" s="44">
        <v>45913</v>
      </c>
      <c r="C27" s="3" t="s">
        <v>416</v>
      </c>
      <c r="D27" s="4" t="s">
        <v>614</v>
      </c>
      <c r="E27" s="101"/>
      <c r="F27" s="3" t="s">
        <v>346</v>
      </c>
      <c r="G27" s="4">
        <v>3208900</v>
      </c>
      <c r="H27" s="4" t="s">
        <v>403</v>
      </c>
      <c r="I27" s="4">
        <v>3198509</v>
      </c>
    </row>
    <row r="28" spans="1:12" x14ac:dyDescent="0.3">
      <c r="B28" s="44">
        <v>45913</v>
      </c>
      <c r="C28" s="3" t="s">
        <v>416</v>
      </c>
      <c r="D28" s="4" t="s">
        <v>614</v>
      </c>
      <c r="E28" s="101"/>
      <c r="F28" s="3" t="s">
        <v>622</v>
      </c>
      <c r="G28" s="4">
        <v>3969502</v>
      </c>
      <c r="H28" s="4" t="s">
        <v>624</v>
      </c>
      <c r="I28" s="4">
        <v>3196105</v>
      </c>
    </row>
    <row r="29" spans="1:12" x14ac:dyDescent="0.3">
      <c r="B29" s="44">
        <v>45913</v>
      </c>
      <c r="C29" s="3" t="s">
        <v>416</v>
      </c>
      <c r="D29" s="4" t="s">
        <v>614</v>
      </c>
      <c r="E29" s="101"/>
      <c r="F29" s="3" t="s">
        <v>454</v>
      </c>
      <c r="G29" s="4">
        <v>3820300</v>
      </c>
      <c r="H29" s="4" t="s">
        <v>455</v>
      </c>
      <c r="I29" s="4">
        <v>3961604</v>
      </c>
    </row>
    <row r="30" spans="1:12" x14ac:dyDescent="0.3">
      <c r="B30" s="44">
        <v>45913</v>
      </c>
      <c r="C30" s="3" t="s">
        <v>416</v>
      </c>
      <c r="D30" s="4" t="s">
        <v>614</v>
      </c>
      <c r="E30" s="101"/>
      <c r="F30" s="3" t="s">
        <v>385</v>
      </c>
      <c r="G30" s="4">
        <v>3199602</v>
      </c>
      <c r="H30" s="4" t="s">
        <v>623</v>
      </c>
      <c r="I30" s="4">
        <v>3819305</v>
      </c>
    </row>
    <row r="31" spans="1:12" x14ac:dyDescent="0.3">
      <c r="B31" s="44">
        <v>45913</v>
      </c>
      <c r="C31" s="3" t="s">
        <v>416</v>
      </c>
      <c r="D31" s="4" t="s">
        <v>614</v>
      </c>
      <c r="E31" s="101"/>
      <c r="F31" s="3" t="s">
        <v>384</v>
      </c>
      <c r="G31" s="4">
        <v>3199508</v>
      </c>
      <c r="H31" s="4" t="s">
        <v>386</v>
      </c>
      <c r="I31" s="4">
        <v>3900807</v>
      </c>
    </row>
    <row r="32" spans="1:12" x14ac:dyDescent="0.3">
      <c r="C32" s="3"/>
      <c r="E32" s="101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4" t="s">
        <v>614</v>
      </c>
      <c r="E33" s="101"/>
      <c r="F33" s="3" t="s">
        <v>624</v>
      </c>
      <c r="G33" s="4">
        <v>3196105</v>
      </c>
      <c r="H33" s="4" t="s">
        <v>384</v>
      </c>
      <c r="I33" s="4">
        <v>3199508</v>
      </c>
    </row>
    <row r="34" spans="2:9" x14ac:dyDescent="0.3">
      <c r="B34" s="44">
        <v>45920</v>
      </c>
      <c r="C34" s="3" t="s">
        <v>416</v>
      </c>
      <c r="D34" s="4" t="s">
        <v>614</v>
      </c>
      <c r="E34" s="101"/>
      <c r="F34" s="3" t="s">
        <v>403</v>
      </c>
      <c r="G34" s="4">
        <v>3198509</v>
      </c>
      <c r="H34" s="4" t="s">
        <v>453</v>
      </c>
      <c r="I34" s="4">
        <v>3206006</v>
      </c>
    </row>
    <row r="35" spans="2:9" x14ac:dyDescent="0.3">
      <c r="B35" s="44">
        <v>45920</v>
      </c>
      <c r="C35" s="3" t="s">
        <v>416</v>
      </c>
      <c r="D35" s="4" t="s">
        <v>614</v>
      </c>
      <c r="E35" s="101"/>
      <c r="F35" s="3" t="s">
        <v>623</v>
      </c>
      <c r="G35" s="4">
        <v>3819305</v>
      </c>
      <c r="H35" s="4" t="s">
        <v>346</v>
      </c>
      <c r="I35" s="4">
        <v>3208900</v>
      </c>
    </row>
    <row r="36" spans="2:9" x14ac:dyDescent="0.3">
      <c r="B36" s="44">
        <v>45920</v>
      </c>
      <c r="C36" s="3" t="s">
        <v>416</v>
      </c>
      <c r="D36" s="4" t="s">
        <v>614</v>
      </c>
      <c r="E36" s="101"/>
      <c r="F36" s="3" t="s">
        <v>386</v>
      </c>
      <c r="G36" s="4">
        <v>3900807</v>
      </c>
      <c r="H36" s="4" t="s">
        <v>385</v>
      </c>
      <c r="I36" s="4">
        <v>3199602</v>
      </c>
    </row>
    <row r="37" spans="2:9" x14ac:dyDescent="0.3">
      <c r="B37" s="44">
        <v>45920</v>
      </c>
      <c r="C37" s="3" t="s">
        <v>416</v>
      </c>
      <c r="D37" s="4" t="s">
        <v>614</v>
      </c>
      <c r="E37" s="101"/>
      <c r="F37" s="3" t="s">
        <v>455</v>
      </c>
      <c r="G37" s="4">
        <v>3961604</v>
      </c>
      <c r="H37" s="4" t="s">
        <v>622</v>
      </c>
      <c r="I37" s="4">
        <v>3969502</v>
      </c>
    </row>
    <row r="38" spans="2:9" x14ac:dyDescent="0.3">
      <c r="B38" s="44">
        <v>45920</v>
      </c>
      <c r="C38" s="3" t="s">
        <v>416</v>
      </c>
      <c r="D38" s="4" t="s">
        <v>614</v>
      </c>
      <c r="E38" s="101"/>
      <c r="F38" s="3" t="s">
        <v>380</v>
      </c>
      <c r="G38" s="4">
        <v>3202208</v>
      </c>
      <c r="H38" s="4" t="s">
        <v>454</v>
      </c>
      <c r="I38" s="4">
        <v>3820300</v>
      </c>
    </row>
    <row r="39" spans="2:9" x14ac:dyDescent="0.3">
      <c r="C39" s="3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4" t="s">
        <v>614</v>
      </c>
      <c r="E40" s="101"/>
      <c r="F40" s="3" t="s">
        <v>403</v>
      </c>
      <c r="G40" s="4">
        <v>3198509</v>
      </c>
      <c r="H40" s="4" t="s">
        <v>623</v>
      </c>
      <c r="I40" s="4">
        <v>3819305</v>
      </c>
    </row>
    <row r="41" spans="2:9" x14ac:dyDescent="0.3">
      <c r="B41" s="44">
        <v>45927</v>
      </c>
      <c r="C41" s="3" t="s">
        <v>416</v>
      </c>
      <c r="D41" s="4" t="s">
        <v>614</v>
      </c>
      <c r="E41" s="101"/>
      <c r="F41" s="3" t="s">
        <v>346</v>
      </c>
      <c r="G41" s="4">
        <v>3208900</v>
      </c>
      <c r="H41" s="4" t="s">
        <v>386</v>
      </c>
      <c r="I41" s="4">
        <v>3900807</v>
      </c>
    </row>
    <row r="42" spans="2:9" x14ac:dyDescent="0.3">
      <c r="B42" s="44">
        <v>45927</v>
      </c>
      <c r="C42" s="3" t="s">
        <v>416</v>
      </c>
      <c r="D42" s="4" t="s">
        <v>614</v>
      </c>
      <c r="E42" s="101"/>
      <c r="F42" s="3" t="s">
        <v>622</v>
      </c>
      <c r="G42" s="4">
        <v>3969502</v>
      </c>
      <c r="H42" s="4" t="s">
        <v>380</v>
      </c>
      <c r="I42" s="4">
        <v>3202208</v>
      </c>
    </row>
    <row r="43" spans="2:9" x14ac:dyDescent="0.3">
      <c r="B43" s="44">
        <v>45927</v>
      </c>
      <c r="C43" s="3" t="s">
        <v>416</v>
      </c>
      <c r="D43" s="4" t="s">
        <v>614</v>
      </c>
      <c r="E43" s="101"/>
      <c r="F43" s="3" t="s">
        <v>454</v>
      </c>
      <c r="G43" s="4">
        <v>3820300</v>
      </c>
      <c r="H43" s="4" t="s">
        <v>453</v>
      </c>
      <c r="I43" s="4">
        <v>3206006</v>
      </c>
    </row>
    <row r="44" spans="2:9" x14ac:dyDescent="0.3">
      <c r="B44" s="44">
        <v>45927</v>
      </c>
      <c r="C44" s="3" t="s">
        <v>416</v>
      </c>
      <c r="D44" s="4" t="s">
        <v>614</v>
      </c>
      <c r="E44" s="101"/>
      <c r="F44" s="3" t="s">
        <v>385</v>
      </c>
      <c r="G44" s="4">
        <v>3199602</v>
      </c>
      <c r="H44" s="4" t="s">
        <v>624</v>
      </c>
      <c r="I44" s="4">
        <v>3196105</v>
      </c>
    </row>
    <row r="45" spans="2:9" x14ac:dyDescent="0.3">
      <c r="B45" s="44">
        <v>45927</v>
      </c>
      <c r="C45" s="3" t="s">
        <v>416</v>
      </c>
      <c r="D45" s="4" t="s">
        <v>614</v>
      </c>
      <c r="E45" s="101"/>
      <c r="F45" s="3" t="s">
        <v>384</v>
      </c>
      <c r="G45" s="4">
        <v>3199508</v>
      </c>
      <c r="H45" s="4" t="s">
        <v>455</v>
      </c>
      <c r="I45" s="4">
        <v>3961604</v>
      </c>
    </row>
    <row r="46" spans="2:9" x14ac:dyDescent="0.3">
      <c r="C46" s="3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4" t="s">
        <v>614</v>
      </c>
      <c r="E47" s="101"/>
      <c r="F47" s="3" t="s">
        <v>624</v>
      </c>
      <c r="G47" s="4">
        <v>3196105</v>
      </c>
      <c r="H47" s="4" t="s">
        <v>346</v>
      </c>
      <c r="I47" s="4">
        <v>3208900</v>
      </c>
    </row>
    <row r="48" spans="2:9" x14ac:dyDescent="0.3">
      <c r="B48" s="44">
        <v>45934</v>
      </c>
      <c r="C48" s="3" t="s">
        <v>416</v>
      </c>
      <c r="D48" s="4" t="s">
        <v>614</v>
      </c>
      <c r="E48" s="101"/>
      <c r="F48" s="3" t="s">
        <v>453</v>
      </c>
      <c r="G48" s="4">
        <v>3206006</v>
      </c>
      <c r="H48" s="4" t="s">
        <v>622</v>
      </c>
      <c r="I48" s="4">
        <v>3969502</v>
      </c>
    </row>
    <row r="49" spans="2:9" x14ac:dyDescent="0.3">
      <c r="B49" s="44">
        <v>45934</v>
      </c>
      <c r="C49" s="3" t="s">
        <v>416</v>
      </c>
      <c r="D49" s="4" t="s">
        <v>614</v>
      </c>
      <c r="E49" s="101"/>
      <c r="F49" s="3" t="s">
        <v>386</v>
      </c>
      <c r="G49" s="4">
        <v>3900807</v>
      </c>
      <c r="H49" s="4" t="s">
        <v>623</v>
      </c>
      <c r="I49" s="4">
        <v>3819305</v>
      </c>
    </row>
    <row r="50" spans="2:9" x14ac:dyDescent="0.3">
      <c r="B50" s="44">
        <v>45934</v>
      </c>
      <c r="C50" s="3" t="s">
        <v>416</v>
      </c>
      <c r="D50" s="4" t="s">
        <v>614</v>
      </c>
      <c r="E50" s="101"/>
      <c r="F50" s="3" t="s">
        <v>455</v>
      </c>
      <c r="G50" s="4">
        <v>3961604</v>
      </c>
      <c r="H50" s="4" t="s">
        <v>385</v>
      </c>
      <c r="I50" s="4">
        <v>3199602</v>
      </c>
    </row>
    <row r="51" spans="2:9" x14ac:dyDescent="0.3">
      <c r="B51" s="44">
        <v>45934</v>
      </c>
      <c r="C51" s="3" t="s">
        <v>416</v>
      </c>
      <c r="D51" s="4" t="s">
        <v>614</v>
      </c>
      <c r="E51" s="101"/>
      <c r="F51" s="3" t="s">
        <v>454</v>
      </c>
      <c r="G51" s="4">
        <v>3820300</v>
      </c>
      <c r="H51" s="4" t="s">
        <v>403</v>
      </c>
      <c r="I51" s="4">
        <v>3198509</v>
      </c>
    </row>
    <row r="52" spans="2:9" x14ac:dyDescent="0.3">
      <c r="B52" s="44">
        <v>45934</v>
      </c>
      <c r="C52" s="3" t="s">
        <v>416</v>
      </c>
      <c r="D52" s="4" t="s">
        <v>614</v>
      </c>
      <c r="E52" s="101"/>
      <c r="F52" s="3" t="s">
        <v>380</v>
      </c>
      <c r="G52" s="4">
        <v>3202208</v>
      </c>
      <c r="H52" s="4" t="s">
        <v>384</v>
      </c>
      <c r="I52" s="4">
        <v>3199508</v>
      </c>
    </row>
    <row r="53" spans="2:9" x14ac:dyDescent="0.3">
      <c r="C53" s="3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4" t="s">
        <v>614</v>
      </c>
      <c r="E54" s="101"/>
      <c r="F54" s="3" t="s">
        <v>403</v>
      </c>
      <c r="G54" s="4">
        <v>3198509</v>
      </c>
      <c r="H54" s="4" t="s">
        <v>386</v>
      </c>
      <c r="I54" s="4">
        <v>3900807</v>
      </c>
    </row>
    <row r="55" spans="2:9" x14ac:dyDescent="0.3">
      <c r="B55" s="44">
        <v>45941</v>
      </c>
      <c r="C55" s="3" t="s">
        <v>416</v>
      </c>
      <c r="D55" s="4" t="s">
        <v>614</v>
      </c>
      <c r="E55" s="101"/>
      <c r="F55" s="3" t="s">
        <v>623</v>
      </c>
      <c r="G55" s="4">
        <v>3819305</v>
      </c>
      <c r="H55" s="4" t="s">
        <v>624</v>
      </c>
      <c r="I55" s="4">
        <v>3196105</v>
      </c>
    </row>
    <row r="56" spans="2:9" x14ac:dyDescent="0.3">
      <c r="B56" s="44">
        <v>45941</v>
      </c>
      <c r="C56" s="3" t="s">
        <v>416</v>
      </c>
      <c r="D56" s="4" t="s">
        <v>614</v>
      </c>
      <c r="E56" s="101"/>
      <c r="F56" s="3" t="s">
        <v>346</v>
      </c>
      <c r="G56" s="4">
        <v>3208900</v>
      </c>
      <c r="H56" s="4" t="s">
        <v>455</v>
      </c>
      <c r="I56" s="4">
        <v>3961604</v>
      </c>
    </row>
    <row r="57" spans="2:9" x14ac:dyDescent="0.3">
      <c r="B57" s="44">
        <v>45941</v>
      </c>
      <c r="C57" s="3" t="s">
        <v>416</v>
      </c>
      <c r="D57" s="4" t="s">
        <v>614</v>
      </c>
      <c r="E57" s="101"/>
      <c r="F57" s="3" t="s">
        <v>622</v>
      </c>
      <c r="G57" s="4">
        <v>3969502</v>
      </c>
      <c r="H57" s="4" t="s">
        <v>454</v>
      </c>
      <c r="I57" s="4">
        <v>3820300</v>
      </c>
    </row>
    <row r="58" spans="2:9" x14ac:dyDescent="0.3">
      <c r="B58" s="44">
        <v>45941</v>
      </c>
      <c r="C58" s="3" t="s">
        <v>416</v>
      </c>
      <c r="D58" s="4" t="s">
        <v>614</v>
      </c>
      <c r="E58" s="101"/>
      <c r="F58" s="3" t="s">
        <v>385</v>
      </c>
      <c r="G58" s="4">
        <v>3199602</v>
      </c>
      <c r="H58" s="4" t="s">
        <v>380</v>
      </c>
      <c r="I58" s="4">
        <v>3202208</v>
      </c>
    </row>
    <row r="59" spans="2:9" x14ac:dyDescent="0.3">
      <c r="B59" s="44">
        <v>45941</v>
      </c>
      <c r="C59" s="3" t="s">
        <v>416</v>
      </c>
      <c r="D59" s="4" t="s">
        <v>614</v>
      </c>
      <c r="E59" s="101"/>
      <c r="F59" s="3" t="s">
        <v>384</v>
      </c>
      <c r="G59" s="4">
        <v>3199508</v>
      </c>
      <c r="H59" s="4" t="s">
        <v>453</v>
      </c>
      <c r="I59" s="4">
        <v>3206006</v>
      </c>
    </row>
    <row r="60" spans="2:9" x14ac:dyDescent="0.3">
      <c r="C60" s="3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4" t="s">
        <v>614</v>
      </c>
      <c r="E61" s="101"/>
      <c r="F61" s="3" t="s">
        <v>624</v>
      </c>
      <c r="G61" s="4">
        <v>3196105</v>
      </c>
      <c r="H61" s="4" t="s">
        <v>386</v>
      </c>
      <c r="I61" s="4">
        <v>3900807</v>
      </c>
    </row>
    <row r="62" spans="2:9" x14ac:dyDescent="0.3">
      <c r="B62" s="44">
        <v>45948</v>
      </c>
      <c r="C62" s="3" t="s">
        <v>416</v>
      </c>
      <c r="D62" s="4" t="s">
        <v>614</v>
      </c>
      <c r="E62" s="101"/>
      <c r="F62" s="3" t="s">
        <v>453</v>
      </c>
      <c r="G62" s="4">
        <v>3206006</v>
      </c>
      <c r="H62" s="4" t="s">
        <v>385</v>
      </c>
      <c r="I62" s="4">
        <v>3199602</v>
      </c>
    </row>
    <row r="63" spans="2:9" x14ac:dyDescent="0.3">
      <c r="B63" s="44">
        <v>45948</v>
      </c>
      <c r="C63" s="3" t="s">
        <v>416</v>
      </c>
      <c r="D63" s="4" t="s">
        <v>614</v>
      </c>
      <c r="E63" s="101"/>
      <c r="F63" s="3" t="s">
        <v>622</v>
      </c>
      <c r="G63" s="4">
        <v>3969502</v>
      </c>
      <c r="H63" s="4" t="s">
        <v>403</v>
      </c>
      <c r="I63" s="4">
        <v>3198509</v>
      </c>
    </row>
    <row r="64" spans="2:9" x14ac:dyDescent="0.3">
      <c r="B64" s="44">
        <v>45948</v>
      </c>
      <c r="C64" s="3" t="s">
        <v>416</v>
      </c>
      <c r="D64" s="4" t="s">
        <v>614</v>
      </c>
      <c r="E64" s="101"/>
      <c r="F64" s="3" t="s">
        <v>455</v>
      </c>
      <c r="G64" s="4">
        <v>3961604</v>
      </c>
      <c r="H64" s="4" t="s">
        <v>623</v>
      </c>
      <c r="I64" s="4">
        <v>3819305</v>
      </c>
    </row>
    <row r="65" spans="2:9" x14ac:dyDescent="0.3">
      <c r="B65" s="44">
        <v>45948</v>
      </c>
      <c r="C65" s="3" t="s">
        <v>416</v>
      </c>
      <c r="D65" s="4" t="s">
        <v>614</v>
      </c>
      <c r="E65" s="101"/>
      <c r="F65" s="3" t="s">
        <v>454</v>
      </c>
      <c r="G65" s="4">
        <v>3820300</v>
      </c>
      <c r="H65" s="4" t="s">
        <v>384</v>
      </c>
      <c r="I65" s="4">
        <v>3199508</v>
      </c>
    </row>
    <row r="66" spans="2:9" x14ac:dyDescent="0.3">
      <c r="B66" s="44">
        <v>45948</v>
      </c>
      <c r="C66" s="3" t="s">
        <v>416</v>
      </c>
      <c r="D66" s="4" t="s">
        <v>614</v>
      </c>
      <c r="E66" s="101"/>
      <c r="F66" s="3" t="s">
        <v>380</v>
      </c>
      <c r="G66" s="4">
        <v>3202208</v>
      </c>
      <c r="H66" s="4" t="s">
        <v>346</v>
      </c>
      <c r="I66" s="4">
        <v>3208900</v>
      </c>
    </row>
    <row r="67" spans="2:9" x14ac:dyDescent="0.3">
      <c r="C67" s="3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4" t="s">
        <v>614</v>
      </c>
      <c r="E68" s="101"/>
      <c r="F68" s="3" t="s">
        <v>403</v>
      </c>
      <c r="G68" s="4">
        <v>3198509</v>
      </c>
      <c r="H68" s="4" t="s">
        <v>624</v>
      </c>
      <c r="I68" s="4">
        <v>3196105</v>
      </c>
    </row>
    <row r="69" spans="2:9" x14ac:dyDescent="0.3">
      <c r="B69" s="44">
        <v>45962</v>
      </c>
      <c r="C69" s="3" t="s">
        <v>416</v>
      </c>
      <c r="D69" s="4" t="s">
        <v>614</v>
      </c>
      <c r="E69" s="101"/>
      <c r="F69" s="3" t="s">
        <v>623</v>
      </c>
      <c r="G69" s="4">
        <v>3819305</v>
      </c>
      <c r="H69" s="4" t="s">
        <v>380</v>
      </c>
      <c r="I69" s="4">
        <v>3202208</v>
      </c>
    </row>
    <row r="70" spans="2:9" x14ac:dyDescent="0.3">
      <c r="B70" s="44">
        <v>45962</v>
      </c>
      <c r="C70" s="3" t="s">
        <v>416</v>
      </c>
      <c r="D70" s="4" t="s">
        <v>614</v>
      </c>
      <c r="E70" s="101"/>
      <c r="F70" s="3" t="s">
        <v>386</v>
      </c>
      <c r="G70" s="4">
        <v>3900807</v>
      </c>
      <c r="H70" s="4" t="s">
        <v>455</v>
      </c>
      <c r="I70" s="4">
        <v>3961604</v>
      </c>
    </row>
    <row r="71" spans="2:9" x14ac:dyDescent="0.3">
      <c r="B71" s="44">
        <v>45962</v>
      </c>
      <c r="C71" s="3" t="s">
        <v>416</v>
      </c>
      <c r="D71" s="4" t="s">
        <v>614</v>
      </c>
      <c r="E71" s="101"/>
      <c r="F71" s="3" t="s">
        <v>346</v>
      </c>
      <c r="G71" s="4">
        <v>3208900</v>
      </c>
      <c r="H71" s="4" t="s">
        <v>453</v>
      </c>
      <c r="I71" s="4">
        <v>3206006</v>
      </c>
    </row>
    <row r="72" spans="2:9" x14ac:dyDescent="0.3">
      <c r="B72" s="44">
        <v>45962</v>
      </c>
      <c r="C72" s="3" t="s">
        <v>416</v>
      </c>
      <c r="D72" s="4" t="s">
        <v>614</v>
      </c>
      <c r="E72" s="101"/>
      <c r="F72" s="3" t="s">
        <v>385</v>
      </c>
      <c r="G72" s="4">
        <v>3199602</v>
      </c>
      <c r="H72" s="4" t="s">
        <v>454</v>
      </c>
      <c r="I72" s="4">
        <v>3820300</v>
      </c>
    </row>
    <row r="73" spans="2:9" x14ac:dyDescent="0.3">
      <c r="B73" s="44">
        <v>45962</v>
      </c>
      <c r="C73" s="3" t="s">
        <v>416</v>
      </c>
      <c r="D73" s="4" t="s">
        <v>614</v>
      </c>
      <c r="E73" s="101"/>
      <c r="F73" s="3" t="s">
        <v>384</v>
      </c>
      <c r="G73" s="4">
        <v>3199508</v>
      </c>
      <c r="H73" s="4" t="s">
        <v>622</v>
      </c>
      <c r="I73" s="4">
        <v>3969502</v>
      </c>
    </row>
    <row r="74" spans="2:9" x14ac:dyDescent="0.3">
      <c r="C74" s="3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4" t="s">
        <v>614</v>
      </c>
      <c r="E75" s="101"/>
      <c r="F75" s="3" t="s">
        <v>453</v>
      </c>
      <c r="G75" s="4">
        <v>3206006</v>
      </c>
      <c r="H75" s="4" t="s">
        <v>623</v>
      </c>
      <c r="I75" s="4">
        <v>3819305</v>
      </c>
    </row>
    <row r="76" spans="2:9" x14ac:dyDescent="0.3">
      <c r="B76" s="44">
        <v>45969</v>
      </c>
      <c r="C76" s="3" t="s">
        <v>416</v>
      </c>
      <c r="D76" s="4" t="s">
        <v>614</v>
      </c>
      <c r="E76" s="101"/>
      <c r="F76" s="3" t="s">
        <v>622</v>
      </c>
      <c r="G76" s="4">
        <v>3969502</v>
      </c>
      <c r="H76" s="4" t="s">
        <v>385</v>
      </c>
      <c r="I76" s="4">
        <v>3199602</v>
      </c>
    </row>
    <row r="77" spans="2:9" x14ac:dyDescent="0.3">
      <c r="B77" s="44">
        <v>45969</v>
      </c>
      <c r="C77" s="3" t="s">
        <v>416</v>
      </c>
      <c r="D77" s="4" t="s">
        <v>614</v>
      </c>
      <c r="E77" s="101"/>
      <c r="F77" s="3" t="s">
        <v>455</v>
      </c>
      <c r="G77" s="4">
        <v>3961604</v>
      </c>
      <c r="H77" s="4" t="s">
        <v>624</v>
      </c>
      <c r="I77" s="4">
        <v>3196105</v>
      </c>
    </row>
    <row r="78" spans="2:9" x14ac:dyDescent="0.3">
      <c r="B78" s="44">
        <v>45969</v>
      </c>
      <c r="C78" s="3" t="s">
        <v>416</v>
      </c>
      <c r="D78" s="4" t="s">
        <v>614</v>
      </c>
      <c r="E78" s="101"/>
      <c r="F78" s="3" t="s">
        <v>454</v>
      </c>
      <c r="G78" s="4">
        <v>3820300</v>
      </c>
      <c r="H78" s="4" t="s">
        <v>346</v>
      </c>
      <c r="I78" s="4">
        <v>3208900</v>
      </c>
    </row>
    <row r="79" spans="2:9" x14ac:dyDescent="0.3">
      <c r="B79" s="44">
        <v>45969</v>
      </c>
      <c r="C79" s="3" t="s">
        <v>416</v>
      </c>
      <c r="D79" s="4" t="s">
        <v>614</v>
      </c>
      <c r="E79" s="101"/>
      <c r="F79" s="3" t="s">
        <v>380</v>
      </c>
      <c r="G79" s="4">
        <v>3202208</v>
      </c>
      <c r="H79" s="4" t="s">
        <v>386</v>
      </c>
      <c r="I79" s="4">
        <v>3900807</v>
      </c>
    </row>
    <row r="80" spans="2:9" x14ac:dyDescent="0.3">
      <c r="B80" s="44">
        <v>45969</v>
      </c>
      <c r="C80" s="3" t="s">
        <v>416</v>
      </c>
      <c r="D80" s="4" t="s">
        <v>614</v>
      </c>
      <c r="E80" s="101"/>
      <c r="F80" s="3" t="s">
        <v>384</v>
      </c>
      <c r="G80" s="4">
        <v>3199508</v>
      </c>
      <c r="H80" s="4" t="s">
        <v>403</v>
      </c>
      <c r="I80" s="4">
        <v>3198509</v>
      </c>
    </row>
    <row r="81" spans="2:9" x14ac:dyDescent="0.3">
      <c r="C81" s="3"/>
      <c r="E81" s="101"/>
      <c r="F81" s="3" t="s">
        <v>418</v>
      </c>
      <c r="G81" s="4" t="s">
        <v>418</v>
      </c>
      <c r="H81" s="4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4" t="s">
        <v>614</v>
      </c>
      <c r="E82" s="101"/>
      <c r="F82" s="3" t="s">
        <v>624</v>
      </c>
      <c r="G82" s="4">
        <v>3196105</v>
      </c>
      <c r="H82" s="4" t="s">
        <v>380</v>
      </c>
      <c r="I82" s="4">
        <v>3202208</v>
      </c>
    </row>
    <row r="83" spans="2:9" x14ac:dyDescent="0.3">
      <c r="B83" s="44">
        <v>45976</v>
      </c>
      <c r="C83" s="3" t="s">
        <v>416</v>
      </c>
      <c r="D83" s="4" t="s">
        <v>614</v>
      </c>
      <c r="E83" s="101"/>
      <c r="F83" s="3" t="s">
        <v>403</v>
      </c>
      <c r="G83" s="4">
        <v>3198509</v>
      </c>
      <c r="H83" s="4" t="s">
        <v>455</v>
      </c>
      <c r="I83" s="4">
        <v>3961604</v>
      </c>
    </row>
    <row r="84" spans="2:9" x14ac:dyDescent="0.3">
      <c r="B84" s="44">
        <v>45976</v>
      </c>
      <c r="C84" s="3" t="s">
        <v>416</v>
      </c>
      <c r="D84" s="4" t="s">
        <v>614</v>
      </c>
      <c r="E84" s="101"/>
      <c r="F84" s="3" t="s">
        <v>623</v>
      </c>
      <c r="G84" s="4">
        <v>3819305</v>
      </c>
      <c r="H84" s="4" t="s">
        <v>454</v>
      </c>
      <c r="I84" s="4">
        <v>3820300</v>
      </c>
    </row>
    <row r="85" spans="2:9" x14ac:dyDescent="0.3">
      <c r="B85" s="44">
        <v>45976</v>
      </c>
      <c r="C85" s="3" t="s">
        <v>416</v>
      </c>
      <c r="D85" s="4" t="s">
        <v>614</v>
      </c>
      <c r="E85" s="101"/>
      <c r="F85" s="3" t="s">
        <v>386</v>
      </c>
      <c r="G85" s="4">
        <v>3900807</v>
      </c>
      <c r="H85" s="4" t="s">
        <v>453</v>
      </c>
      <c r="I85" s="4">
        <v>3206006</v>
      </c>
    </row>
    <row r="86" spans="2:9" x14ac:dyDescent="0.3">
      <c r="B86" s="44">
        <v>45976</v>
      </c>
      <c r="C86" s="3" t="s">
        <v>416</v>
      </c>
      <c r="D86" s="4" t="s">
        <v>614</v>
      </c>
      <c r="E86" s="101"/>
      <c r="F86" s="3" t="s">
        <v>346</v>
      </c>
      <c r="G86" s="4">
        <v>3208900</v>
      </c>
      <c r="H86" s="4" t="s">
        <v>622</v>
      </c>
      <c r="I86" s="4">
        <v>3969502</v>
      </c>
    </row>
    <row r="87" spans="2:9" x14ac:dyDescent="0.3">
      <c r="B87" s="44">
        <v>45976</v>
      </c>
      <c r="C87" s="3" t="s">
        <v>416</v>
      </c>
      <c r="D87" s="4" t="s">
        <v>614</v>
      </c>
      <c r="E87" s="101"/>
      <c r="F87" s="3" t="s">
        <v>385</v>
      </c>
      <c r="G87" s="4">
        <v>3199602</v>
      </c>
      <c r="H87" s="4" t="s">
        <v>384</v>
      </c>
      <c r="I87" s="4">
        <v>3199508</v>
      </c>
    </row>
    <row r="88" spans="2:9" x14ac:dyDescent="0.3">
      <c r="C88" s="3"/>
      <c r="E88" s="101"/>
      <c r="F88" s="3" t="s">
        <v>418</v>
      </c>
      <c r="G88" s="4" t="s">
        <v>418</v>
      </c>
      <c r="H88" s="4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4" t="s">
        <v>614</v>
      </c>
      <c r="E89" s="101"/>
      <c r="F89" s="3" t="s">
        <v>453</v>
      </c>
      <c r="G89" s="4">
        <v>3206006</v>
      </c>
      <c r="H89" s="4" t="s">
        <v>624</v>
      </c>
      <c r="I89" s="4">
        <v>3196105</v>
      </c>
    </row>
    <row r="90" spans="2:9" x14ac:dyDescent="0.3">
      <c r="B90" s="44">
        <v>45983</v>
      </c>
      <c r="C90" s="3" t="s">
        <v>416</v>
      </c>
      <c r="D90" s="4" t="s">
        <v>614</v>
      </c>
      <c r="E90" s="101"/>
      <c r="F90" s="3" t="s">
        <v>622</v>
      </c>
      <c r="G90" s="4">
        <v>3969502</v>
      </c>
      <c r="H90" s="4" t="s">
        <v>623</v>
      </c>
      <c r="I90" s="4">
        <v>3819305</v>
      </c>
    </row>
    <row r="91" spans="2:9" x14ac:dyDescent="0.3">
      <c r="B91" s="44">
        <v>45983</v>
      </c>
      <c r="C91" s="3" t="s">
        <v>416</v>
      </c>
      <c r="D91" s="4" t="s">
        <v>614</v>
      </c>
      <c r="E91" s="101"/>
      <c r="F91" s="3" t="s">
        <v>454</v>
      </c>
      <c r="G91" s="4">
        <v>3820300</v>
      </c>
      <c r="H91" s="4" t="s">
        <v>386</v>
      </c>
      <c r="I91" s="4">
        <v>3900807</v>
      </c>
    </row>
    <row r="92" spans="2:9" x14ac:dyDescent="0.3">
      <c r="B92" s="44">
        <v>45983</v>
      </c>
      <c r="C92" s="3" t="s">
        <v>416</v>
      </c>
      <c r="D92" s="4" t="s">
        <v>614</v>
      </c>
      <c r="E92" s="101"/>
      <c r="F92" s="3" t="s">
        <v>380</v>
      </c>
      <c r="G92" s="4">
        <v>3202208</v>
      </c>
      <c r="H92" s="4" t="s">
        <v>455</v>
      </c>
      <c r="I92" s="4">
        <v>3961604</v>
      </c>
    </row>
    <row r="93" spans="2:9" x14ac:dyDescent="0.3">
      <c r="B93" s="44">
        <v>45983</v>
      </c>
      <c r="C93" s="3" t="s">
        <v>416</v>
      </c>
      <c r="D93" s="4" t="s">
        <v>614</v>
      </c>
      <c r="E93" s="101"/>
      <c r="F93" s="3" t="s">
        <v>385</v>
      </c>
      <c r="G93" s="4">
        <v>3199602</v>
      </c>
      <c r="H93" s="4" t="s">
        <v>403</v>
      </c>
      <c r="I93" s="4">
        <v>3198509</v>
      </c>
    </row>
    <row r="94" spans="2:9" x14ac:dyDescent="0.3">
      <c r="B94" s="44">
        <v>45983</v>
      </c>
      <c r="C94" s="3" t="s">
        <v>416</v>
      </c>
      <c r="D94" s="4" t="s">
        <v>614</v>
      </c>
      <c r="E94" s="101"/>
      <c r="F94" s="3" t="s">
        <v>384</v>
      </c>
      <c r="G94" s="4">
        <v>3199508</v>
      </c>
      <c r="H94" s="4" t="s">
        <v>346</v>
      </c>
      <c r="I94" s="4">
        <v>3208900</v>
      </c>
    </row>
    <row r="95" spans="2:9" x14ac:dyDescent="0.3">
      <c r="C95" s="3"/>
      <c r="E95" s="101"/>
      <c r="F95" s="3" t="s">
        <v>418</v>
      </c>
      <c r="G95" s="4" t="s">
        <v>418</v>
      </c>
      <c r="H95" s="4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4" t="s">
        <v>614</v>
      </c>
      <c r="E96" s="101"/>
      <c r="F96" s="3" t="s">
        <v>624</v>
      </c>
      <c r="G96" s="4">
        <v>3196105</v>
      </c>
      <c r="H96" s="4" t="s">
        <v>454</v>
      </c>
      <c r="I96" s="4">
        <v>3820300</v>
      </c>
    </row>
    <row r="97" spans="2:9" x14ac:dyDescent="0.3">
      <c r="B97" s="44">
        <v>45990</v>
      </c>
      <c r="C97" s="3" t="s">
        <v>416</v>
      </c>
      <c r="D97" s="4" t="s">
        <v>614</v>
      </c>
      <c r="E97" s="101"/>
      <c r="F97" s="3" t="s">
        <v>403</v>
      </c>
      <c r="G97" s="4">
        <v>3198509</v>
      </c>
      <c r="H97" s="4" t="s">
        <v>380</v>
      </c>
      <c r="I97" s="4">
        <v>3202208</v>
      </c>
    </row>
    <row r="98" spans="2:9" x14ac:dyDescent="0.3">
      <c r="B98" s="44">
        <v>45990</v>
      </c>
      <c r="C98" s="3" t="s">
        <v>416</v>
      </c>
      <c r="D98" s="4" t="s">
        <v>614</v>
      </c>
      <c r="E98" s="101"/>
      <c r="F98" s="3" t="s">
        <v>623</v>
      </c>
      <c r="G98" s="4">
        <v>3819305</v>
      </c>
      <c r="H98" s="4" t="s">
        <v>384</v>
      </c>
      <c r="I98" s="4">
        <v>3199508</v>
      </c>
    </row>
    <row r="99" spans="2:9" x14ac:dyDescent="0.3">
      <c r="B99" s="44">
        <v>45990</v>
      </c>
      <c r="C99" s="3" t="s">
        <v>416</v>
      </c>
      <c r="D99" s="4" t="s">
        <v>614</v>
      </c>
      <c r="E99" s="101"/>
      <c r="F99" s="3" t="s">
        <v>386</v>
      </c>
      <c r="G99" s="4">
        <v>3900807</v>
      </c>
      <c r="H99" s="4" t="s">
        <v>622</v>
      </c>
      <c r="I99" s="4">
        <v>3969502</v>
      </c>
    </row>
    <row r="100" spans="2:9" x14ac:dyDescent="0.3">
      <c r="B100" s="44">
        <v>45990</v>
      </c>
      <c r="C100" s="3" t="s">
        <v>416</v>
      </c>
      <c r="D100" s="4" t="s">
        <v>614</v>
      </c>
      <c r="E100" s="101"/>
      <c r="F100" s="3" t="s">
        <v>346</v>
      </c>
      <c r="G100" s="4">
        <v>3208900</v>
      </c>
      <c r="H100" s="4" t="s">
        <v>385</v>
      </c>
      <c r="I100" s="4">
        <v>3199602</v>
      </c>
    </row>
    <row r="101" spans="2:9" x14ac:dyDescent="0.3">
      <c r="B101" s="44">
        <v>45990</v>
      </c>
      <c r="C101" s="3" t="s">
        <v>416</v>
      </c>
      <c r="D101" s="4" t="s">
        <v>614</v>
      </c>
      <c r="E101" s="101"/>
      <c r="F101" s="3" t="s">
        <v>455</v>
      </c>
      <c r="G101" s="4">
        <v>3961604</v>
      </c>
      <c r="H101" s="4" t="s">
        <v>453</v>
      </c>
      <c r="I101" s="4">
        <v>3206006</v>
      </c>
    </row>
    <row r="102" spans="2:9" x14ac:dyDescent="0.3">
      <c r="C102" s="3"/>
      <c r="E102" s="101"/>
      <c r="F102" s="3" t="s">
        <v>418</v>
      </c>
      <c r="G102" s="4" t="s">
        <v>418</v>
      </c>
      <c r="H102" s="4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4" t="s">
        <v>614</v>
      </c>
      <c r="E103" s="101"/>
      <c r="F103" s="3" t="s">
        <v>624</v>
      </c>
      <c r="G103" s="4">
        <v>3196105</v>
      </c>
      <c r="H103" s="4" t="s">
        <v>622</v>
      </c>
      <c r="I103" s="4">
        <v>3969502</v>
      </c>
    </row>
    <row r="104" spans="2:9" x14ac:dyDescent="0.3">
      <c r="B104" s="44">
        <v>46032</v>
      </c>
      <c r="C104" s="3" t="s">
        <v>416</v>
      </c>
      <c r="D104" s="4" t="s">
        <v>614</v>
      </c>
      <c r="E104" s="101"/>
      <c r="F104" s="3" t="s">
        <v>403</v>
      </c>
      <c r="G104" s="4">
        <v>3198509</v>
      </c>
      <c r="H104" s="4" t="s">
        <v>346</v>
      </c>
      <c r="I104" s="4">
        <v>3208900</v>
      </c>
    </row>
    <row r="105" spans="2:9" x14ac:dyDescent="0.3">
      <c r="B105" s="44">
        <v>46032</v>
      </c>
      <c r="C105" s="3" t="s">
        <v>416</v>
      </c>
      <c r="D105" s="4" t="s">
        <v>614</v>
      </c>
      <c r="E105" s="101"/>
      <c r="F105" s="3" t="s">
        <v>623</v>
      </c>
      <c r="G105" s="4">
        <v>3819305</v>
      </c>
      <c r="H105" s="4" t="s">
        <v>385</v>
      </c>
      <c r="I105" s="4">
        <v>3199602</v>
      </c>
    </row>
    <row r="106" spans="2:9" x14ac:dyDescent="0.3">
      <c r="B106" s="44">
        <v>46032</v>
      </c>
      <c r="C106" s="3" t="s">
        <v>416</v>
      </c>
      <c r="D106" s="4" t="s">
        <v>614</v>
      </c>
      <c r="E106" s="101"/>
      <c r="F106" s="3" t="s">
        <v>386</v>
      </c>
      <c r="G106" s="4">
        <v>3900807</v>
      </c>
      <c r="H106" s="4" t="s">
        <v>384</v>
      </c>
      <c r="I106" s="4">
        <v>3199508</v>
      </c>
    </row>
    <row r="107" spans="2:9" x14ac:dyDescent="0.3">
      <c r="B107" s="44">
        <v>46032</v>
      </c>
      <c r="C107" s="3" t="s">
        <v>416</v>
      </c>
      <c r="D107" s="4" t="s">
        <v>614</v>
      </c>
      <c r="E107" s="101"/>
      <c r="F107" s="3" t="s">
        <v>455</v>
      </c>
      <c r="G107" s="4">
        <v>3961604</v>
      </c>
      <c r="H107" s="4" t="s">
        <v>454</v>
      </c>
      <c r="I107" s="4">
        <v>3820300</v>
      </c>
    </row>
    <row r="108" spans="2:9" x14ac:dyDescent="0.3">
      <c r="B108" s="44">
        <v>46032</v>
      </c>
      <c r="C108" s="3" t="s">
        <v>416</v>
      </c>
      <c r="D108" s="4" t="s">
        <v>614</v>
      </c>
      <c r="E108" s="101"/>
      <c r="F108" s="3" t="s">
        <v>380</v>
      </c>
      <c r="G108" s="4">
        <v>3202208</v>
      </c>
      <c r="H108" s="4" t="s">
        <v>453</v>
      </c>
      <c r="I108" s="4">
        <v>3206006</v>
      </c>
    </row>
    <row r="109" spans="2:9" x14ac:dyDescent="0.3">
      <c r="C109" s="3"/>
      <c r="E109" s="101"/>
      <c r="F109" s="3" t="s">
        <v>418</v>
      </c>
      <c r="G109" s="4" t="s">
        <v>418</v>
      </c>
      <c r="H109" s="4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4" t="s">
        <v>614</v>
      </c>
      <c r="E110" s="101"/>
      <c r="F110" s="3" t="s">
        <v>453</v>
      </c>
      <c r="G110" s="4">
        <v>3206006</v>
      </c>
      <c r="H110" s="4" t="s">
        <v>403</v>
      </c>
      <c r="I110" s="4">
        <v>3198509</v>
      </c>
    </row>
    <row r="111" spans="2:9" x14ac:dyDescent="0.3">
      <c r="B111" s="44">
        <v>46039</v>
      </c>
      <c r="C111" s="3" t="s">
        <v>416</v>
      </c>
      <c r="D111" s="4" t="s">
        <v>614</v>
      </c>
      <c r="E111" s="101"/>
      <c r="F111" s="3" t="s">
        <v>346</v>
      </c>
      <c r="G111" s="4">
        <v>3208900</v>
      </c>
      <c r="H111" s="4" t="s">
        <v>623</v>
      </c>
      <c r="I111" s="4">
        <v>3819305</v>
      </c>
    </row>
    <row r="112" spans="2:9" x14ac:dyDescent="0.3">
      <c r="B112" s="44">
        <v>46039</v>
      </c>
      <c r="C112" s="3" t="s">
        <v>416</v>
      </c>
      <c r="D112" s="4" t="s">
        <v>614</v>
      </c>
      <c r="E112" s="101"/>
      <c r="F112" s="3" t="s">
        <v>622</v>
      </c>
      <c r="G112" s="4">
        <v>3969502</v>
      </c>
      <c r="H112" s="4" t="s">
        <v>455</v>
      </c>
      <c r="I112" s="4">
        <v>3961604</v>
      </c>
    </row>
    <row r="113" spans="2:9" x14ac:dyDescent="0.3">
      <c r="B113" s="44">
        <v>46039</v>
      </c>
      <c r="C113" s="3" t="s">
        <v>416</v>
      </c>
      <c r="D113" s="4" t="s">
        <v>614</v>
      </c>
      <c r="E113" s="101"/>
      <c r="F113" s="3" t="s">
        <v>454</v>
      </c>
      <c r="G113" s="4">
        <v>3820300</v>
      </c>
      <c r="H113" s="4" t="s">
        <v>380</v>
      </c>
      <c r="I113" s="4">
        <v>3202208</v>
      </c>
    </row>
    <row r="114" spans="2:9" x14ac:dyDescent="0.3">
      <c r="B114" s="44">
        <v>46039</v>
      </c>
      <c r="C114" s="3" t="s">
        <v>416</v>
      </c>
      <c r="D114" s="4" t="s">
        <v>614</v>
      </c>
      <c r="E114" s="101"/>
      <c r="F114" s="3" t="s">
        <v>385</v>
      </c>
      <c r="G114" s="4">
        <v>3199602</v>
      </c>
      <c r="H114" s="4" t="s">
        <v>386</v>
      </c>
      <c r="I114" s="4">
        <v>3900807</v>
      </c>
    </row>
    <row r="115" spans="2:9" x14ac:dyDescent="0.3">
      <c r="B115" s="44">
        <v>46039</v>
      </c>
      <c r="C115" s="3" t="s">
        <v>416</v>
      </c>
      <c r="D115" s="4" t="s">
        <v>614</v>
      </c>
      <c r="E115" s="101"/>
      <c r="F115" s="3" t="s">
        <v>384</v>
      </c>
      <c r="G115" s="4">
        <v>3199508</v>
      </c>
      <c r="H115" s="4" t="s">
        <v>624</v>
      </c>
      <c r="I115" s="4">
        <v>3196105</v>
      </c>
    </row>
    <row r="116" spans="2:9" x14ac:dyDescent="0.3">
      <c r="C116" s="3"/>
      <c r="E116" s="101"/>
      <c r="F116" s="3" t="s">
        <v>418</v>
      </c>
      <c r="G116" s="4" t="s">
        <v>418</v>
      </c>
      <c r="H116" s="4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4" t="s">
        <v>614</v>
      </c>
      <c r="E117" s="101"/>
      <c r="F117" s="3" t="s">
        <v>624</v>
      </c>
      <c r="G117" s="4">
        <v>3196105</v>
      </c>
      <c r="H117" s="4" t="s">
        <v>385</v>
      </c>
      <c r="I117" s="4">
        <v>3199602</v>
      </c>
    </row>
    <row r="118" spans="2:9" x14ac:dyDescent="0.3">
      <c r="B118" s="44">
        <v>46046</v>
      </c>
      <c r="C118" s="3" t="s">
        <v>416</v>
      </c>
      <c r="D118" s="4" t="s">
        <v>614</v>
      </c>
      <c r="E118" s="101"/>
      <c r="F118" s="3" t="s">
        <v>453</v>
      </c>
      <c r="G118" s="4">
        <v>3206006</v>
      </c>
      <c r="H118" s="4" t="s">
        <v>454</v>
      </c>
      <c r="I118" s="4">
        <v>3820300</v>
      </c>
    </row>
    <row r="119" spans="2:9" x14ac:dyDescent="0.3">
      <c r="B119" s="44">
        <v>46046</v>
      </c>
      <c r="C119" s="3" t="s">
        <v>416</v>
      </c>
      <c r="D119" s="4" t="s">
        <v>614</v>
      </c>
      <c r="E119" s="101"/>
      <c r="F119" s="3" t="s">
        <v>623</v>
      </c>
      <c r="G119" s="4">
        <v>3819305</v>
      </c>
      <c r="H119" s="4" t="s">
        <v>403</v>
      </c>
      <c r="I119" s="4">
        <v>3198509</v>
      </c>
    </row>
    <row r="120" spans="2:9" x14ac:dyDescent="0.3">
      <c r="B120" s="44">
        <v>46046</v>
      </c>
      <c r="C120" s="3" t="s">
        <v>416</v>
      </c>
      <c r="D120" s="4" t="s">
        <v>614</v>
      </c>
      <c r="E120" s="101"/>
      <c r="F120" s="3" t="s">
        <v>386</v>
      </c>
      <c r="G120" s="4">
        <v>3900807</v>
      </c>
      <c r="H120" s="4" t="s">
        <v>346</v>
      </c>
      <c r="I120" s="4">
        <v>3208900</v>
      </c>
    </row>
    <row r="121" spans="2:9" x14ac:dyDescent="0.3">
      <c r="B121" s="44">
        <v>46046</v>
      </c>
      <c r="C121" s="3" t="s">
        <v>416</v>
      </c>
      <c r="D121" s="4" t="s">
        <v>614</v>
      </c>
      <c r="E121" s="101"/>
      <c r="F121" s="3" t="s">
        <v>455</v>
      </c>
      <c r="G121" s="4">
        <v>3961604</v>
      </c>
      <c r="H121" s="4" t="s">
        <v>384</v>
      </c>
      <c r="I121" s="4">
        <v>3199508</v>
      </c>
    </row>
    <row r="122" spans="2:9" x14ac:dyDescent="0.3">
      <c r="B122" s="44">
        <v>46046</v>
      </c>
      <c r="C122" s="3" t="s">
        <v>416</v>
      </c>
      <c r="D122" s="4" t="s">
        <v>614</v>
      </c>
      <c r="E122" s="101"/>
      <c r="F122" s="3" t="s">
        <v>380</v>
      </c>
      <c r="G122" s="4">
        <v>3202208</v>
      </c>
      <c r="H122" s="4" t="s">
        <v>622</v>
      </c>
      <c r="I122" s="4">
        <v>3969502</v>
      </c>
    </row>
    <row r="123" spans="2:9" x14ac:dyDescent="0.3">
      <c r="C123" s="3"/>
      <c r="E123" s="101"/>
      <c r="F123" s="3" t="s">
        <v>418</v>
      </c>
      <c r="G123" s="4" t="s">
        <v>418</v>
      </c>
      <c r="H123" s="4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4" t="s">
        <v>614</v>
      </c>
      <c r="E124" s="101"/>
      <c r="F124" s="3" t="s">
        <v>403</v>
      </c>
      <c r="G124" s="4">
        <v>3198509</v>
      </c>
      <c r="H124" s="4" t="s">
        <v>454</v>
      </c>
      <c r="I124" s="4">
        <v>3820300</v>
      </c>
    </row>
    <row r="125" spans="2:9" x14ac:dyDescent="0.3">
      <c r="B125" s="44">
        <v>46053</v>
      </c>
      <c r="C125" s="3" t="s">
        <v>416</v>
      </c>
      <c r="D125" s="4" t="s">
        <v>614</v>
      </c>
      <c r="E125" s="101"/>
      <c r="F125" s="3" t="s">
        <v>623</v>
      </c>
      <c r="G125" s="4">
        <v>3819305</v>
      </c>
      <c r="H125" s="4" t="s">
        <v>386</v>
      </c>
      <c r="I125" s="4">
        <v>3900807</v>
      </c>
    </row>
    <row r="126" spans="2:9" x14ac:dyDescent="0.3">
      <c r="B126" s="44">
        <v>46053</v>
      </c>
      <c r="C126" s="3" t="s">
        <v>416</v>
      </c>
      <c r="D126" s="4" t="s">
        <v>614</v>
      </c>
      <c r="E126" s="101"/>
      <c r="F126" s="3" t="s">
        <v>346</v>
      </c>
      <c r="G126" s="4">
        <v>3208900</v>
      </c>
      <c r="H126" s="4" t="s">
        <v>624</v>
      </c>
      <c r="I126" s="4">
        <v>3196105</v>
      </c>
    </row>
    <row r="127" spans="2:9" x14ac:dyDescent="0.3">
      <c r="B127" s="44">
        <v>46053</v>
      </c>
      <c r="C127" s="3" t="s">
        <v>416</v>
      </c>
      <c r="D127" s="4" t="s">
        <v>614</v>
      </c>
      <c r="E127" s="101"/>
      <c r="F127" s="3" t="s">
        <v>622</v>
      </c>
      <c r="G127" s="4">
        <v>3969502</v>
      </c>
      <c r="H127" s="4" t="s">
        <v>453</v>
      </c>
      <c r="I127" s="4">
        <v>3206006</v>
      </c>
    </row>
    <row r="128" spans="2:9" x14ac:dyDescent="0.3">
      <c r="B128" s="44">
        <v>46053</v>
      </c>
      <c r="C128" s="3" t="s">
        <v>416</v>
      </c>
      <c r="D128" s="4" t="s">
        <v>614</v>
      </c>
      <c r="E128" s="101"/>
      <c r="F128" s="3" t="s">
        <v>385</v>
      </c>
      <c r="G128" s="4">
        <v>3199602</v>
      </c>
      <c r="H128" s="4" t="s">
        <v>455</v>
      </c>
      <c r="I128" s="4">
        <v>3961604</v>
      </c>
    </row>
    <row r="129" spans="1:11" x14ac:dyDescent="0.3">
      <c r="B129" s="44">
        <v>46053</v>
      </c>
      <c r="C129" s="3" t="s">
        <v>416</v>
      </c>
      <c r="D129" s="4" t="s">
        <v>614</v>
      </c>
      <c r="E129" s="101"/>
      <c r="F129" s="3" t="s">
        <v>384</v>
      </c>
      <c r="G129" s="4">
        <v>3199508</v>
      </c>
      <c r="H129" s="4" t="s">
        <v>380</v>
      </c>
      <c r="I129" s="4">
        <v>3202208</v>
      </c>
    </row>
    <row r="130" spans="1:11" x14ac:dyDescent="0.3">
      <c r="C130" s="3"/>
      <c r="E130" s="101"/>
      <c r="F130" s="3" t="s">
        <v>418</v>
      </c>
      <c r="G130" s="4" t="s">
        <v>418</v>
      </c>
      <c r="H130" s="4" t="s">
        <v>418</v>
      </c>
      <c r="I130" s="4" t="s">
        <v>418</v>
      </c>
    </row>
    <row r="131" spans="1:11" x14ac:dyDescent="0.3">
      <c r="B131" s="44">
        <v>46060</v>
      </c>
      <c r="C131" s="3" t="s">
        <v>416</v>
      </c>
      <c r="D131" s="4" t="s">
        <v>614</v>
      </c>
      <c r="E131" s="101"/>
      <c r="F131" s="3" t="s">
        <v>624</v>
      </c>
      <c r="G131" s="4">
        <v>3196105</v>
      </c>
      <c r="H131" s="4" t="s">
        <v>623</v>
      </c>
      <c r="I131" s="4">
        <v>3819305</v>
      </c>
    </row>
    <row r="132" spans="1:11" s="3" customFormat="1" x14ac:dyDescent="0.3">
      <c r="A132" s="47"/>
      <c r="B132" s="44">
        <v>46060</v>
      </c>
      <c r="C132" s="3" t="s">
        <v>416</v>
      </c>
      <c r="D132" s="4" t="s">
        <v>614</v>
      </c>
      <c r="E132" s="101"/>
      <c r="F132" s="3" t="s">
        <v>453</v>
      </c>
      <c r="G132" s="4">
        <v>3206006</v>
      </c>
      <c r="H132" s="4" t="s">
        <v>384</v>
      </c>
      <c r="I132" s="4">
        <v>3199508</v>
      </c>
      <c r="K132" s="51"/>
    </row>
    <row r="133" spans="1:11" s="3" customFormat="1" x14ac:dyDescent="0.3">
      <c r="A133" s="47"/>
      <c r="B133" s="44">
        <v>46060</v>
      </c>
      <c r="C133" s="3" t="s">
        <v>416</v>
      </c>
      <c r="D133" s="4" t="s">
        <v>614</v>
      </c>
      <c r="E133" s="101"/>
      <c r="F133" s="3" t="s">
        <v>386</v>
      </c>
      <c r="G133" s="4">
        <v>3900807</v>
      </c>
      <c r="H133" s="4" t="s">
        <v>403</v>
      </c>
      <c r="I133" s="4">
        <v>3198509</v>
      </c>
      <c r="K133" s="51"/>
    </row>
    <row r="134" spans="1:11" s="3" customFormat="1" x14ac:dyDescent="0.3">
      <c r="A134" s="47"/>
      <c r="B134" s="44">
        <v>46060</v>
      </c>
      <c r="C134" s="3" t="s">
        <v>416</v>
      </c>
      <c r="D134" s="4" t="s">
        <v>614</v>
      </c>
      <c r="E134" s="101"/>
      <c r="F134" s="3" t="s">
        <v>455</v>
      </c>
      <c r="G134" s="4">
        <v>3961604</v>
      </c>
      <c r="H134" s="4" t="s">
        <v>346</v>
      </c>
      <c r="I134" s="4">
        <v>3208900</v>
      </c>
      <c r="K134" s="51"/>
    </row>
    <row r="135" spans="1:11" s="3" customFormat="1" x14ac:dyDescent="0.3">
      <c r="A135" s="47"/>
      <c r="B135" s="44">
        <v>46060</v>
      </c>
      <c r="C135" s="3" t="s">
        <v>416</v>
      </c>
      <c r="D135" s="4" t="s">
        <v>614</v>
      </c>
      <c r="E135" s="101"/>
      <c r="F135" s="3" t="s">
        <v>454</v>
      </c>
      <c r="G135" s="4">
        <v>3820300</v>
      </c>
      <c r="H135" s="4" t="s">
        <v>622</v>
      </c>
      <c r="I135" s="4">
        <v>3969502</v>
      </c>
      <c r="K135" s="51"/>
    </row>
    <row r="136" spans="1:11" s="3" customFormat="1" x14ac:dyDescent="0.3">
      <c r="A136" s="47"/>
      <c r="B136" s="44">
        <v>46060</v>
      </c>
      <c r="C136" s="3" t="s">
        <v>416</v>
      </c>
      <c r="D136" s="4" t="s">
        <v>614</v>
      </c>
      <c r="E136" s="101"/>
      <c r="F136" s="3" t="s">
        <v>380</v>
      </c>
      <c r="G136" s="4">
        <v>3202208</v>
      </c>
      <c r="H136" s="4" t="s">
        <v>385</v>
      </c>
      <c r="I136" s="4">
        <v>3199602</v>
      </c>
      <c r="K136" s="51"/>
    </row>
    <row r="137" spans="1:11" s="3" customFormat="1" x14ac:dyDescent="0.3">
      <c r="A137" s="47"/>
      <c r="B137" s="4"/>
      <c r="D137" s="4"/>
      <c r="E137" s="101"/>
      <c r="F137" s="3" t="s">
        <v>418</v>
      </c>
      <c r="G137" s="4" t="s">
        <v>418</v>
      </c>
      <c r="H137" s="4" t="s">
        <v>418</v>
      </c>
      <c r="I137" s="4" t="s">
        <v>418</v>
      </c>
      <c r="K137" s="51"/>
    </row>
    <row r="138" spans="1:11" s="3" customFormat="1" x14ac:dyDescent="0.3">
      <c r="A138" s="47"/>
      <c r="B138" s="44">
        <v>46074</v>
      </c>
      <c r="C138" s="3" t="s">
        <v>416</v>
      </c>
      <c r="D138" s="4" t="s">
        <v>614</v>
      </c>
      <c r="E138" s="101"/>
      <c r="F138" s="3" t="s">
        <v>403</v>
      </c>
      <c r="G138" s="4">
        <v>3198509</v>
      </c>
      <c r="H138" s="4" t="s">
        <v>622</v>
      </c>
      <c r="I138" s="4">
        <v>3969502</v>
      </c>
      <c r="K138" s="51"/>
    </row>
    <row r="139" spans="1:11" s="3" customFormat="1" x14ac:dyDescent="0.3">
      <c r="A139" s="47"/>
      <c r="B139" s="44">
        <v>46074</v>
      </c>
      <c r="C139" s="3" t="s">
        <v>416</v>
      </c>
      <c r="D139" s="4" t="s">
        <v>614</v>
      </c>
      <c r="E139" s="101"/>
      <c r="F139" s="3" t="s">
        <v>623</v>
      </c>
      <c r="G139" s="4">
        <v>3819305</v>
      </c>
      <c r="H139" s="4" t="s">
        <v>455</v>
      </c>
      <c r="I139" s="4">
        <v>3961604</v>
      </c>
      <c r="K139" s="51"/>
    </row>
    <row r="140" spans="1:11" s="3" customFormat="1" x14ac:dyDescent="0.3">
      <c r="A140" s="47"/>
      <c r="B140" s="44">
        <v>46074</v>
      </c>
      <c r="C140" s="3" t="s">
        <v>416</v>
      </c>
      <c r="D140" s="4" t="s">
        <v>614</v>
      </c>
      <c r="E140" s="101"/>
      <c r="F140" s="3" t="s">
        <v>386</v>
      </c>
      <c r="G140" s="4">
        <v>3900807</v>
      </c>
      <c r="H140" s="4" t="s">
        <v>624</v>
      </c>
      <c r="I140" s="4">
        <v>3196105</v>
      </c>
      <c r="K140" s="51"/>
    </row>
    <row r="141" spans="1:11" s="3" customFormat="1" x14ac:dyDescent="0.3">
      <c r="A141" s="47"/>
      <c r="B141" s="44">
        <v>46074</v>
      </c>
      <c r="C141" s="3" t="s">
        <v>416</v>
      </c>
      <c r="D141" s="4" t="s">
        <v>614</v>
      </c>
      <c r="E141" s="101"/>
      <c r="F141" s="3" t="s">
        <v>346</v>
      </c>
      <c r="G141" s="4">
        <v>3208900</v>
      </c>
      <c r="H141" s="4" t="s">
        <v>380</v>
      </c>
      <c r="I141" s="4">
        <v>3202208</v>
      </c>
      <c r="K141" s="51"/>
    </row>
    <row r="142" spans="1:11" s="3" customFormat="1" x14ac:dyDescent="0.3">
      <c r="A142" s="47"/>
      <c r="B142" s="44">
        <v>46074</v>
      </c>
      <c r="C142" s="3" t="s">
        <v>416</v>
      </c>
      <c r="D142" s="4" t="s">
        <v>614</v>
      </c>
      <c r="E142" s="101"/>
      <c r="F142" s="3" t="s">
        <v>385</v>
      </c>
      <c r="G142" s="4">
        <v>3199602</v>
      </c>
      <c r="H142" s="4" t="s">
        <v>453</v>
      </c>
      <c r="I142" s="4">
        <v>3206006</v>
      </c>
      <c r="K142" s="51"/>
    </row>
    <row r="143" spans="1:11" s="3" customFormat="1" x14ac:dyDescent="0.3">
      <c r="A143" s="47"/>
      <c r="B143" s="44">
        <v>46074</v>
      </c>
      <c r="C143" s="3" t="s">
        <v>416</v>
      </c>
      <c r="D143" s="4" t="s">
        <v>614</v>
      </c>
      <c r="E143" s="101"/>
      <c r="F143" s="3" t="s">
        <v>384</v>
      </c>
      <c r="G143" s="4">
        <v>3199508</v>
      </c>
      <c r="H143" s="4" t="s">
        <v>454</v>
      </c>
      <c r="I143" s="4">
        <v>3820300</v>
      </c>
      <c r="K143" s="51"/>
    </row>
    <row r="144" spans="1:11" s="3" customFormat="1" x14ac:dyDescent="0.3">
      <c r="A144" s="47"/>
      <c r="B144" s="4"/>
      <c r="D144" s="4"/>
      <c r="E144" s="101"/>
      <c r="F144" s="3" t="s">
        <v>418</v>
      </c>
      <c r="G144" s="4" t="s">
        <v>418</v>
      </c>
      <c r="H144" s="4" t="s">
        <v>418</v>
      </c>
      <c r="I144" s="4" t="s">
        <v>418</v>
      </c>
      <c r="K144" s="51"/>
    </row>
    <row r="145" spans="1:11" s="3" customFormat="1" x14ac:dyDescent="0.3">
      <c r="A145" s="47"/>
      <c r="B145" s="44">
        <v>46081</v>
      </c>
      <c r="C145" s="3" t="s">
        <v>416</v>
      </c>
      <c r="D145" s="4" t="s">
        <v>614</v>
      </c>
      <c r="E145" s="101"/>
      <c r="F145" s="3" t="s">
        <v>624</v>
      </c>
      <c r="G145" s="4">
        <v>3196105</v>
      </c>
      <c r="H145" s="4" t="s">
        <v>403</v>
      </c>
      <c r="I145" s="4">
        <v>3198509</v>
      </c>
      <c r="K145" s="51"/>
    </row>
    <row r="146" spans="1:11" s="3" customFormat="1" x14ac:dyDescent="0.3">
      <c r="A146" s="47"/>
      <c r="B146" s="44">
        <v>46081</v>
      </c>
      <c r="C146" s="3" t="s">
        <v>416</v>
      </c>
      <c r="D146" s="4" t="s">
        <v>614</v>
      </c>
      <c r="E146" s="101"/>
      <c r="F146" s="3" t="s">
        <v>453</v>
      </c>
      <c r="G146" s="4">
        <v>3206006</v>
      </c>
      <c r="H146" s="4" t="s">
        <v>346</v>
      </c>
      <c r="I146" s="4">
        <v>3208900</v>
      </c>
      <c r="K146" s="51"/>
    </row>
    <row r="147" spans="1:11" s="3" customFormat="1" x14ac:dyDescent="0.3">
      <c r="A147" s="47"/>
      <c r="B147" s="44">
        <v>46081</v>
      </c>
      <c r="C147" s="3" t="s">
        <v>416</v>
      </c>
      <c r="D147" s="4" t="s">
        <v>614</v>
      </c>
      <c r="E147" s="101"/>
      <c r="F147" s="3" t="s">
        <v>622</v>
      </c>
      <c r="G147" s="4">
        <v>3969502</v>
      </c>
      <c r="H147" s="4" t="s">
        <v>384</v>
      </c>
      <c r="I147" s="4">
        <v>3199508</v>
      </c>
      <c r="K147" s="51"/>
    </row>
    <row r="148" spans="1:11" s="3" customFormat="1" x14ac:dyDescent="0.3">
      <c r="A148" s="47"/>
      <c r="B148" s="44">
        <v>46081</v>
      </c>
      <c r="C148" s="3" t="s">
        <v>416</v>
      </c>
      <c r="D148" s="4" t="s">
        <v>614</v>
      </c>
      <c r="E148" s="101"/>
      <c r="F148" s="3" t="s">
        <v>455</v>
      </c>
      <c r="G148" s="4">
        <v>3961604</v>
      </c>
      <c r="H148" s="4" t="s">
        <v>386</v>
      </c>
      <c r="I148" s="4">
        <v>3900807</v>
      </c>
      <c r="K148" s="51"/>
    </row>
    <row r="149" spans="1:11" s="3" customFormat="1" x14ac:dyDescent="0.3">
      <c r="A149" s="47"/>
      <c r="B149" s="44">
        <v>46081</v>
      </c>
      <c r="C149" s="3" t="s">
        <v>416</v>
      </c>
      <c r="D149" s="4" t="s">
        <v>614</v>
      </c>
      <c r="E149" s="101"/>
      <c r="F149" s="3" t="s">
        <v>454</v>
      </c>
      <c r="G149" s="4">
        <v>3820300</v>
      </c>
      <c r="H149" s="4" t="s">
        <v>385</v>
      </c>
      <c r="I149" s="4">
        <v>3199602</v>
      </c>
      <c r="K149" s="51"/>
    </row>
    <row r="150" spans="1:11" s="3" customFormat="1" x14ac:dyDescent="0.3">
      <c r="A150" s="47"/>
      <c r="B150" s="44">
        <v>46081</v>
      </c>
      <c r="C150" s="3" t="s">
        <v>416</v>
      </c>
      <c r="D150" s="4" t="s">
        <v>614</v>
      </c>
      <c r="E150" s="101"/>
      <c r="F150" s="3" t="s">
        <v>380</v>
      </c>
      <c r="G150" s="4">
        <v>3202208</v>
      </c>
      <c r="H150" s="4" t="s">
        <v>623</v>
      </c>
      <c r="I150" s="4">
        <v>3819305</v>
      </c>
      <c r="K150" s="51"/>
    </row>
    <row r="151" spans="1:11" s="3" customFormat="1" x14ac:dyDescent="0.3">
      <c r="A151" s="47"/>
      <c r="B151" s="4"/>
      <c r="D151" s="4"/>
      <c r="E151" s="101"/>
      <c r="F151" s="3" t="s">
        <v>418</v>
      </c>
      <c r="G151" s="4" t="s">
        <v>418</v>
      </c>
      <c r="H151" s="4" t="s">
        <v>418</v>
      </c>
      <c r="I151" s="4" t="s">
        <v>418</v>
      </c>
      <c r="K151" s="51"/>
    </row>
    <row r="152" spans="1:11" s="3" customFormat="1" x14ac:dyDescent="0.3">
      <c r="A152" s="47"/>
      <c r="B152" s="44">
        <v>46088</v>
      </c>
      <c r="C152" s="3" t="s">
        <v>416</v>
      </c>
      <c r="D152" s="4" t="s">
        <v>614</v>
      </c>
      <c r="E152" s="101"/>
      <c r="F152" s="3" t="s">
        <v>624</v>
      </c>
      <c r="G152" s="4">
        <v>3196105</v>
      </c>
      <c r="H152" s="4" t="s">
        <v>455</v>
      </c>
      <c r="I152" s="4">
        <v>3961604</v>
      </c>
      <c r="K152" s="51"/>
    </row>
    <row r="153" spans="1:11" s="3" customFormat="1" x14ac:dyDescent="0.3">
      <c r="A153" s="47"/>
      <c r="B153" s="44">
        <v>46088</v>
      </c>
      <c r="C153" s="3" t="s">
        <v>416</v>
      </c>
      <c r="D153" s="4" t="s">
        <v>614</v>
      </c>
      <c r="E153" s="101"/>
      <c r="F153" s="3" t="s">
        <v>403</v>
      </c>
      <c r="G153" s="4">
        <v>3198509</v>
      </c>
      <c r="H153" s="4" t="s">
        <v>384</v>
      </c>
      <c r="I153" s="4">
        <v>3199508</v>
      </c>
      <c r="K153" s="51"/>
    </row>
    <row r="154" spans="1:11" s="3" customFormat="1" x14ac:dyDescent="0.3">
      <c r="A154" s="47"/>
      <c r="B154" s="44">
        <v>46088</v>
      </c>
      <c r="C154" s="3" t="s">
        <v>416</v>
      </c>
      <c r="D154" s="4" t="s">
        <v>614</v>
      </c>
      <c r="E154" s="101"/>
      <c r="F154" s="3" t="s">
        <v>623</v>
      </c>
      <c r="G154" s="4">
        <v>3819305</v>
      </c>
      <c r="H154" s="4" t="s">
        <v>453</v>
      </c>
      <c r="I154" s="4">
        <v>3206006</v>
      </c>
      <c r="K154" s="51"/>
    </row>
    <row r="155" spans="1:11" s="3" customFormat="1" x14ac:dyDescent="0.3">
      <c r="A155" s="47"/>
      <c r="B155" s="44">
        <v>46088</v>
      </c>
      <c r="C155" s="3" t="s">
        <v>416</v>
      </c>
      <c r="D155" s="4" t="s">
        <v>614</v>
      </c>
      <c r="E155" s="101"/>
      <c r="F155" s="3" t="s">
        <v>386</v>
      </c>
      <c r="G155" s="4">
        <v>3900807</v>
      </c>
      <c r="H155" s="4" t="s">
        <v>380</v>
      </c>
      <c r="I155" s="4">
        <v>3202208</v>
      </c>
      <c r="K155" s="51"/>
    </row>
    <row r="156" spans="1:11" s="3" customFormat="1" x14ac:dyDescent="0.3">
      <c r="A156" s="47"/>
      <c r="B156" s="44">
        <v>46088</v>
      </c>
      <c r="C156" s="3" t="s">
        <v>416</v>
      </c>
      <c r="D156" s="4" t="s">
        <v>614</v>
      </c>
      <c r="E156" s="101"/>
      <c r="F156" s="3" t="s">
        <v>346</v>
      </c>
      <c r="G156" s="4">
        <v>3208900</v>
      </c>
      <c r="H156" s="4" t="s">
        <v>454</v>
      </c>
      <c r="I156" s="4">
        <v>3820300</v>
      </c>
      <c r="K156" s="51"/>
    </row>
    <row r="157" spans="1:11" s="3" customFormat="1" x14ac:dyDescent="0.3">
      <c r="A157" s="47"/>
      <c r="B157" s="44">
        <v>46088</v>
      </c>
      <c r="C157" s="3" t="s">
        <v>416</v>
      </c>
      <c r="D157" s="4" t="s">
        <v>614</v>
      </c>
      <c r="E157" s="101"/>
      <c r="F157" s="3" t="s">
        <v>385</v>
      </c>
      <c r="G157" s="4">
        <v>3199602</v>
      </c>
      <c r="H157" s="4" t="s">
        <v>622</v>
      </c>
      <c r="I157" s="4">
        <v>3969502</v>
      </c>
      <c r="K157" s="51"/>
    </row>
    <row r="158" spans="1:11" s="3" customFormat="1" x14ac:dyDescent="0.3">
      <c r="A158" s="47"/>
      <c r="B158" s="4"/>
      <c r="D158" s="4"/>
      <c r="E158" s="101"/>
      <c r="F158" s="3" t="s">
        <v>418</v>
      </c>
      <c r="G158" s="4" t="s">
        <v>418</v>
      </c>
      <c r="H158" s="4" t="s">
        <v>418</v>
      </c>
      <c r="I158" s="4" t="s">
        <v>418</v>
      </c>
      <c r="K158" s="51"/>
    </row>
    <row r="159" spans="1:11" s="3" customFormat="1" x14ac:dyDescent="0.3">
      <c r="A159" s="47"/>
      <c r="B159" s="44">
        <v>46095</v>
      </c>
      <c r="C159" s="3" t="s">
        <v>416</v>
      </c>
      <c r="D159" s="4" t="s">
        <v>614</v>
      </c>
      <c r="E159" s="101"/>
      <c r="F159" s="3" t="s">
        <v>453</v>
      </c>
      <c r="G159" s="4">
        <v>3206006</v>
      </c>
      <c r="H159" s="4" t="s">
        <v>386</v>
      </c>
      <c r="I159" s="4">
        <v>3900807</v>
      </c>
      <c r="K159" s="51"/>
    </row>
    <row r="160" spans="1:11" s="3" customFormat="1" x14ac:dyDescent="0.3">
      <c r="A160" s="47"/>
      <c r="B160" s="44">
        <v>46095</v>
      </c>
      <c r="C160" s="3" t="s">
        <v>416</v>
      </c>
      <c r="D160" s="4" t="s">
        <v>614</v>
      </c>
      <c r="E160" s="101"/>
      <c r="F160" s="3" t="s">
        <v>622</v>
      </c>
      <c r="G160" s="4">
        <v>3969502</v>
      </c>
      <c r="H160" s="4" t="s">
        <v>346</v>
      </c>
      <c r="I160" s="4">
        <v>3208900</v>
      </c>
      <c r="K160" s="51"/>
    </row>
    <row r="161" spans="1:11" s="3" customFormat="1" x14ac:dyDescent="0.3">
      <c r="A161" s="47"/>
      <c r="B161" s="44">
        <v>46095</v>
      </c>
      <c r="C161" s="3" t="s">
        <v>416</v>
      </c>
      <c r="D161" s="4" t="s">
        <v>614</v>
      </c>
      <c r="E161" s="101"/>
      <c r="F161" s="3" t="s">
        <v>455</v>
      </c>
      <c r="G161" s="4">
        <v>3961604</v>
      </c>
      <c r="H161" s="4" t="s">
        <v>403</v>
      </c>
      <c r="I161" s="4">
        <v>3198509</v>
      </c>
      <c r="K161" s="51"/>
    </row>
    <row r="162" spans="1:11" s="3" customFormat="1" x14ac:dyDescent="0.3">
      <c r="A162" s="47"/>
      <c r="B162" s="44">
        <v>46095</v>
      </c>
      <c r="C162" s="3" t="s">
        <v>416</v>
      </c>
      <c r="D162" s="4" t="s">
        <v>614</v>
      </c>
      <c r="E162" s="101"/>
      <c r="F162" s="3" t="s">
        <v>454</v>
      </c>
      <c r="G162" s="4">
        <v>3820300</v>
      </c>
      <c r="H162" s="4" t="s">
        <v>623</v>
      </c>
      <c r="I162" s="4">
        <v>3819305</v>
      </c>
      <c r="K162" s="51"/>
    </row>
    <row r="163" spans="1:11" s="3" customFormat="1" x14ac:dyDescent="0.3">
      <c r="A163" s="47"/>
      <c r="B163" s="44">
        <v>46095</v>
      </c>
      <c r="C163" s="3" t="s">
        <v>416</v>
      </c>
      <c r="D163" s="4" t="s">
        <v>614</v>
      </c>
      <c r="E163" s="101"/>
      <c r="F163" s="3" t="s">
        <v>380</v>
      </c>
      <c r="G163" s="4">
        <v>3202208</v>
      </c>
      <c r="H163" s="4" t="s">
        <v>624</v>
      </c>
      <c r="I163" s="4">
        <v>3196105</v>
      </c>
      <c r="K163" s="51"/>
    </row>
    <row r="164" spans="1:11" s="3" customFormat="1" x14ac:dyDescent="0.3">
      <c r="A164" s="47"/>
      <c r="B164" s="44">
        <v>46095</v>
      </c>
      <c r="C164" s="3" t="s">
        <v>416</v>
      </c>
      <c r="D164" s="4" t="s">
        <v>614</v>
      </c>
      <c r="E164" s="101"/>
      <c r="F164" s="3" t="s">
        <v>384</v>
      </c>
      <c r="G164" s="4">
        <v>3199508</v>
      </c>
      <c r="H164" s="4" t="s">
        <v>385</v>
      </c>
      <c r="I164" s="4">
        <v>3199602</v>
      </c>
      <c r="K164" s="51"/>
    </row>
    <row r="165" spans="1:11" s="3" customFormat="1" x14ac:dyDescent="0.3">
      <c r="A165" s="47"/>
      <c r="B165" s="4"/>
      <c r="D165" s="4"/>
      <c r="E165" s="101"/>
      <c r="F165" s="3" t="s">
        <v>418</v>
      </c>
      <c r="G165" s="4" t="s">
        <v>418</v>
      </c>
      <c r="H165" s="4" t="s">
        <v>418</v>
      </c>
      <c r="I165" s="4" t="s">
        <v>418</v>
      </c>
      <c r="K165" s="51"/>
    </row>
    <row r="166" spans="1:11" s="3" customFormat="1" x14ac:dyDescent="0.3">
      <c r="A166" s="47"/>
      <c r="B166" s="44">
        <v>46102</v>
      </c>
      <c r="C166" s="3" t="s">
        <v>416</v>
      </c>
      <c r="D166" s="4" t="s">
        <v>614</v>
      </c>
      <c r="E166" s="101"/>
      <c r="F166" s="3" t="s">
        <v>624</v>
      </c>
      <c r="G166" s="4">
        <v>3196105</v>
      </c>
      <c r="H166" s="4" t="s">
        <v>453</v>
      </c>
      <c r="I166" s="4">
        <v>3206006</v>
      </c>
      <c r="K166" s="51"/>
    </row>
    <row r="167" spans="1:11" s="3" customFormat="1" x14ac:dyDescent="0.3">
      <c r="A167" s="47"/>
      <c r="B167" s="44">
        <v>46102</v>
      </c>
      <c r="C167" s="3" t="s">
        <v>416</v>
      </c>
      <c r="D167" s="4" t="s">
        <v>614</v>
      </c>
      <c r="E167" s="101"/>
      <c r="F167" s="3" t="s">
        <v>403</v>
      </c>
      <c r="G167" s="4">
        <v>3198509</v>
      </c>
      <c r="H167" s="4" t="s">
        <v>385</v>
      </c>
      <c r="I167" s="4">
        <v>3199602</v>
      </c>
      <c r="K167" s="51"/>
    </row>
    <row r="168" spans="1:11" s="3" customFormat="1" x14ac:dyDescent="0.3">
      <c r="A168" s="47"/>
      <c r="B168" s="44">
        <v>46102</v>
      </c>
      <c r="C168" s="3" t="s">
        <v>416</v>
      </c>
      <c r="D168" s="4" t="s">
        <v>614</v>
      </c>
      <c r="E168" s="101"/>
      <c r="F168" s="3" t="s">
        <v>623</v>
      </c>
      <c r="G168" s="4">
        <v>3819305</v>
      </c>
      <c r="H168" s="4" t="s">
        <v>622</v>
      </c>
      <c r="I168" s="4">
        <v>3969502</v>
      </c>
      <c r="K168" s="51"/>
    </row>
    <row r="169" spans="1:11" s="3" customFormat="1" x14ac:dyDescent="0.3">
      <c r="A169" s="47"/>
      <c r="B169" s="44">
        <v>46102</v>
      </c>
      <c r="C169" s="3" t="s">
        <v>416</v>
      </c>
      <c r="D169" s="4" t="s">
        <v>614</v>
      </c>
      <c r="E169" s="101"/>
      <c r="F169" s="3" t="s">
        <v>386</v>
      </c>
      <c r="G169" s="4">
        <v>3900807</v>
      </c>
      <c r="H169" s="4" t="s">
        <v>454</v>
      </c>
      <c r="I169" s="4">
        <v>3820300</v>
      </c>
      <c r="K169" s="51"/>
    </row>
    <row r="170" spans="1:11" s="3" customFormat="1" x14ac:dyDescent="0.3">
      <c r="A170" s="47"/>
      <c r="B170" s="44">
        <v>46102</v>
      </c>
      <c r="C170" s="3" t="s">
        <v>416</v>
      </c>
      <c r="D170" s="4" t="s">
        <v>614</v>
      </c>
      <c r="E170" s="101"/>
      <c r="F170" s="3" t="s">
        <v>346</v>
      </c>
      <c r="G170" s="4">
        <v>3208900</v>
      </c>
      <c r="H170" s="4" t="s">
        <v>384</v>
      </c>
      <c r="I170" s="4">
        <v>3199508</v>
      </c>
      <c r="K170" s="51"/>
    </row>
    <row r="171" spans="1:11" s="3" customFormat="1" x14ac:dyDescent="0.3">
      <c r="A171" s="47"/>
      <c r="B171" s="44">
        <v>46102</v>
      </c>
      <c r="C171" s="3" t="s">
        <v>416</v>
      </c>
      <c r="D171" s="4" t="s">
        <v>614</v>
      </c>
      <c r="E171" s="101"/>
      <c r="F171" s="3" t="s">
        <v>455</v>
      </c>
      <c r="G171" s="4">
        <v>3961604</v>
      </c>
      <c r="H171" s="4" t="s">
        <v>380</v>
      </c>
      <c r="I171" s="4">
        <v>3202208</v>
      </c>
      <c r="K171" s="51"/>
    </row>
    <row r="172" spans="1:11" s="3" customFormat="1" x14ac:dyDescent="0.3">
      <c r="A172" s="47"/>
      <c r="B172" s="4"/>
      <c r="D172" s="4"/>
      <c r="E172" s="101"/>
      <c r="F172" s="3" t="s">
        <v>418</v>
      </c>
      <c r="G172" s="4" t="s">
        <v>418</v>
      </c>
      <c r="H172" s="4" t="s">
        <v>418</v>
      </c>
      <c r="I172" s="4" t="s">
        <v>418</v>
      </c>
      <c r="K172" s="51"/>
    </row>
    <row r="173" spans="1:11" s="3" customFormat="1" x14ac:dyDescent="0.3">
      <c r="A173" s="47"/>
      <c r="B173" s="44">
        <v>46109</v>
      </c>
      <c r="C173" s="3" t="s">
        <v>416</v>
      </c>
      <c r="D173" s="4" t="s">
        <v>614</v>
      </c>
      <c r="E173" s="101"/>
      <c r="F173" s="3" t="s">
        <v>453</v>
      </c>
      <c r="G173" s="4">
        <v>3206006</v>
      </c>
      <c r="H173" s="4" t="s">
        <v>455</v>
      </c>
      <c r="I173" s="4">
        <v>3961604</v>
      </c>
      <c r="K173" s="51"/>
    </row>
    <row r="174" spans="1:11" s="3" customFormat="1" x14ac:dyDescent="0.3">
      <c r="A174" s="47"/>
      <c r="B174" s="44">
        <v>46109</v>
      </c>
      <c r="C174" s="3" t="s">
        <v>416</v>
      </c>
      <c r="D174" s="4" t="s">
        <v>614</v>
      </c>
      <c r="E174" s="101"/>
      <c r="F174" s="3" t="s">
        <v>622</v>
      </c>
      <c r="G174" s="4">
        <v>3969502</v>
      </c>
      <c r="H174" s="4" t="s">
        <v>386</v>
      </c>
      <c r="I174" s="4">
        <v>3900807</v>
      </c>
      <c r="K174" s="51"/>
    </row>
    <row r="175" spans="1:11" s="3" customFormat="1" x14ac:dyDescent="0.3">
      <c r="A175" s="47"/>
      <c r="B175" s="44">
        <v>46109</v>
      </c>
      <c r="C175" s="3" t="s">
        <v>416</v>
      </c>
      <c r="D175" s="4" t="s">
        <v>614</v>
      </c>
      <c r="E175" s="101"/>
      <c r="F175" s="3" t="s">
        <v>380</v>
      </c>
      <c r="G175" s="4">
        <v>3202208</v>
      </c>
      <c r="H175" s="4" t="s">
        <v>403</v>
      </c>
      <c r="I175" s="4">
        <v>3198509</v>
      </c>
      <c r="K175" s="51"/>
    </row>
    <row r="176" spans="1:11" s="3" customFormat="1" x14ac:dyDescent="0.3">
      <c r="A176" s="47"/>
      <c r="B176" s="44">
        <v>46109</v>
      </c>
      <c r="C176" s="3" t="s">
        <v>416</v>
      </c>
      <c r="D176" s="4" t="s">
        <v>614</v>
      </c>
      <c r="E176" s="101"/>
      <c r="F176" s="3" t="s">
        <v>385</v>
      </c>
      <c r="G176" s="4">
        <v>3199602</v>
      </c>
      <c r="H176" s="4" t="s">
        <v>346</v>
      </c>
      <c r="I176" s="4">
        <v>3208900</v>
      </c>
      <c r="K176" s="51"/>
    </row>
    <row r="177" spans="1:11" s="3" customFormat="1" x14ac:dyDescent="0.3">
      <c r="A177" s="47"/>
      <c r="B177" s="44">
        <v>46109</v>
      </c>
      <c r="C177" s="3" t="s">
        <v>416</v>
      </c>
      <c r="D177" s="4" t="s">
        <v>614</v>
      </c>
      <c r="E177" s="101"/>
      <c r="F177" s="3" t="s">
        <v>384</v>
      </c>
      <c r="G177" s="4">
        <v>3199508</v>
      </c>
      <c r="H177" s="4" t="s">
        <v>623</v>
      </c>
      <c r="I177" s="4">
        <v>3819305</v>
      </c>
      <c r="K177" s="51"/>
    </row>
    <row r="178" spans="1:11" s="3" customFormat="1" x14ac:dyDescent="0.3">
      <c r="A178" s="47"/>
      <c r="B178" s="44">
        <v>46109</v>
      </c>
      <c r="C178" s="3" t="s">
        <v>416</v>
      </c>
      <c r="D178" s="4" t="s">
        <v>614</v>
      </c>
      <c r="E178" s="101"/>
      <c r="F178" s="3" t="s">
        <v>454</v>
      </c>
      <c r="G178" s="4">
        <v>3820300</v>
      </c>
      <c r="H178" s="4" t="s">
        <v>624</v>
      </c>
      <c r="I178" s="4">
        <v>3196105</v>
      </c>
      <c r="K178" s="51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3588" priority="521"/>
  </conditionalFormatting>
  <conditionalFormatting sqref="B11 B15:B16 B19 B22">
    <cfRule type="duplicateValues" dxfId="3587" priority="2445"/>
  </conditionalFormatting>
  <conditionalFormatting sqref="F26:F31">
    <cfRule type="duplicateValues" dxfId="3586" priority="12"/>
  </conditionalFormatting>
  <conditionalFormatting sqref="F33:G33">
    <cfRule type="duplicateValues" dxfId="3585" priority="242"/>
  </conditionalFormatting>
  <conditionalFormatting sqref="F34:G34">
    <cfRule type="duplicateValues" dxfId="3584" priority="121"/>
  </conditionalFormatting>
  <conditionalFormatting sqref="F35:G35">
    <cfRule type="duplicateValues" dxfId="3583" priority="99"/>
  </conditionalFormatting>
  <conditionalFormatting sqref="F36:G36">
    <cfRule type="duplicateValues" dxfId="3582" priority="79"/>
  </conditionalFormatting>
  <conditionalFormatting sqref="F37:G37">
    <cfRule type="duplicateValues" dxfId="3581" priority="37"/>
  </conditionalFormatting>
  <conditionalFormatting sqref="F38:G38">
    <cfRule type="duplicateValues" dxfId="3580" priority="58"/>
  </conditionalFormatting>
  <conditionalFormatting sqref="F40:G40">
    <cfRule type="duplicateValues" dxfId="3579" priority="241"/>
  </conditionalFormatting>
  <conditionalFormatting sqref="F41:G41">
    <cfRule type="duplicateValues" dxfId="3578" priority="223"/>
  </conditionalFormatting>
  <conditionalFormatting sqref="F42:G42">
    <cfRule type="duplicateValues" dxfId="3577" priority="202"/>
  </conditionalFormatting>
  <conditionalFormatting sqref="F43:G43">
    <cfRule type="duplicateValues" dxfId="3576" priority="183"/>
  </conditionalFormatting>
  <conditionalFormatting sqref="F44:G44">
    <cfRule type="duplicateValues" dxfId="3575" priority="162"/>
  </conditionalFormatting>
  <conditionalFormatting sqref="F45:G45">
    <cfRule type="duplicateValues" dxfId="3574" priority="141"/>
  </conditionalFormatting>
  <conditionalFormatting sqref="F47:G47">
    <cfRule type="duplicateValues" dxfId="3573" priority="260"/>
  </conditionalFormatting>
  <conditionalFormatting sqref="F48:G48">
    <cfRule type="duplicateValues" dxfId="3572" priority="222"/>
  </conditionalFormatting>
  <conditionalFormatting sqref="F49:G49">
    <cfRule type="duplicateValues" dxfId="3571" priority="97"/>
  </conditionalFormatting>
  <conditionalFormatting sqref="F50:G50">
    <cfRule type="duplicateValues" dxfId="3570" priority="77"/>
  </conditionalFormatting>
  <conditionalFormatting sqref="F51:G51">
    <cfRule type="duplicateValues" dxfId="3569" priority="35"/>
  </conditionalFormatting>
  <conditionalFormatting sqref="F52:G52">
    <cfRule type="duplicateValues" dxfId="3568" priority="56"/>
  </conditionalFormatting>
  <conditionalFormatting sqref="F54:G54">
    <cfRule type="duplicateValues" dxfId="3567" priority="240"/>
  </conditionalFormatting>
  <conditionalFormatting sqref="F55:G55">
    <cfRule type="duplicateValues" dxfId="3566" priority="117"/>
  </conditionalFormatting>
  <conditionalFormatting sqref="F56:G56">
    <cfRule type="duplicateValues" dxfId="3565" priority="200"/>
  </conditionalFormatting>
  <conditionalFormatting sqref="F57:G57">
    <cfRule type="duplicateValues" dxfId="3564" priority="181"/>
  </conditionalFormatting>
  <conditionalFormatting sqref="F58:G58">
    <cfRule type="duplicateValues" dxfId="3563" priority="160"/>
  </conditionalFormatting>
  <conditionalFormatting sqref="F59:G59">
    <cfRule type="duplicateValues" dxfId="3562" priority="139"/>
  </conditionalFormatting>
  <conditionalFormatting sqref="F61:G61">
    <cfRule type="duplicateValues" dxfId="3561" priority="258"/>
  </conditionalFormatting>
  <conditionalFormatting sqref="F62:G62">
    <cfRule type="duplicateValues" dxfId="3560" priority="220"/>
  </conditionalFormatting>
  <conditionalFormatting sqref="F63:G63">
    <cfRule type="duplicateValues" dxfId="3559" priority="199"/>
  </conditionalFormatting>
  <conditionalFormatting sqref="F64:G64">
    <cfRule type="duplicateValues" dxfId="3558" priority="75"/>
  </conditionalFormatting>
  <conditionalFormatting sqref="F65:G65">
    <cfRule type="duplicateValues" dxfId="3557" priority="33"/>
  </conditionalFormatting>
  <conditionalFormatting sqref="F66:G66">
    <cfRule type="duplicateValues" dxfId="3556" priority="54"/>
  </conditionalFormatting>
  <conditionalFormatting sqref="F68:G68">
    <cfRule type="duplicateValues" dxfId="3555" priority="238"/>
  </conditionalFormatting>
  <conditionalFormatting sqref="F69:G69">
    <cfRule type="duplicateValues" dxfId="3554" priority="115"/>
  </conditionalFormatting>
  <conditionalFormatting sqref="F70:G70">
    <cfRule type="duplicateValues" dxfId="3553" priority="94"/>
  </conditionalFormatting>
  <conditionalFormatting sqref="F71:G71">
    <cfRule type="duplicateValues" dxfId="3552" priority="179"/>
  </conditionalFormatting>
  <conditionalFormatting sqref="F72:G72">
    <cfRule type="duplicateValues" dxfId="3551" priority="158"/>
  </conditionalFormatting>
  <conditionalFormatting sqref="F73:G73">
    <cfRule type="duplicateValues" dxfId="3550" priority="137"/>
  </conditionalFormatting>
  <conditionalFormatting sqref="F75:G75">
    <cfRule type="duplicateValues" dxfId="3549" priority="256"/>
  </conditionalFormatting>
  <conditionalFormatting sqref="F76:G76">
    <cfRule type="duplicateValues" dxfId="3548" priority="218"/>
  </conditionalFormatting>
  <conditionalFormatting sqref="F77:G77">
    <cfRule type="duplicateValues" dxfId="3547" priority="197"/>
  </conditionalFormatting>
  <conditionalFormatting sqref="F78:G78">
    <cfRule type="duplicateValues" dxfId="3546" priority="178"/>
  </conditionalFormatting>
  <conditionalFormatting sqref="F79:G79">
    <cfRule type="duplicateValues" dxfId="3545" priority="73"/>
  </conditionalFormatting>
  <conditionalFormatting sqref="F80:G80">
    <cfRule type="duplicateValues" dxfId="3544" priority="52"/>
  </conditionalFormatting>
  <conditionalFormatting sqref="F82:G82">
    <cfRule type="duplicateValues" dxfId="3543" priority="236"/>
  </conditionalFormatting>
  <conditionalFormatting sqref="F83:G83">
    <cfRule type="duplicateValues" dxfId="3542" priority="113"/>
  </conditionalFormatting>
  <conditionalFormatting sqref="F84:G84">
    <cfRule type="duplicateValues" dxfId="3541" priority="92"/>
  </conditionalFormatting>
  <conditionalFormatting sqref="F85:G85">
    <cfRule type="duplicateValues" dxfId="3540" priority="156"/>
  </conditionalFormatting>
  <conditionalFormatting sqref="F86:G86">
    <cfRule type="duplicateValues" dxfId="3539" priority="135"/>
  </conditionalFormatting>
  <conditionalFormatting sqref="F87:G87">
    <cfRule type="duplicateValues" dxfId="3538" priority="30"/>
  </conditionalFormatting>
  <conditionalFormatting sqref="F89:G89">
    <cfRule type="duplicateValues" dxfId="3537" priority="254"/>
  </conditionalFormatting>
  <conditionalFormatting sqref="F90:G90">
    <cfRule type="duplicateValues" dxfId="3536" priority="216"/>
  </conditionalFormatting>
  <conditionalFormatting sqref="F91:G91">
    <cfRule type="duplicateValues" dxfId="3535" priority="16"/>
  </conditionalFormatting>
  <conditionalFormatting sqref="F92:G92">
    <cfRule type="duplicateValues" dxfId="3534" priority="176"/>
  </conditionalFormatting>
  <conditionalFormatting sqref="F93:G93">
    <cfRule type="duplicateValues" dxfId="3533" priority="155"/>
  </conditionalFormatting>
  <conditionalFormatting sqref="F94:G94">
    <cfRule type="duplicateValues" dxfId="3532" priority="71"/>
  </conditionalFormatting>
  <conditionalFormatting sqref="F96:G96">
    <cfRule type="duplicateValues" dxfId="3531" priority="234"/>
  </conditionalFormatting>
  <conditionalFormatting sqref="F97:G97">
    <cfRule type="duplicateValues" dxfId="3530" priority="111"/>
  </conditionalFormatting>
  <conditionalFormatting sqref="F98:G98">
    <cfRule type="duplicateValues" dxfId="3529" priority="90"/>
  </conditionalFormatting>
  <conditionalFormatting sqref="F99:G99">
    <cfRule type="duplicateValues" dxfId="3528" priority="133"/>
  </conditionalFormatting>
  <conditionalFormatting sqref="F100:G100">
    <cfRule type="duplicateValues" dxfId="3527" priority="28"/>
  </conditionalFormatting>
  <conditionalFormatting sqref="F101:G101">
    <cfRule type="duplicateValues" dxfId="3526" priority="49"/>
  </conditionalFormatting>
  <conditionalFormatting sqref="F103:G103">
    <cfRule type="duplicateValues" dxfId="3525" priority="233"/>
  </conditionalFormatting>
  <conditionalFormatting sqref="F104:G104">
    <cfRule type="duplicateValues" dxfId="3524" priority="110"/>
  </conditionalFormatting>
  <conditionalFormatting sqref="F105:G105">
    <cfRule type="duplicateValues" dxfId="3523" priority="89"/>
  </conditionalFormatting>
  <conditionalFormatting sqref="F106:G106">
    <cfRule type="duplicateValues" dxfId="3522" priority="69"/>
  </conditionalFormatting>
  <conditionalFormatting sqref="F107:G107">
    <cfRule type="duplicateValues" dxfId="3521" priority="27"/>
  </conditionalFormatting>
  <conditionalFormatting sqref="F108:G108">
    <cfRule type="duplicateValues" dxfId="3520" priority="48"/>
  </conditionalFormatting>
  <conditionalFormatting sqref="F110:G110">
    <cfRule type="duplicateValues" dxfId="3519" priority="253"/>
  </conditionalFormatting>
  <conditionalFormatting sqref="F111:G111">
    <cfRule type="duplicateValues" dxfId="3518" priority="212"/>
  </conditionalFormatting>
  <conditionalFormatting sqref="F112:G112">
    <cfRule type="duplicateValues" dxfId="3517" priority="193"/>
  </conditionalFormatting>
  <conditionalFormatting sqref="F113:G113">
    <cfRule type="duplicateValues" dxfId="3516" priority="173"/>
  </conditionalFormatting>
  <conditionalFormatting sqref="F114:G114">
    <cfRule type="duplicateValues" dxfId="3515" priority="152"/>
  </conditionalFormatting>
  <conditionalFormatting sqref="F115:G115">
    <cfRule type="duplicateValues" dxfId="3514" priority="131"/>
  </conditionalFormatting>
  <conditionalFormatting sqref="F117:G117">
    <cfRule type="duplicateValues" dxfId="3513" priority="251"/>
  </conditionalFormatting>
  <conditionalFormatting sqref="F118:G118">
    <cfRule type="duplicateValues" dxfId="3512" priority="108"/>
  </conditionalFormatting>
  <conditionalFormatting sqref="F119:G119">
    <cfRule type="duplicateValues" dxfId="3511" priority="87"/>
  </conditionalFormatting>
  <conditionalFormatting sqref="F120:G120">
    <cfRule type="duplicateValues" dxfId="3510" priority="67"/>
  </conditionalFormatting>
  <conditionalFormatting sqref="F121:G121">
    <cfRule type="duplicateValues" dxfId="3509" priority="25"/>
  </conditionalFormatting>
  <conditionalFormatting sqref="F122:G122">
    <cfRule type="duplicateValues" dxfId="3508" priority="46"/>
  </conditionalFormatting>
  <conditionalFormatting sqref="F124:G124">
    <cfRule type="duplicateValues" dxfId="3507" priority="231"/>
  </conditionalFormatting>
  <conditionalFormatting sqref="F125:G125">
    <cfRule type="duplicateValues" dxfId="3506" priority="107"/>
  </conditionalFormatting>
  <conditionalFormatting sqref="F126:G126">
    <cfRule type="duplicateValues" dxfId="3505" priority="191"/>
  </conditionalFormatting>
  <conditionalFormatting sqref="F127:G127">
    <cfRule type="duplicateValues" dxfId="3504" priority="171"/>
  </conditionalFormatting>
  <conditionalFormatting sqref="F128:G128">
    <cfRule type="duplicateValues" dxfId="3503" priority="150"/>
  </conditionalFormatting>
  <conditionalFormatting sqref="F129:G129">
    <cfRule type="duplicateValues" dxfId="3502" priority="128"/>
  </conditionalFormatting>
  <conditionalFormatting sqref="F131:G131">
    <cfRule type="duplicateValues" dxfId="3501" priority="249"/>
  </conditionalFormatting>
  <conditionalFormatting sqref="F132:G132">
    <cfRule type="duplicateValues" dxfId="3500" priority="210"/>
  </conditionalFormatting>
  <conditionalFormatting sqref="F133:G133">
    <cfRule type="duplicateValues" dxfId="3499" priority="85"/>
  </conditionalFormatting>
  <conditionalFormatting sqref="F134:G134">
    <cfRule type="duplicateValues" dxfId="3498" priority="65"/>
  </conditionalFormatting>
  <conditionalFormatting sqref="F135:G135">
    <cfRule type="duplicateValues" dxfId="3497" priority="23"/>
  </conditionalFormatting>
  <conditionalFormatting sqref="F136:G136">
    <cfRule type="duplicateValues" dxfId="3496" priority="44"/>
  </conditionalFormatting>
  <conditionalFormatting sqref="F138:G138">
    <cfRule type="duplicateValues" dxfId="3495" priority="230"/>
  </conditionalFormatting>
  <conditionalFormatting sqref="F139:G139">
    <cfRule type="duplicateValues" dxfId="3494" priority="105"/>
  </conditionalFormatting>
  <conditionalFormatting sqref="F140:G140">
    <cfRule type="duplicateValues" dxfId="3493" priority="84"/>
  </conditionalFormatting>
  <conditionalFormatting sqref="F141:G141">
    <cfRule type="duplicateValues" dxfId="3492" priority="169"/>
  </conditionalFormatting>
  <conditionalFormatting sqref="F142:G142">
    <cfRule type="duplicateValues" dxfId="3491" priority="148"/>
  </conditionalFormatting>
  <conditionalFormatting sqref="F143:G143">
    <cfRule type="duplicateValues" dxfId="3490" priority="127"/>
  </conditionalFormatting>
  <conditionalFormatting sqref="F145:G145">
    <cfRule type="duplicateValues" dxfId="3489" priority="247"/>
  </conditionalFormatting>
  <conditionalFormatting sqref="F146:G146">
    <cfRule type="duplicateValues" dxfId="3488" priority="208"/>
  </conditionalFormatting>
  <conditionalFormatting sqref="F147:G147">
    <cfRule type="duplicateValues" dxfId="3487" priority="188"/>
  </conditionalFormatting>
  <conditionalFormatting sqref="F148:G148">
    <cfRule type="duplicateValues" dxfId="3486" priority="63"/>
  </conditionalFormatting>
  <conditionalFormatting sqref="F149:G149">
    <cfRule type="duplicateValues" dxfId="3485" priority="21"/>
  </conditionalFormatting>
  <conditionalFormatting sqref="F150:G150">
    <cfRule type="duplicateValues" dxfId="3484" priority="42"/>
  </conditionalFormatting>
  <conditionalFormatting sqref="F152:G152">
    <cfRule type="duplicateValues" dxfId="3483" priority="229"/>
  </conditionalFormatting>
  <conditionalFormatting sqref="F153:G153">
    <cfRule type="duplicateValues" dxfId="3482" priority="103"/>
  </conditionalFormatting>
  <conditionalFormatting sqref="F154:G154">
    <cfRule type="duplicateValues" dxfId="3481" priority="82"/>
  </conditionalFormatting>
  <conditionalFormatting sqref="F155:G155">
    <cfRule type="duplicateValues" dxfId="3480" priority="146"/>
  </conditionalFormatting>
  <conditionalFormatting sqref="F156:G156">
    <cfRule type="duplicateValues" dxfId="3479" priority="125"/>
  </conditionalFormatting>
  <conditionalFormatting sqref="F157:G157">
    <cfRule type="duplicateValues" dxfId="3478" priority="20"/>
  </conditionalFormatting>
  <conditionalFormatting sqref="F159:G159">
    <cfRule type="duplicateValues" dxfId="3477" priority="245"/>
  </conditionalFormatting>
  <conditionalFormatting sqref="F160:G160">
    <cfRule type="duplicateValues" dxfId="3476" priority="206"/>
  </conditionalFormatting>
  <conditionalFormatting sqref="F161:G161">
    <cfRule type="duplicateValues" dxfId="3475" priority="186"/>
  </conditionalFormatting>
  <conditionalFormatting sqref="F162:G162">
    <cfRule type="duplicateValues" dxfId="3474" priority="166"/>
  </conditionalFormatting>
  <conditionalFormatting sqref="F163:G163">
    <cfRule type="duplicateValues" dxfId="3473" priority="61"/>
  </conditionalFormatting>
  <conditionalFormatting sqref="F164:G164">
    <cfRule type="duplicateValues" dxfId="3472" priority="40"/>
  </conditionalFormatting>
  <conditionalFormatting sqref="F166:G166">
    <cfRule type="duplicateValues" dxfId="3471" priority="227"/>
  </conditionalFormatting>
  <conditionalFormatting sqref="F167:G167">
    <cfRule type="duplicateValues" dxfId="3470" priority="101"/>
  </conditionalFormatting>
  <conditionalFormatting sqref="F168:G168">
    <cfRule type="duplicateValues" dxfId="3469" priority="80"/>
  </conditionalFormatting>
  <conditionalFormatting sqref="F169:G169">
    <cfRule type="duplicateValues" dxfId="3468" priority="123"/>
  </conditionalFormatting>
  <conditionalFormatting sqref="F170:G170">
    <cfRule type="duplicateValues" dxfId="3467" priority="18"/>
  </conditionalFormatting>
  <conditionalFormatting sqref="F171:G171">
    <cfRule type="duplicateValues" dxfId="3466" priority="39"/>
  </conditionalFormatting>
  <conditionalFormatting sqref="F173:G173">
    <cfRule type="duplicateValues" dxfId="3465" priority="243"/>
  </conditionalFormatting>
  <conditionalFormatting sqref="F174:G174">
    <cfRule type="duplicateValues" dxfId="3464" priority="204"/>
  </conditionalFormatting>
  <conditionalFormatting sqref="F175:G175">
    <cfRule type="duplicateValues" dxfId="3463" priority="164"/>
  </conditionalFormatting>
  <conditionalFormatting sqref="F176:G176">
    <cfRule type="duplicateValues" dxfId="3462" priority="143"/>
  </conditionalFormatting>
  <conditionalFormatting sqref="F177:G177">
    <cfRule type="duplicateValues" dxfId="3461" priority="59"/>
  </conditionalFormatting>
  <conditionalFormatting sqref="F178:G178">
    <cfRule type="duplicateValues" dxfId="3460" priority="8"/>
  </conditionalFormatting>
  <conditionalFormatting sqref="G26:G31">
    <cfRule type="duplicateValues" dxfId="3459" priority="10"/>
  </conditionalFormatting>
  <conditionalFormatting sqref="H26:H31">
    <cfRule type="duplicateValues" dxfId="3458" priority="11"/>
  </conditionalFormatting>
  <conditionalFormatting sqref="H33:I33">
    <cfRule type="duplicateValues" dxfId="3457" priority="262"/>
  </conditionalFormatting>
  <conditionalFormatting sqref="H34:I34">
    <cfRule type="duplicateValues" dxfId="3456" priority="142"/>
  </conditionalFormatting>
  <conditionalFormatting sqref="H35:I35">
    <cfRule type="duplicateValues" dxfId="3455" priority="163"/>
  </conditionalFormatting>
  <conditionalFormatting sqref="H36:I36">
    <cfRule type="duplicateValues" dxfId="3454" priority="224"/>
  </conditionalFormatting>
  <conditionalFormatting sqref="H37:I37">
    <cfRule type="duplicateValues" dxfId="3453" priority="184"/>
  </conditionalFormatting>
  <conditionalFormatting sqref="H38:I38">
    <cfRule type="duplicateValues" dxfId="3452" priority="203"/>
  </conditionalFormatting>
  <conditionalFormatting sqref="H40:I40">
    <cfRule type="duplicateValues" dxfId="3451" priority="120"/>
  </conditionalFormatting>
  <conditionalFormatting sqref="H41:I41">
    <cfRule type="duplicateValues" dxfId="3450" priority="261"/>
  </conditionalFormatting>
  <conditionalFormatting sqref="H42:I42">
    <cfRule type="duplicateValues" dxfId="3449" priority="78"/>
  </conditionalFormatting>
  <conditionalFormatting sqref="H43:I43">
    <cfRule type="duplicateValues" dxfId="3448" priority="57"/>
  </conditionalFormatting>
  <conditionalFormatting sqref="H44:I44">
    <cfRule type="duplicateValues" dxfId="3447" priority="36"/>
  </conditionalFormatting>
  <conditionalFormatting sqref="H45:I45">
    <cfRule type="duplicateValues" dxfId="3446" priority="98"/>
  </conditionalFormatting>
  <conditionalFormatting sqref="H47:I47">
    <cfRule type="duplicateValues" dxfId="3445" priority="201"/>
  </conditionalFormatting>
  <conditionalFormatting sqref="H48:I48">
    <cfRule type="duplicateValues" dxfId="3444" priority="118"/>
  </conditionalFormatting>
  <conditionalFormatting sqref="H49:I49">
    <cfRule type="duplicateValues" dxfId="3443" priority="119"/>
  </conditionalFormatting>
  <conditionalFormatting sqref="H50:I50">
    <cfRule type="duplicateValues" dxfId="3442" priority="182"/>
  </conditionalFormatting>
  <conditionalFormatting sqref="H51:I51">
    <cfRule type="duplicateValues" dxfId="3441" priority="140"/>
  </conditionalFormatting>
  <conditionalFormatting sqref="H52:I52">
    <cfRule type="duplicateValues" dxfId="3440" priority="161"/>
  </conditionalFormatting>
  <conditionalFormatting sqref="H54:I54">
    <cfRule type="duplicateValues" dxfId="3439" priority="96"/>
  </conditionalFormatting>
  <conditionalFormatting sqref="H55:I55">
    <cfRule type="duplicateValues" dxfId="3438" priority="34"/>
  </conditionalFormatting>
  <conditionalFormatting sqref="H56:I56">
    <cfRule type="duplicateValues" dxfId="3437" priority="221"/>
  </conditionalFormatting>
  <conditionalFormatting sqref="H57:I57">
    <cfRule type="duplicateValues" dxfId="3436" priority="259"/>
  </conditionalFormatting>
  <conditionalFormatting sqref="H58:I58">
    <cfRule type="duplicateValues" dxfId="3435" priority="76"/>
  </conditionalFormatting>
  <conditionalFormatting sqref="H59:I59">
    <cfRule type="duplicateValues" dxfId="3434" priority="55"/>
  </conditionalFormatting>
  <conditionalFormatting sqref="H61:I61">
    <cfRule type="duplicateValues" dxfId="3433" priority="159"/>
  </conditionalFormatting>
  <conditionalFormatting sqref="H62:I62">
    <cfRule type="duplicateValues" dxfId="3432" priority="180"/>
  </conditionalFormatting>
  <conditionalFormatting sqref="H63:I63">
    <cfRule type="duplicateValues" dxfId="3431" priority="239"/>
  </conditionalFormatting>
  <conditionalFormatting sqref="H64:I64">
    <cfRule type="duplicateValues" dxfId="3430" priority="138"/>
  </conditionalFormatting>
  <conditionalFormatting sqref="H65:I65">
    <cfRule type="duplicateValues" dxfId="3429" priority="95"/>
  </conditionalFormatting>
  <conditionalFormatting sqref="H66:I66">
    <cfRule type="duplicateValues" dxfId="3428" priority="116"/>
  </conditionalFormatting>
  <conditionalFormatting sqref="H68:I68">
    <cfRule type="duplicateValues" dxfId="3427" priority="32"/>
  </conditionalFormatting>
  <conditionalFormatting sqref="H69:I69">
    <cfRule type="duplicateValues" dxfId="3426" priority="74"/>
  </conditionalFormatting>
  <conditionalFormatting sqref="H70:I70">
    <cfRule type="duplicateValues" dxfId="3425" priority="53"/>
  </conditionalFormatting>
  <conditionalFormatting sqref="H71:I71">
    <cfRule type="duplicateValues" dxfId="3424" priority="198"/>
  </conditionalFormatting>
  <conditionalFormatting sqref="H72:I72">
    <cfRule type="duplicateValues" dxfId="3423" priority="219"/>
  </conditionalFormatting>
  <conditionalFormatting sqref="H73:I73">
    <cfRule type="duplicateValues" dxfId="3422" priority="257"/>
  </conditionalFormatting>
  <conditionalFormatting sqref="H75:I75">
    <cfRule type="duplicateValues" dxfId="3421" priority="114"/>
  </conditionalFormatting>
  <conditionalFormatting sqref="H76:I76">
    <cfRule type="duplicateValues" dxfId="3420" priority="136"/>
  </conditionalFormatting>
  <conditionalFormatting sqref="H77:I77">
    <cfRule type="duplicateValues" dxfId="3419" priority="157"/>
  </conditionalFormatting>
  <conditionalFormatting sqref="H78:I78">
    <cfRule type="duplicateValues" dxfId="3418" priority="237"/>
  </conditionalFormatting>
  <conditionalFormatting sqref="H79:I79">
    <cfRule type="duplicateValues" dxfId="3417" priority="93"/>
  </conditionalFormatting>
  <conditionalFormatting sqref="H80:I80">
    <cfRule type="duplicateValues" dxfId="3416" priority="31"/>
  </conditionalFormatting>
  <conditionalFormatting sqref="H82:I82">
    <cfRule type="duplicateValues" dxfId="3415" priority="51"/>
  </conditionalFormatting>
  <conditionalFormatting sqref="H83:I83">
    <cfRule type="duplicateValues" dxfId="3414" priority="217"/>
  </conditionalFormatting>
  <conditionalFormatting sqref="H84:I84">
    <cfRule type="duplicateValues" dxfId="3413" priority="255"/>
  </conditionalFormatting>
  <conditionalFormatting sqref="H85:I85">
    <cfRule type="duplicateValues" dxfId="3412" priority="177"/>
  </conditionalFormatting>
  <conditionalFormatting sqref="H86:I86">
    <cfRule type="duplicateValues" dxfId="3411" priority="196"/>
  </conditionalFormatting>
  <conditionalFormatting sqref="H87:I87">
    <cfRule type="duplicateValues" dxfId="3410" priority="72"/>
  </conditionalFormatting>
  <conditionalFormatting sqref="H89:I89">
    <cfRule type="duplicateValues" dxfId="3409" priority="29"/>
  </conditionalFormatting>
  <conditionalFormatting sqref="H90:I90">
    <cfRule type="duplicateValues" dxfId="3408" priority="91"/>
  </conditionalFormatting>
  <conditionalFormatting sqref="H91:I91">
    <cfRule type="duplicateValues" dxfId="3407" priority="112"/>
  </conditionalFormatting>
  <conditionalFormatting sqref="H92:I92">
    <cfRule type="duplicateValues" dxfId="3406" priority="134"/>
  </conditionalFormatting>
  <conditionalFormatting sqref="H93:I93">
    <cfRule type="duplicateValues" dxfId="3405" priority="235"/>
  </conditionalFormatting>
  <conditionalFormatting sqref="H94:I94">
    <cfRule type="duplicateValues" dxfId="3404" priority="50"/>
  </conditionalFormatting>
  <conditionalFormatting sqref="H96:I96">
    <cfRule type="duplicateValues" dxfId="3403" priority="70"/>
  </conditionalFormatting>
  <conditionalFormatting sqref="H97:I97">
    <cfRule type="duplicateValues" dxfId="3402" priority="175"/>
  </conditionalFormatting>
  <conditionalFormatting sqref="H98:I98">
    <cfRule type="duplicateValues" dxfId="3401" priority="195"/>
  </conditionalFormatting>
  <conditionalFormatting sqref="H99:I99">
    <cfRule type="duplicateValues" dxfId="3400" priority="154"/>
  </conditionalFormatting>
  <conditionalFormatting sqref="H100:I100">
    <cfRule type="duplicateValues" dxfId="3399" priority="215"/>
  </conditionalFormatting>
  <conditionalFormatting sqref="H101:I101">
    <cfRule type="duplicateValues" dxfId="3398" priority="15"/>
  </conditionalFormatting>
  <conditionalFormatting sqref="H103:I103">
    <cfRule type="duplicateValues" dxfId="3397" priority="132"/>
  </conditionalFormatting>
  <conditionalFormatting sqref="H104:I104">
    <cfRule type="duplicateValues" dxfId="3396" priority="153"/>
  </conditionalFormatting>
  <conditionalFormatting sqref="H105:I105">
    <cfRule type="duplicateValues" dxfId="3395" priority="174"/>
  </conditionalFormatting>
  <conditionalFormatting sqref="H106:I106">
    <cfRule type="duplicateValues" dxfId="3394" priority="252"/>
  </conditionalFormatting>
  <conditionalFormatting sqref="H107:I107">
    <cfRule type="duplicateValues" dxfId="3393" priority="194"/>
  </conditionalFormatting>
  <conditionalFormatting sqref="H108:I108">
    <cfRule type="duplicateValues" dxfId="3392" priority="214"/>
  </conditionalFormatting>
  <conditionalFormatting sqref="H110:I110">
    <cfRule type="duplicateValues" dxfId="3391" priority="232"/>
  </conditionalFormatting>
  <conditionalFormatting sqref="H111:I111">
    <cfRule type="duplicateValues" dxfId="3390" priority="68"/>
  </conditionalFormatting>
  <conditionalFormatting sqref="H112:I112">
    <cfRule type="duplicateValues" dxfId="3389" priority="47"/>
  </conditionalFormatting>
  <conditionalFormatting sqref="H113:I113">
    <cfRule type="duplicateValues" dxfId="3388" priority="26"/>
  </conditionalFormatting>
  <conditionalFormatting sqref="H114:I114">
    <cfRule type="duplicateValues" dxfId="3387" priority="88"/>
  </conditionalFormatting>
  <conditionalFormatting sqref="H115:I115">
    <cfRule type="duplicateValues" dxfId="3386" priority="109"/>
  </conditionalFormatting>
  <conditionalFormatting sqref="H117:I117">
    <cfRule type="duplicateValues" dxfId="3385" priority="213"/>
  </conditionalFormatting>
  <conditionalFormatting sqref="H118:I118">
    <cfRule type="duplicateValues" dxfId="3384" priority="14"/>
  </conditionalFormatting>
  <conditionalFormatting sqref="H119:I119">
    <cfRule type="duplicateValues" dxfId="3383" priority="130"/>
  </conditionalFormatting>
  <conditionalFormatting sqref="H120:I120">
    <cfRule type="duplicateValues" dxfId="3382" priority="192"/>
  </conditionalFormatting>
  <conditionalFormatting sqref="H121:I121">
    <cfRule type="duplicateValues" dxfId="3381" priority="151"/>
  </conditionalFormatting>
  <conditionalFormatting sqref="H122:I122">
    <cfRule type="duplicateValues" dxfId="3380" priority="172"/>
  </conditionalFormatting>
  <conditionalFormatting sqref="H124:I124">
    <cfRule type="duplicateValues" dxfId="3379" priority="211"/>
  </conditionalFormatting>
  <conditionalFormatting sqref="H125:I125">
    <cfRule type="duplicateValues" dxfId="3378" priority="86"/>
  </conditionalFormatting>
  <conditionalFormatting sqref="H126:I126">
    <cfRule type="duplicateValues" dxfId="3377" priority="250"/>
  </conditionalFormatting>
  <conditionalFormatting sqref="H127:I127">
    <cfRule type="duplicateValues" dxfId="3376" priority="66"/>
  </conditionalFormatting>
  <conditionalFormatting sqref="H128:I128">
    <cfRule type="duplicateValues" dxfId="3375" priority="45"/>
  </conditionalFormatting>
  <conditionalFormatting sqref="H129:I129">
    <cfRule type="duplicateValues" dxfId="3374" priority="24"/>
  </conditionalFormatting>
  <conditionalFormatting sqref="H131:I131">
    <cfRule type="duplicateValues" dxfId="3373" priority="170"/>
  </conditionalFormatting>
  <conditionalFormatting sqref="H132:I132">
    <cfRule type="duplicateValues" dxfId="3372" priority="190"/>
  </conditionalFormatting>
  <conditionalFormatting sqref="H133:I133">
    <cfRule type="duplicateValues" dxfId="3371" priority="13"/>
  </conditionalFormatting>
  <conditionalFormatting sqref="H134:I134">
    <cfRule type="duplicateValues" dxfId="3370" priority="149"/>
  </conditionalFormatting>
  <conditionalFormatting sqref="H135:I135">
    <cfRule type="duplicateValues" dxfId="3369" priority="106"/>
  </conditionalFormatting>
  <conditionalFormatting sqref="H136:I136">
    <cfRule type="duplicateValues" dxfId="3368" priority="129"/>
  </conditionalFormatting>
  <conditionalFormatting sqref="H138:I138">
    <cfRule type="duplicateValues" dxfId="3367" priority="189"/>
  </conditionalFormatting>
  <conditionalFormatting sqref="H139:I139">
    <cfRule type="duplicateValues" dxfId="3366" priority="43"/>
  </conditionalFormatting>
  <conditionalFormatting sqref="H140:I140">
    <cfRule type="duplicateValues" dxfId="3365" priority="22"/>
  </conditionalFormatting>
  <conditionalFormatting sqref="H141:I141">
    <cfRule type="duplicateValues" dxfId="3364" priority="209"/>
  </conditionalFormatting>
  <conditionalFormatting sqref="H142:I142">
    <cfRule type="duplicateValues" dxfId="3363" priority="248"/>
  </conditionalFormatting>
  <conditionalFormatting sqref="H143:I143">
    <cfRule type="duplicateValues" dxfId="3362" priority="64"/>
  </conditionalFormatting>
  <conditionalFormatting sqref="H145:I145">
    <cfRule type="duplicateValues" dxfId="3361" priority="126"/>
  </conditionalFormatting>
  <conditionalFormatting sqref="H146:I146">
    <cfRule type="duplicateValues" dxfId="3360" priority="147"/>
  </conditionalFormatting>
  <conditionalFormatting sqref="H147:I147">
    <cfRule type="duplicateValues" dxfId="3359" priority="168"/>
  </conditionalFormatting>
  <conditionalFormatting sqref="H148:I148">
    <cfRule type="duplicateValues" dxfId="3358" priority="104"/>
  </conditionalFormatting>
  <conditionalFormatting sqref="H149:I149">
    <cfRule type="duplicateValues" dxfId="3357" priority="228"/>
  </conditionalFormatting>
  <conditionalFormatting sqref="H150:I150">
    <cfRule type="duplicateValues" dxfId="3356" priority="83"/>
  </conditionalFormatting>
  <conditionalFormatting sqref="H152:I152">
    <cfRule type="duplicateValues" dxfId="3355" priority="167"/>
  </conditionalFormatting>
  <conditionalFormatting sqref="H153:I153">
    <cfRule type="duplicateValues" dxfId="3354" priority="246"/>
  </conditionalFormatting>
  <conditionalFormatting sqref="H154:I154">
    <cfRule type="duplicateValues" dxfId="3353" priority="62"/>
  </conditionalFormatting>
  <conditionalFormatting sqref="H155:I155">
    <cfRule type="duplicateValues" dxfId="3352" priority="187"/>
  </conditionalFormatting>
  <conditionalFormatting sqref="H156:I156">
    <cfRule type="duplicateValues" dxfId="3351" priority="207"/>
  </conditionalFormatting>
  <conditionalFormatting sqref="H157:I157">
    <cfRule type="duplicateValues" dxfId="3350" priority="41"/>
  </conditionalFormatting>
  <conditionalFormatting sqref="H159:I159">
    <cfRule type="duplicateValues" dxfId="3349" priority="81"/>
  </conditionalFormatting>
  <conditionalFormatting sqref="H160:I160">
    <cfRule type="duplicateValues" dxfId="3348" priority="102"/>
  </conditionalFormatting>
  <conditionalFormatting sqref="H161:I161">
    <cfRule type="duplicateValues" dxfId="3347" priority="124"/>
  </conditionalFormatting>
  <conditionalFormatting sqref="H162:I162">
    <cfRule type="duplicateValues" dxfId="3346" priority="145"/>
  </conditionalFormatting>
  <conditionalFormatting sqref="H163:I163">
    <cfRule type="duplicateValues" dxfId="3345" priority="19"/>
  </conditionalFormatting>
  <conditionalFormatting sqref="H164:I164">
    <cfRule type="duplicateValues" dxfId="3344" priority="226"/>
  </conditionalFormatting>
  <conditionalFormatting sqref="H166:I166">
    <cfRule type="duplicateValues" dxfId="3343" priority="144"/>
  </conditionalFormatting>
  <conditionalFormatting sqref="H167:I167">
    <cfRule type="duplicateValues" dxfId="3342" priority="185"/>
  </conditionalFormatting>
  <conditionalFormatting sqref="H168:I168">
    <cfRule type="duplicateValues" dxfId="3341" priority="205"/>
  </conditionalFormatting>
  <conditionalFormatting sqref="H169:I169">
    <cfRule type="duplicateValues" dxfId="3340" priority="165"/>
  </conditionalFormatting>
  <conditionalFormatting sqref="H170:I170">
    <cfRule type="duplicateValues" dxfId="3339" priority="244"/>
  </conditionalFormatting>
  <conditionalFormatting sqref="H171:I171">
    <cfRule type="duplicateValues" dxfId="3338" priority="60"/>
  </conditionalFormatting>
  <conditionalFormatting sqref="H173:I173">
    <cfRule type="duplicateValues" dxfId="3337" priority="38"/>
  </conditionalFormatting>
  <conditionalFormatting sqref="H174:I174">
    <cfRule type="duplicateValues" dxfId="3336" priority="17"/>
  </conditionalFormatting>
  <conditionalFormatting sqref="H175:I175">
    <cfRule type="duplicateValues" dxfId="3335" priority="100"/>
  </conditionalFormatting>
  <conditionalFormatting sqref="H176:I176">
    <cfRule type="duplicateValues" dxfId="3334" priority="122"/>
  </conditionalFormatting>
  <conditionalFormatting sqref="H177:I177">
    <cfRule type="duplicateValues" dxfId="3333" priority="225"/>
  </conditionalFormatting>
  <conditionalFormatting sqref="H178:I178">
    <cfRule type="duplicateValues" dxfId="3332" priority="7"/>
  </conditionalFormatting>
  <conditionalFormatting sqref="I26:I31">
    <cfRule type="duplicateValues" dxfId="3331" priority="9"/>
  </conditionalFormatting>
  <conditionalFormatting sqref="K3:K4 K7:K8">
    <cfRule type="duplicateValues" dxfId="3330" priority="2447"/>
  </conditionalFormatting>
  <conditionalFormatting sqref="K5">
    <cfRule type="duplicateValues" dxfId="3329" priority="519"/>
  </conditionalFormatting>
  <conditionalFormatting sqref="I10:L21">
    <cfRule type="cellIs" dxfId="3328" priority="2" operator="lessThan">
      <formula>5</formula>
    </cfRule>
    <cfRule type="cellIs" dxfId="3327" priority="3" operator="greaterThan">
      <formula>6</formula>
    </cfRule>
  </conditionalFormatting>
  <conditionalFormatting sqref="J10:J21">
    <cfRule type="containsText" dxfId="3326" priority="6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3325" priority="5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3324" priority="4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3323" priority="1" operator="containsText" text="c'[Fixtures All.xlsx]Women Filtered'!$F$2">
      <formula>NOT(ISERROR(SEARCH("c'[Fixtures All.xlsx]Women Filtered'!$F$2",J10)))</formula>
    </cfRule>
  </conditionalFormatting>
  <hyperlinks>
    <hyperlink ref="K3" location="Contents!A1" display="Back to Contents" xr:uid="{D6D2622E-80F6-4E23-BCCC-C4DE2F3C6F69}"/>
    <hyperlink ref="K5:K6" location="'All Fixtures'!A1" display="See all NW Fixtures" xr:uid="{774B52BA-52E7-4204-953E-2C0F84EFC502}"/>
  </hyperlinks>
  <pageMargins left="0.7" right="0.7" top="0.75" bottom="0.75" header="0.3" footer="0.3"/>
  <ignoredErrors>
    <ignoredError sqref="J10:J21" formula="1"/>
  </ignoredError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C43D8-8B96-4AD9-B0AF-4FD84C7224DA}">
  <dimension ref="A2:AQ180"/>
  <sheetViews>
    <sheetView workbookViewId="0"/>
  </sheetViews>
  <sheetFormatPr defaultRowHeight="14.4" x14ac:dyDescent="0.3"/>
  <cols>
    <col min="1" max="1" width="3.88671875" style="47" customWidth="1"/>
    <col min="2" max="2" width="27.44140625" style="3" customWidth="1"/>
    <col min="3" max="3" width="25.88671875" style="3" customWidth="1"/>
    <col min="4" max="4" width="39.77734375" style="3" customWidth="1"/>
    <col min="5" max="5" width="14.21875" style="3" customWidth="1"/>
    <col min="6" max="6" width="30.5546875" style="3" customWidth="1"/>
    <col min="7" max="7" width="10.33203125" style="4" customWidth="1"/>
    <col min="8" max="8" width="28.5546875" style="3" customWidth="1"/>
    <col min="9" max="9" width="8.88671875" style="4"/>
    <col min="10" max="10" width="6.88671875" style="3" customWidth="1"/>
    <col min="11" max="11" width="18.218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615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E8" s="59"/>
      <c r="F8" s="59"/>
      <c r="G8" s="15"/>
      <c r="H8" s="59"/>
      <c r="I8" s="15"/>
    </row>
    <row r="9" spans="1:12" ht="15" customHeight="1" x14ac:dyDescent="0.4">
      <c r="B9" s="21" t="s">
        <v>85</v>
      </c>
      <c r="D9" s="47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COUNTIF(F$26:I$178,"Bangor University 1 (W)")</f>
        <v>22</v>
      </c>
      <c r="B10" s="193" t="s">
        <v>456</v>
      </c>
      <c r="C10" s="198">
        <v>3545602</v>
      </c>
      <c r="D10" s="192">
        <f>COUNTIF(F$26:I$178,"3545602")</f>
        <v>22</v>
      </c>
      <c r="E10" s="59"/>
      <c r="F10" s="57">
        <f>COUNTIF(F$26:F$178,"Bangor University 1 (W)")</f>
        <v>11</v>
      </c>
      <c r="G10" s="47"/>
      <c r="H10" s="57">
        <f>COUNTIF(H$26:H$178,"Bangor University 1 (W)")</f>
        <v>11</v>
      </c>
      <c r="I10" s="57">
        <f>COUNTIF(F$26:F$101,"Bangor University 1 (W)")</f>
        <v>6</v>
      </c>
      <c r="J10" s="57">
        <f>COUNTIF(F$102:F$178,"Bangor University 1 (W)")</f>
        <v>5</v>
      </c>
      <c r="K10" s="57">
        <f>COUNTIF(H$26:H$101,"Bangor University 1 (W)")</f>
        <v>5</v>
      </c>
      <c r="L10" s="57">
        <f>COUNTIF(H$102:H$178,"Bangor University 1 (W)")</f>
        <v>6</v>
      </c>
    </row>
    <row r="11" spans="1:12" ht="15" customHeight="1" x14ac:dyDescent="0.3">
      <c r="A11" s="47">
        <f>COUNTIF(F$26:I$178,"Bebington 1 (W)")</f>
        <v>22</v>
      </c>
      <c r="B11" s="193" t="s">
        <v>387</v>
      </c>
      <c r="C11" s="198">
        <v>3211403</v>
      </c>
      <c r="D11" s="192">
        <f>COUNTIF(F$26:I$178,"3211403")</f>
        <v>22</v>
      </c>
      <c r="E11" s="59"/>
      <c r="F11" s="57">
        <f>COUNTIF(F$26:F$178,"Bebington 1 (W)")</f>
        <v>11</v>
      </c>
      <c r="G11" s="57"/>
      <c r="H11" s="57">
        <f>COUNTIF(H$26:H$178,"Bebington 1 (W)")</f>
        <v>11</v>
      </c>
      <c r="I11" s="57">
        <f>COUNTIF(F$26:F$101,"Bebington 1 (W)")</f>
        <v>6</v>
      </c>
      <c r="J11" s="57">
        <f>COUNTIF(F$102:F$178,"Bebington 1 (W)")</f>
        <v>5</v>
      </c>
      <c r="K11" s="57">
        <f>COUNTIF(H$26:H$101,"Bebington 1 (W)")</f>
        <v>5</v>
      </c>
      <c r="L11" s="57">
        <f>COUNTIF(H$102:H$178,"Bebington 1 (W)")</f>
        <v>6</v>
      </c>
    </row>
    <row r="12" spans="1:12" ht="15" customHeight="1" x14ac:dyDescent="0.3">
      <c r="A12" s="47">
        <f>COUNTIF(F$26:I$178,"Buckley 1 (W)")</f>
        <v>22</v>
      </c>
      <c r="B12" s="193" t="s">
        <v>388</v>
      </c>
      <c r="C12" s="198">
        <v>3165306</v>
      </c>
      <c r="D12" s="192">
        <f>COUNTIF(F$26:I$178,"3165306")</f>
        <v>22</v>
      </c>
      <c r="E12" s="59"/>
      <c r="F12" s="57">
        <f>COUNTIF(F$26:F$178,"Buckley 1 (W)")</f>
        <v>11</v>
      </c>
      <c r="G12" s="57"/>
      <c r="H12" s="57">
        <f>COUNTIF(H$26:H$178,"Buckley 1 (W)")</f>
        <v>11</v>
      </c>
      <c r="I12" s="57">
        <f>COUNTIF(F$26:F$101,"Buckley 1 (W)")</f>
        <v>5</v>
      </c>
      <c r="J12" s="57">
        <f>COUNTIF(F$102:F$178,"Buckley 1 (W)")</f>
        <v>6</v>
      </c>
      <c r="K12" s="57">
        <f>COUNTIF(H$26:H$101,"Buckley 1 (W)")</f>
        <v>6</v>
      </c>
      <c r="L12" s="57">
        <f>COUNTIF(H$102:H$178,"Buckley 1 (W)")</f>
        <v>5</v>
      </c>
    </row>
    <row r="13" spans="1:12" ht="15" customHeight="1" x14ac:dyDescent="0.3">
      <c r="A13" s="47">
        <f>COUNTIF(F$26:I$178,"Bye")</f>
        <v>22</v>
      </c>
      <c r="B13" s="193" t="s">
        <v>570</v>
      </c>
      <c r="C13" s="193" t="s">
        <v>556</v>
      </c>
      <c r="D13" s="192">
        <f>COUNTIF(F$26:I$178,"Code")</f>
        <v>22</v>
      </c>
      <c r="E13" s="59"/>
      <c r="F13" s="57">
        <f>COUNTIF(F$26:F$178,"Bye")</f>
        <v>11</v>
      </c>
      <c r="G13" s="57"/>
      <c r="H13" s="57">
        <f>COUNTIF(H$26:H$178,"Bye")</f>
        <v>11</v>
      </c>
      <c r="I13" s="57">
        <f>COUNTIF(F$26:F$101,"Bye")</f>
        <v>6</v>
      </c>
      <c r="J13" s="57">
        <f>COUNTIF(F$102:F$178,"Bye")</f>
        <v>5</v>
      </c>
      <c r="K13" s="57">
        <f>COUNTIF(H$26:H$101,"Bye")</f>
        <v>5</v>
      </c>
      <c r="L13" s="57">
        <f>COUNTIF(H$102:H$178,"Bye")</f>
        <v>6</v>
      </c>
    </row>
    <row r="14" spans="1:12" ht="15" customHeight="1" x14ac:dyDescent="0.3">
      <c r="A14" s="47">
        <f>COUNTIF(F$26:I$178,"Chester 4 (W)")</f>
        <v>22</v>
      </c>
      <c r="B14" s="193" t="s">
        <v>389</v>
      </c>
      <c r="C14" s="198">
        <v>3209201</v>
      </c>
      <c r="D14" s="192">
        <f>COUNTIF(F$26:I$178,"3209201")</f>
        <v>22</v>
      </c>
      <c r="E14" s="59"/>
      <c r="F14" s="57">
        <f>COUNTIF(F$26:F$178,"Chester 4 (W)")</f>
        <v>11</v>
      </c>
      <c r="G14" s="57"/>
      <c r="H14" s="57">
        <f>COUNTIF(H$26:H$178,"Chester 4 (W)")</f>
        <v>11</v>
      </c>
      <c r="I14" s="57">
        <f>COUNTIF(F$26:F$101,"Chester 4 (W)")</f>
        <v>6</v>
      </c>
      <c r="J14" s="57">
        <f>COUNTIF(F$102:F$178,"Chester 4 (W)")</f>
        <v>5</v>
      </c>
      <c r="K14" s="57">
        <f>COUNTIF(H$26:H$101,"Chester 4 (W)")</f>
        <v>5</v>
      </c>
      <c r="L14" s="57">
        <f>COUNTIF(H$102:H$178,"Chester 4 (W)")</f>
        <v>6</v>
      </c>
    </row>
    <row r="15" spans="1:12" ht="15" customHeight="1" x14ac:dyDescent="0.3">
      <c r="A15" s="47">
        <f>COUNTIF(F$26:I$178,"Clwb Hoci Eirias 3 (W)")</f>
        <v>22</v>
      </c>
      <c r="B15" s="195" t="s">
        <v>625</v>
      </c>
      <c r="C15" s="200">
        <v>3899803</v>
      </c>
      <c r="D15" s="192">
        <f>COUNTIF(F$26:I$178,"3899803")</f>
        <v>22</v>
      </c>
      <c r="E15" s="59"/>
      <c r="F15" s="57">
        <f>COUNTIF(F$26:F$178,"Clwb Hoci Eirias 3 (W)")</f>
        <v>11</v>
      </c>
      <c r="G15" s="57"/>
      <c r="H15" s="57">
        <f>COUNTIF(H$26:H$178,"Clwb Hoci Eirias 3 (W)")</f>
        <v>11</v>
      </c>
      <c r="I15" s="57">
        <f>COUNTIF(F$26:F$101,"Clwb Hoci Eirias 3 (W)")</f>
        <v>5</v>
      </c>
      <c r="J15" s="57">
        <f>COUNTIF(F$102:F$178,"Clwb Hoci Eirias 3 (W)")</f>
        <v>6</v>
      </c>
      <c r="K15" s="57">
        <f>COUNTIF(H$26:H$101,"Clwb Hoci Eirias 3 (W)")</f>
        <v>6</v>
      </c>
      <c r="L15" s="57">
        <f>COUNTIF(H$102:H$178,"Clwb Hoci Eirias 3 (W)")</f>
        <v>5</v>
      </c>
    </row>
    <row r="16" spans="1:12" ht="15" customHeight="1" x14ac:dyDescent="0.3">
      <c r="A16" s="47">
        <f>COUNTIF(F$26:I$178,"Clwb Hoci Rhuthun 1 (W)")</f>
        <v>22</v>
      </c>
      <c r="B16" s="195" t="s">
        <v>626</v>
      </c>
      <c r="C16" s="193" t="s">
        <v>637</v>
      </c>
      <c r="D16" s="192">
        <f>COUNTIF(F$26:I$178,"Code R")</f>
        <v>22</v>
      </c>
      <c r="E16" s="59"/>
      <c r="F16" s="57">
        <f>COUNTIF(F$26:F$178,"Clwb Hoci Rhuthun 1 (W)")</f>
        <v>11</v>
      </c>
      <c r="G16" s="57"/>
      <c r="H16" s="57">
        <f>COUNTIF(H$26:H$178,"Clwb Hoci Rhuthun 1 (W)")</f>
        <v>11</v>
      </c>
      <c r="I16" s="57">
        <f>COUNTIF(F$26:F$101,"Clwb Hoci Rhuthun 1 (W)")</f>
        <v>6</v>
      </c>
      <c r="J16" s="57">
        <f>COUNTIF(F$102:F$178,"Clwb Hoci Rhuthun 1 (W)")</f>
        <v>5</v>
      </c>
      <c r="K16" s="57">
        <f>COUNTIF(H$26:H$101,"Clwb Hoci Rhuthun 1 (W)")</f>
        <v>5</v>
      </c>
      <c r="L16" s="57">
        <f>COUNTIF(H$102:H$178,"Clwb Hoci Rhuthun 1 (W)")</f>
        <v>6</v>
      </c>
    </row>
    <row r="17" spans="1:12" x14ac:dyDescent="0.3">
      <c r="A17" s="47">
        <f>COUNTIF(F$26:I$178,"Denbigh 1 (W)")</f>
        <v>22</v>
      </c>
      <c r="B17" s="193" t="s">
        <v>457</v>
      </c>
      <c r="C17" s="198">
        <v>3818806</v>
      </c>
      <c r="D17" s="192">
        <f>COUNTIF(F$26:I$178,"3818806")</f>
        <v>22</v>
      </c>
      <c r="E17" s="59"/>
      <c r="F17" s="57">
        <f>COUNTIF(F$26:F$178,"Denbigh 1 (W)")</f>
        <v>11</v>
      </c>
      <c r="G17" s="57"/>
      <c r="H17" s="57">
        <f>COUNTIF(H$26:H$178,"Denbigh 1 (W)")</f>
        <v>11</v>
      </c>
      <c r="I17" s="57">
        <f>COUNTIF(F$26:F$101,"Denbigh 1 (W)")</f>
        <v>5</v>
      </c>
      <c r="J17" s="57">
        <f>COUNTIF(F$102:F$178,"Denbigh 1 (W)")</f>
        <v>6</v>
      </c>
      <c r="K17" s="57">
        <f>COUNTIF(H$26:H$101,"Denbigh 1 (W)")</f>
        <v>6</v>
      </c>
      <c r="L17" s="57">
        <f>COUNTIF(H$102:H$178,"Denbigh 1 (W)")</f>
        <v>5</v>
      </c>
    </row>
    <row r="18" spans="1:12" x14ac:dyDescent="0.3">
      <c r="A18" s="47">
        <f>COUNTIF(F$26:I$178,"Denbigh Development (W)")</f>
        <v>22</v>
      </c>
      <c r="B18" s="195" t="s">
        <v>627</v>
      </c>
      <c r="C18" s="193" t="s">
        <v>638</v>
      </c>
      <c r="D18" s="192">
        <f>COUNTIF(F$26:I$178,"Code DD")</f>
        <v>22</v>
      </c>
      <c r="E18" s="59"/>
      <c r="F18" s="57">
        <f>COUNTIF(F$26:F$178,"Denbigh Development (W)")</f>
        <v>11</v>
      </c>
      <c r="G18" s="57"/>
      <c r="H18" s="57">
        <f>COUNTIF(H$26:H$178,"Denbigh Development (W)")</f>
        <v>11</v>
      </c>
      <c r="I18" s="57">
        <f>COUNTIF(F$26:F$101,"Denbigh Development (W)")</f>
        <v>5</v>
      </c>
      <c r="J18" s="57">
        <f>COUNTIF(F$102:F$178,"Denbigh Development (W)")</f>
        <v>6</v>
      </c>
      <c r="K18" s="57">
        <f>COUNTIF(H$26:H$101,"Denbigh Development (W)")</f>
        <v>6</v>
      </c>
      <c r="L18" s="57">
        <f>COUNTIF(H$102:H$178,"Denbigh Development (W)")</f>
        <v>5</v>
      </c>
    </row>
    <row r="19" spans="1:12" x14ac:dyDescent="0.3">
      <c r="A19" s="47">
        <f>COUNTIF(F$26:I$178,"Neston Development (W)")</f>
        <v>22</v>
      </c>
      <c r="B19" s="195" t="s">
        <v>383</v>
      </c>
      <c r="C19" s="198">
        <v>3200502</v>
      </c>
      <c r="D19" s="192">
        <f>COUNTIF(F$26:I$178,"3200502")</f>
        <v>22</v>
      </c>
      <c r="E19" s="59"/>
      <c r="F19" s="57">
        <f>COUNTIF(F$26:F$178,"Neston Development (W)")</f>
        <v>11</v>
      </c>
      <c r="G19" s="57"/>
      <c r="H19" s="57">
        <f>COUNTIF(H$26:H$178,"Neston Development (W)")</f>
        <v>11</v>
      </c>
      <c r="I19" s="57">
        <f>COUNTIF(F$26:F$101,"Neston Development (W)")</f>
        <v>5</v>
      </c>
      <c r="J19" s="57">
        <f>COUNTIF(F$102:F$178,"Neston Development (W)")</f>
        <v>6</v>
      </c>
      <c r="K19" s="57">
        <f>COUNTIF(H$26:H$101,"Neston Development (W)")</f>
        <v>6</v>
      </c>
      <c r="L19" s="57">
        <f>COUNTIF(H$102:H$178,"Neston Development (W)")</f>
        <v>5</v>
      </c>
    </row>
    <row r="20" spans="1:12" x14ac:dyDescent="0.3">
      <c r="A20" s="47">
        <f>COUNTIF(F$26:I$178,"Northop Hall Development (W)")</f>
        <v>22</v>
      </c>
      <c r="B20" s="193" t="s">
        <v>390</v>
      </c>
      <c r="C20" s="198">
        <v>3544509</v>
      </c>
      <c r="D20" s="192">
        <f>COUNTIF(F$26:I$178,"3544509")</f>
        <v>22</v>
      </c>
      <c r="E20" s="59"/>
      <c r="F20" s="57">
        <f>COUNTIF(F$26:F$178,"Northop Hall Development (W)")</f>
        <v>11</v>
      </c>
      <c r="G20" s="57"/>
      <c r="H20" s="57">
        <f>COUNTIF(H$26:H$178,"Northop Hall Development (W)")</f>
        <v>11</v>
      </c>
      <c r="I20" s="57">
        <f>COUNTIF(F$26:F$101,"Northop Hall Development (W)")</f>
        <v>6</v>
      </c>
      <c r="J20" s="57">
        <f>COUNTIF(F$102:F$178,"Northop Hall Development (W)")</f>
        <v>5</v>
      </c>
      <c r="K20" s="57">
        <f>COUNTIF(H$26:H$101,"Northop Hall Development (W)")</f>
        <v>5</v>
      </c>
      <c r="L20" s="57">
        <f>COUNTIF(H$102:H$178,"Northop Hall Development (W)")</f>
        <v>6</v>
      </c>
    </row>
    <row r="21" spans="1:12" x14ac:dyDescent="0.3">
      <c r="A21" s="47">
        <f>COUNTIF(F$26:I$178,"Wrexham Glyndwr 2 (W)")</f>
        <v>22</v>
      </c>
      <c r="B21" s="193" t="s">
        <v>391</v>
      </c>
      <c r="C21" s="198">
        <v>3193806</v>
      </c>
      <c r="D21" s="192">
        <f>COUNTIF(F$26:I$178,"3193806")</f>
        <v>22</v>
      </c>
      <c r="E21" s="59"/>
      <c r="F21" s="57">
        <f>COUNTIF(F$26:F$178,"Wrexham Glyndwr 2 (W)")</f>
        <v>11</v>
      </c>
      <c r="G21" s="57"/>
      <c r="H21" s="57">
        <f>COUNTIF(H$26:H$178,"Wrexham Glyndwr 2 (W)")</f>
        <v>11</v>
      </c>
      <c r="I21" s="57">
        <f>COUNTIF(F$26:F$101,"Wrexham Glyndwr 2 (W)")</f>
        <v>5</v>
      </c>
      <c r="J21" s="57">
        <f>COUNTIF(F$102:F$178,"Wrexham Glyndwr 2 (W)")</f>
        <v>6</v>
      </c>
      <c r="K21" s="57">
        <f>COUNTIF(H$26:H$101,"Wrexham Glyndwr 2 (W)")</f>
        <v>6</v>
      </c>
      <c r="L21" s="57">
        <f>COUNTIF(H$102:H$178,"Wrexham Glyndwr 2 (W)")</f>
        <v>5</v>
      </c>
    </row>
    <row r="22" spans="1:12" x14ac:dyDescent="0.3">
      <c r="E22" s="59"/>
      <c r="F22" s="59"/>
      <c r="G22" s="15"/>
      <c r="H22" s="59"/>
      <c r="I22" s="15"/>
    </row>
    <row r="23" spans="1:12" ht="21" x14ac:dyDescent="0.4">
      <c r="B23" s="22" t="s">
        <v>93</v>
      </c>
      <c r="E23" s="59"/>
      <c r="F23" s="59"/>
      <c r="G23" s="15"/>
      <c r="H23" s="59"/>
      <c r="I23" s="15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12" x14ac:dyDescent="0.3">
      <c r="B25" s="40"/>
      <c r="C25" s="14"/>
      <c r="D25" s="14"/>
      <c r="E25" s="14"/>
      <c r="F25" s="14"/>
      <c r="G25" s="14"/>
      <c r="H25" s="13"/>
      <c r="I25" s="14"/>
    </row>
    <row r="26" spans="1:12" x14ac:dyDescent="0.3">
      <c r="B26" s="44">
        <v>45913</v>
      </c>
      <c r="C26" s="3" t="s">
        <v>416</v>
      </c>
      <c r="D26" s="3" t="s">
        <v>68</v>
      </c>
      <c r="E26" s="101"/>
      <c r="F26" s="15" t="s">
        <v>388</v>
      </c>
      <c r="G26" s="74">
        <v>3165306</v>
      </c>
      <c r="H26" s="4" t="s">
        <v>457</v>
      </c>
      <c r="I26" s="4">
        <v>3818806</v>
      </c>
    </row>
    <row r="27" spans="1:12" x14ac:dyDescent="0.3">
      <c r="B27" s="44">
        <v>45913</v>
      </c>
      <c r="C27" s="3" t="s">
        <v>416</v>
      </c>
      <c r="D27" s="3" t="s">
        <v>68</v>
      </c>
      <c r="E27" s="101"/>
      <c r="F27" s="3" t="s">
        <v>456</v>
      </c>
      <c r="G27" s="4">
        <v>3545602</v>
      </c>
      <c r="H27" s="4" t="s">
        <v>390</v>
      </c>
      <c r="I27" s="4">
        <v>3544509</v>
      </c>
    </row>
    <row r="28" spans="1:12" x14ac:dyDescent="0.3">
      <c r="B28" s="44">
        <v>45913</v>
      </c>
      <c r="C28" s="3" t="s">
        <v>416</v>
      </c>
      <c r="D28" s="3" t="s">
        <v>68</v>
      </c>
      <c r="E28" s="101"/>
      <c r="F28" s="3" t="s">
        <v>570</v>
      </c>
      <c r="G28" s="4" t="s">
        <v>556</v>
      </c>
      <c r="H28" s="4" t="s">
        <v>383</v>
      </c>
      <c r="I28" s="4">
        <v>3200502</v>
      </c>
      <c r="J28" s="4"/>
      <c r="K28" s="4"/>
    </row>
    <row r="29" spans="1:12" x14ac:dyDescent="0.3">
      <c r="B29" s="44">
        <v>45913</v>
      </c>
      <c r="C29" s="3" t="s">
        <v>416</v>
      </c>
      <c r="D29" s="3" t="s">
        <v>68</v>
      </c>
      <c r="E29" s="101"/>
      <c r="F29" s="3" t="s">
        <v>389</v>
      </c>
      <c r="G29" s="4">
        <v>3209201</v>
      </c>
      <c r="H29" s="4" t="s">
        <v>627</v>
      </c>
      <c r="I29" s="4" t="s">
        <v>638</v>
      </c>
      <c r="K29" s="4"/>
    </row>
    <row r="30" spans="1:12" x14ac:dyDescent="0.3">
      <c r="B30" s="44">
        <v>45913</v>
      </c>
      <c r="C30" s="3" t="s">
        <v>416</v>
      </c>
      <c r="D30" s="3" t="s">
        <v>68</v>
      </c>
      <c r="E30" s="101"/>
      <c r="F30" s="3" t="s">
        <v>387</v>
      </c>
      <c r="G30" s="4">
        <v>3211403</v>
      </c>
      <c r="H30" s="4" t="s">
        <v>625</v>
      </c>
      <c r="I30" s="4">
        <v>3899803</v>
      </c>
    </row>
    <row r="31" spans="1:12" x14ac:dyDescent="0.3">
      <c r="B31" s="44">
        <v>45913</v>
      </c>
      <c r="C31" s="3" t="s">
        <v>416</v>
      </c>
      <c r="D31" s="3" t="s">
        <v>68</v>
      </c>
      <c r="E31" s="101"/>
      <c r="F31" s="3" t="s">
        <v>626</v>
      </c>
      <c r="G31" s="4" t="s">
        <v>637</v>
      </c>
      <c r="H31" s="4" t="s">
        <v>391</v>
      </c>
      <c r="I31" s="4">
        <v>3193806</v>
      </c>
    </row>
    <row r="32" spans="1:12" x14ac:dyDescent="0.3"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</row>
    <row r="33" spans="2:9" x14ac:dyDescent="0.3">
      <c r="B33" s="44">
        <v>45920</v>
      </c>
      <c r="C33" s="3" t="s">
        <v>416</v>
      </c>
      <c r="D33" s="3" t="s">
        <v>68</v>
      </c>
      <c r="E33" s="101"/>
      <c r="F33" s="3" t="s">
        <v>383</v>
      </c>
      <c r="G33" s="4">
        <v>3200502</v>
      </c>
      <c r="H33" s="4" t="s">
        <v>626</v>
      </c>
      <c r="I33" s="4" t="s">
        <v>637</v>
      </c>
    </row>
    <row r="34" spans="2:9" x14ac:dyDescent="0.3">
      <c r="B34" s="44">
        <v>45920</v>
      </c>
      <c r="C34" s="3" t="s">
        <v>416</v>
      </c>
      <c r="D34" s="3" t="s">
        <v>68</v>
      </c>
      <c r="E34" s="101"/>
      <c r="F34" s="3" t="s">
        <v>390</v>
      </c>
      <c r="G34" s="4">
        <v>3544509</v>
      </c>
      <c r="H34" s="15" t="s">
        <v>388</v>
      </c>
      <c r="I34" s="74">
        <v>3165306</v>
      </c>
    </row>
    <row r="35" spans="2:9" x14ac:dyDescent="0.3">
      <c r="B35" s="44">
        <v>45920</v>
      </c>
      <c r="C35" s="3" t="s">
        <v>416</v>
      </c>
      <c r="D35" s="3" t="s">
        <v>68</v>
      </c>
      <c r="E35" s="101"/>
      <c r="F35" s="3" t="s">
        <v>625</v>
      </c>
      <c r="G35" s="4">
        <v>3899803</v>
      </c>
      <c r="H35" s="4" t="s">
        <v>456</v>
      </c>
      <c r="I35" s="4">
        <v>3545602</v>
      </c>
    </row>
    <row r="36" spans="2:9" x14ac:dyDescent="0.3">
      <c r="B36" s="44">
        <v>45920</v>
      </c>
      <c r="C36" s="3" t="s">
        <v>416</v>
      </c>
      <c r="D36" s="3" t="s">
        <v>68</v>
      </c>
      <c r="E36" s="101"/>
      <c r="F36" s="3" t="s">
        <v>391</v>
      </c>
      <c r="G36" s="4">
        <v>3193806</v>
      </c>
      <c r="H36" s="4" t="s">
        <v>387</v>
      </c>
      <c r="I36" s="4">
        <v>3211403</v>
      </c>
    </row>
    <row r="37" spans="2:9" x14ac:dyDescent="0.3">
      <c r="B37" s="44">
        <v>45920</v>
      </c>
      <c r="C37" s="3" t="s">
        <v>416</v>
      </c>
      <c r="D37" s="3" t="s">
        <v>68</v>
      </c>
      <c r="E37" s="101"/>
      <c r="F37" s="3" t="s">
        <v>627</v>
      </c>
      <c r="G37" s="4" t="s">
        <v>638</v>
      </c>
      <c r="H37" s="4" t="s">
        <v>570</v>
      </c>
      <c r="I37" s="4" t="s">
        <v>556</v>
      </c>
    </row>
    <row r="38" spans="2:9" x14ac:dyDescent="0.3">
      <c r="B38" s="44">
        <v>45920</v>
      </c>
      <c r="C38" s="3" t="s">
        <v>416</v>
      </c>
      <c r="D38" s="3" t="s">
        <v>68</v>
      </c>
      <c r="E38" s="101"/>
      <c r="F38" s="3" t="s">
        <v>457</v>
      </c>
      <c r="G38" s="4">
        <v>3818806</v>
      </c>
      <c r="H38" s="4" t="s">
        <v>389</v>
      </c>
      <c r="I38" s="4">
        <v>3209201</v>
      </c>
    </row>
    <row r="39" spans="2:9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2:9" x14ac:dyDescent="0.3">
      <c r="B40" s="44">
        <v>45927</v>
      </c>
      <c r="C40" s="3" t="s">
        <v>416</v>
      </c>
      <c r="D40" s="3" t="s">
        <v>68</v>
      </c>
      <c r="E40" s="101"/>
      <c r="F40" s="3" t="s">
        <v>390</v>
      </c>
      <c r="G40" s="4">
        <v>3544509</v>
      </c>
      <c r="H40" s="4" t="s">
        <v>625</v>
      </c>
      <c r="I40" s="4">
        <v>3899803</v>
      </c>
    </row>
    <row r="41" spans="2:9" x14ac:dyDescent="0.3">
      <c r="B41" s="44">
        <v>45927</v>
      </c>
      <c r="C41" s="3" t="s">
        <v>416</v>
      </c>
      <c r="D41" s="3" t="s">
        <v>68</v>
      </c>
      <c r="E41" s="101"/>
      <c r="F41" s="3" t="s">
        <v>456</v>
      </c>
      <c r="G41" s="4">
        <v>3545602</v>
      </c>
      <c r="H41" s="4" t="s">
        <v>391</v>
      </c>
      <c r="I41" s="4">
        <v>3193806</v>
      </c>
    </row>
    <row r="42" spans="2:9" x14ac:dyDescent="0.3">
      <c r="B42" s="44">
        <v>45927</v>
      </c>
      <c r="C42" s="3" t="s">
        <v>416</v>
      </c>
      <c r="D42" s="3" t="s">
        <v>68</v>
      </c>
      <c r="E42" s="101"/>
      <c r="F42" s="3" t="s">
        <v>570</v>
      </c>
      <c r="G42" s="4" t="s">
        <v>556</v>
      </c>
      <c r="H42" s="4" t="s">
        <v>457</v>
      </c>
      <c r="I42" s="4">
        <v>3818806</v>
      </c>
    </row>
    <row r="43" spans="2:9" x14ac:dyDescent="0.3">
      <c r="B43" s="44">
        <v>45927</v>
      </c>
      <c r="C43" s="3" t="s">
        <v>416</v>
      </c>
      <c r="D43" s="3" t="s">
        <v>68</v>
      </c>
      <c r="E43" s="101"/>
      <c r="F43" s="3" t="s">
        <v>389</v>
      </c>
      <c r="G43" s="4">
        <v>3209201</v>
      </c>
      <c r="H43" s="15" t="s">
        <v>388</v>
      </c>
      <c r="I43" s="74">
        <v>3165306</v>
      </c>
    </row>
    <row r="44" spans="2:9" x14ac:dyDescent="0.3">
      <c r="B44" s="44">
        <v>45927</v>
      </c>
      <c r="C44" s="3" t="s">
        <v>416</v>
      </c>
      <c r="D44" s="3" t="s">
        <v>68</v>
      </c>
      <c r="E44" s="101"/>
      <c r="F44" s="3" t="s">
        <v>387</v>
      </c>
      <c r="G44" s="4">
        <v>3211403</v>
      </c>
      <c r="H44" s="4" t="s">
        <v>383</v>
      </c>
      <c r="I44" s="4">
        <v>3200502</v>
      </c>
    </row>
    <row r="45" spans="2:9" x14ac:dyDescent="0.3">
      <c r="B45" s="44">
        <v>45927</v>
      </c>
      <c r="C45" s="3" t="s">
        <v>416</v>
      </c>
      <c r="D45" s="3" t="s">
        <v>68</v>
      </c>
      <c r="E45" s="101"/>
      <c r="F45" s="3" t="s">
        <v>626</v>
      </c>
      <c r="G45" s="4" t="s">
        <v>637</v>
      </c>
      <c r="H45" s="4" t="s">
        <v>627</v>
      </c>
      <c r="I45" s="4" t="s">
        <v>638</v>
      </c>
    </row>
    <row r="46" spans="2:9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2:9" x14ac:dyDescent="0.3">
      <c r="B47" s="44">
        <v>45934</v>
      </c>
      <c r="C47" s="3" t="s">
        <v>416</v>
      </c>
      <c r="D47" s="3" t="s">
        <v>68</v>
      </c>
      <c r="E47" s="101"/>
      <c r="F47" s="3" t="s">
        <v>383</v>
      </c>
      <c r="G47" s="4">
        <v>3200502</v>
      </c>
      <c r="H47" s="4" t="s">
        <v>456</v>
      </c>
      <c r="I47" s="4">
        <v>3545602</v>
      </c>
    </row>
    <row r="48" spans="2:9" x14ac:dyDescent="0.3">
      <c r="B48" s="44">
        <v>45934</v>
      </c>
      <c r="C48" s="3" t="s">
        <v>416</v>
      </c>
      <c r="D48" s="3" t="s">
        <v>68</v>
      </c>
      <c r="E48" s="101"/>
      <c r="F48" s="15" t="s">
        <v>388</v>
      </c>
      <c r="G48" s="74">
        <v>3165306</v>
      </c>
      <c r="H48" s="4" t="s">
        <v>570</v>
      </c>
      <c r="I48" s="4" t="s">
        <v>556</v>
      </c>
    </row>
    <row r="49" spans="2:9" x14ac:dyDescent="0.3">
      <c r="B49" s="44">
        <v>45934</v>
      </c>
      <c r="C49" s="3" t="s">
        <v>416</v>
      </c>
      <c r="D49" s="3" t="s">
        <v>68</v>
      </c>
      <c r="E49" s="101"/>
      <c r="F49" s="3" t="s">
        <v>391</v>
      </c>
      <c r="G49" s="4">
        <v>3193806</v>
      </c>
      <c r="H49" s="4" t="s">
        <v>625</v>
      </c>
      <c r="I49" s="4">
        <v>3899803</v>
      </c>
    </row>
    <row r="50" spans="2:9" x14ac:dyDescent="0.3">
      <c r="B50" s="44">
        <v>45934</v>
      </c>
      <c r="C50" s="3" t="s">
        <v>416</v>
      </c>
      <c r="D50" s="3" t="s">
        <v>68</v>
      </c>
      <c r="E50" s="101"/>
      <c r="F50" s="3" t="s">
        <v>627</v>
      </c>
      <c r="G50" s="4" t="s">
        <v>638</v>
      </c>
      <c r="H50" s="4" t="s">
        <v>387</v>
      </c>
      <c r="I50" s="4">
        <v>3211403</v>
      </c>
    </row>
    <row r="51" spans="2:9" x14ac:dyDescent="0.3">
      <c r="B51" s="44">
        <v>45934</v>
      </c>
      <c r="C51" s="3" t="s">
        <v>416</v>
      </c>
      <c r="D51" s="3" t="s">
        <v>68</v>
      </c>
      <c r="E51" s="101"/>
      <c r="F51" s="3" t="s">
        <v>389</v>
      </c>
      <c r="G51" s="4">
        <v>3209201</v>
      </c>
      <c r="H51" s="4" t="s">
        <v>390</v>
      </c>
      <c r="I51" s="4">
        <v>3544509</v>
      </c>
    </row>
    <row r="52" spans="2:9" x14ac:dyDescent="0.3">
      <c r="B52" s="44">
        <v>45934</v>
      </c>
      <c r="C52" s="3" t="s">
        <v>416</v>
      </c>
      <c r="D52" s="3" t="s">
        <v>68</v>
      </c>
      <c r="E52" s="101"/>
      <c r="F52" s="3" t="s">
        <v>457</v>
      </c>
      <c r="G52" s="4">
        <v>3818806</v>
      </c>
      <c r="H52" s="4" t="s">
        <v>626</v>
      </c>
      <c r="I52" s="4" t="s">
        <v>637</v>
      </c>
    </row>
    <row r="53" spans="2:9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68</v>
      </c>
      <c r="E54" s="101"/>
      <c r="F54" s="3" t="s">
        <v>390</v>
      </c>
      <c r="G54" s="4">
        <v>3544509</v>
      </c>
      <c r="H54" s="4" t="s">
        <v>391</v>
      </c>
      <c r="I54" s="4">
        <v>3193806</v>
      </c>
    </row>
    <row r="55" spans="2:9" x14ac:dyDescent="0.3">
      <c r="B55" s="44">
        <v>45941</v>
      </c>
      <c r="C55" s="3" t="s">
        <v>416</v>
      </c>
      <c r="D55" s="3" t="s">
        <v>68</v>
      </c>
      <c r="E55" s="101"/>
      <c r="F55" s="3" t="s">
        <v>625</v>
      </c>
      <c r="G55" s="4">
        <v>3899803</v>
      </c>
      <c r="H55" s="4" t="s">
        <v>383</v>
      </c>
      <c r="I55" s="4">
        <v>3200502</v>
      </c>
    </row>
    <row r="56" spans="2:9" x14ac:dyDescent="0.3">
      <c r="B56" s="44">
        <v>45941</v>
      </c>
      <c r="C56" s="3" t="s">
        <v>416</v>
      </c>
      <c r="D56" s="3" t="s">
        <v>68</v>
      </c>
      <c r="E56" s="101"/>
      <c r="F56" s="3" t="s">
        <v>456</v>
      </c>
      <c r="G56" s="4">
        <v>3545602</v>
      </c>
      <c r="H56" s="4" t="s">
        <v>627</v>
      </c>
      <c r="I56" s="4" t="s">
        <v>638</v>
      </c>
    </row>
    <row r="57" spans="2:9" x14ac:dyDescent="0.3">
      <c r="B57" s="44">
        <v>45941</v>
      </c>
      <c r="C57" s="3" t="s">
        <v>416</v>
      </c>
      <c r="D57" s="3" t="s">
        <v>68</v>
      </c>
      <c r="E57" s="101"/>
      <c r="F57" s="3" t="s">
        <v>570</v>
      </c>
      <c r="G57" s="4" t="s">
        <v>556</v>
      </c>
      <c r="H57" s="4" t="s">
        <v>389</v>
      </c>
      <c r="I57" s="4">
        <v>3209201</v>
      </c>
    </row>
    <row r="58" spans="2:9" x14ac:dyDescent="0.3">
      <c r="B58" s="44">
        <v>45941</v>
      </c>
      <c r="C58" s="3" t="s">
        <v>416</v>
      </c>
      <c r="D58" s="3" t="s">
        <v>68</v>
      </c>
      <c r="E58" s="101"/>
      <c r="F58" s="3" t="s">
        <v>387</v>
      </c>
      <c r="G58" s="4">
        <v>3211403</v>
      </c>
      <c r="H58" s="4" t="s">
        <v>457</v>
      </c>
      <c r="I58" s="4">
        <v>3818806</v>
      </c>
    </row>
    <row r="59" spans="2:9" x14ac:dyDescent="0.3">
      <c r="B59" s="44">
        <v>45941</v>
      </c>
      <c r="C59" s="3" t="s">
        <v>416</v>
      </c>
      <c r="D59" s="3" t="s">
        <v>68</v>
      </c>
      <c r="E59" s="101"/>
      <c r="F59" s="3" t="s">
        <v>626</v>
      </c>
      <c r="G59" s="4" t="s">
        <v>637</v>
      </c>
      <c r="H59" s="15" t="s">
        <v>388</v>
      </c>
      <c r="I59" s="74">
        <v>3165306</v>
      </c>
    </row>
    <row r="60" spans="2:9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68</v>
      </c>
      <c r="E61" s="101"/>
      <c r="F61" s="3" t="s">
        <v>383</v>
      </c>
      <c r="G61" s="4">
        <v>3200502</v>
      </c>
      <c r="H61" s="4" t="s">
        <v>391</v>
      </c>
      <c r="I61" s="4">
        <v>3193806</v>
      </c>
    </row>
    <row r="62" spans="2:9" x14ac:dyDescent="0.3">
      <c r="B62" s="44">
        <v>45948</v>
      </c>
      <c r="C62" s="3" t="s">
        <v>416</v>
      </c>
      <c r="D62" s="3" t="s">
        <v>68</v>
      </c>
      <c r="E62" s="101"/>
      <c r="F62" s="15" t="s">
        <v>388</v>
      </c>
      <c r="G62" s="74">
        <v>3165306</v>
      </c>
      <c r="H62" s="4" t="s">
        <v>387</v>
      </c>
      <c r="I62" s="4">
        <v>3211403</v>
      </c>
    </row>
    <row r="63" spans="2:9" x14ac:dyDescent="0.3">
      <c r="B63" s="44">
        <v>45948</v>
      </c>
      <c r="C63" s="3" t="s">
        <v>416</v>
      </c>
      <c r="D63" s="3" t="s">
        <v>68</v>
      </c>
      <c r="E63" s="101"/>
      <c r="F63" s="3" t="s">
        <v>570</v>
      </c>
      <c r="G63" s="4" t="s">
        <v>556</v>
      </c>
      <c r="H63" s="4" t="s">
        <v>390</v>
      </c>
      <c r="I63" s="4">
        <v>3544509</v>
      </c>
    </row>
    <row r="64" spans="2:9" x14ac:dyDescent="0.3">
      <c r="B64" s="44">
        <v>45948</v>
      </c>
      <c r="C64" s="3" t="s">
        <v>416</v>
      </c>
      <c r="D64" s="3" t="s">
        <v>68</v>
      </c>
      <c r="E64" s="101"/>
      <c r="F64" s="3" t="s">
        <v>627</v>
      </c>
      <c r="G64" s="4" t="s">
        <v>638</v>
      </c>
      <c r="H64" s="4" t="s">
        <v>625</v>
      </c>
      <c r="I64" s="4">
        <v>3899803</v>
      </c>
    </row>
    <row r="65" spans="2:9" x14ac:dyDescent="0.3">
      <c r="B65" s="44">
        <v>45948</v>
      </c>
      <c r="C65" s="3" t="s">
        <v>416</v>
      </c>
      <c r="D65" s="3" t="s">
        <v>68</v>
      </c>
      <c r="E65" s="101"/>
      <c r="F65" s="3" t="s">
        <v>389</v>
      </c>
      <c r="G65" s="4">
        <v>3209201</v>
      </c>
      <c r="H65" s="4" t="s">
        <v>626</v>
      </c>
      <c r="I65" s="4" t="s">
        <v>637</v>
      </c>
    </row>
    <row r="66" spans="2:9" x14ac:dyDescent="0.3">
      <c r="B66" s="44">
        <v>45948</v>
      </c>
      <c r="C66" s="3" t="s">
        <v>416</v>
      </c>
      <c r="D66" s="3" t="s">
        <v>68</v>
      </c>
      <c r="E66" s="101"/>
      <c r="F66" s="3" t="s">
        <v>457</v>
      </c>
      <c r="G66" s="4">
        <v>3818806</v>
      </c>
      <c r="H66" s="4" t="s">
        <v>456</v>
      </c>
      <c r="I66" s="4">
        <v>3545602</v>
      </c>
    </row>
    <row r="67" spans="2:9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68</v>
      </c>
      <c r="E68" s="101"/>
      <c r="F68" s="3" t="s">
        <v>390</v>
      </c>
      <c r="G68" s="4">
        <v>3544509</v>
      </c>
      <c r="H68" s="4" t="s">
        <v>383</v>
      </c>
      <c r="I68" s="4">
        <v>3200502</v>
      </c>
    </row>
    <row r="69" spans="2:9" x14ac:dyDescent="0.3">
      <c r="B69" s="44">
        <v>45962</v>
      </c>
      <c r="C69" s="3" t="s">
        <v>416</v>
      </c>
      <c r="D69" s="3" t="s">
        <v>68</v>
      </c>
      <c r="E69" s="101"/>
      <c r="F69" s="3" t="s">
        <v>625</v>
      </c>
      <c r="G69" s="4">
        <v>3899803</v>
      </c>
      <c r="H69" s="4" t="s">
        <v>457</v>
      </c>
      <c r="I69" s="4">
        <v>3818806</v>
      </c>
    </row>
    <row r="70" spans="2:9" x14ac:dyDescent="0.3">
      <c r="B70" s="44">
        <v>45962</v>
      </c>
      <c r="C70" s="3" t="s">
        <v>416</v>
      </c>
      <c r="D70" s="3" t="s">
        <v>68</v>
      </c>
      <c r="E70" s="101"/>
      <c r="F70" s="3" t="s">
        <v>391</v>
      </c>
      <c r="G70" s="4">
        <v>3193806</v>
      </c>
      <c r="H70" s="4" t="s">
        <v>627</v>
      </c>
      <c r="I70" s="4" t="s">
        <v>638</v>
      </c>
    </row>
    <row r="71" spans="2:9" x14ac:dyDescent="0.3">
      <c r="B71" s="44">
        <v>45962</v>
      </c>
      <c r="C71" s="3" t="s">
        <v>416</v>
      </c>
      <c r="D71" s="3" t="s">
        <v>68</v>
      </c>
      <c r="E71" s="101"/>
      <c r="F71" s="3" t="s">
        <v>456</v>
      </c>
      <c r="G71" s="4">
        <v>3545602</v>
      </c>
      <c r="H71" s="15" t="s">
        <v>388</v>
      </c>
      <c r="I71" s="74">
        <v>3165306</v>
      </c>
    </row>
    <row r="72" spans="2:9" x14ac:dyDescent="0.3">
      <c r="B72" s="44">
        <v>45962</v>
      </c>
      <c r="C72" s="3" t="s">
        <v>416</v>
      </c>
      <c r="D72" s="3" t="s">
        <v>68</v>
      </c>
      <c r="E72" s="101"/>
      <c r="F72" s="3" t="s">
        <v>387</v>
      </c>
      <c r="G72" s="4">
        <v>3211403</v>
      </c>
      <c r="H72" s="4" t="s">
        <v>389</v>
      </c>
      <c r="I72" s="4">
        <v>3209201</v>
      </c>
    </row>
    <row r="73" spans="2:9" x14ac:dyDescent="0.3">
      <c r="B73" s="44">
        <v>45962</v>
      </c>
      <c r="C73" s="3" t="s">
        <v>416</v>
      </c>
      <c r="D73" s="3" t="s">
        <v>68</v>
      </c>
      <c r="E73" s="101"/>
      <c r="F73" s="3" t="s">
        <v>626</v>
      </c>
      <c r="G73" s="4" t="s">
        <v>637</v>
      </c>
      <c r="H73" s="4" t="s">
        <v>570</v>
      </c>
      <c r="I73" s="4" t="s">
        <v>556</v>
      </c>
    </row>
    <row r="74" spans="2:9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68</v>
      </c>
      <c r="E75" s="101"/>
      <c r="F75" s="15" t="s">
        <v>388</v>
      </c>
      <c r="G75" s="74">
        <v>3165306</v>
      </c>
      <c r="H75" s="4" t="s">
        <v>625</v>
      </c>
      <c r="I75" s="4">
        <v>3899803</v>
      </c>
    </row>
    <row r="76" spans="2:9" x14ac:dyDescent="0.3">
      <c r="B76" s="44">
        <v>45969</v>
      </c>
      <c r="C76" s="3" t="s">
        <v>416</v>
      </c>
      <c r="D76" s="3" t="s">
        <v>68</v>
      </c>
      <c r="E76" s="101"/>
      <c r="F76" s="3" t="s">
        <v>570</v>
      </c>
      <c r="G76" s="4" t="s">
        <v>556</v>
      </c>
      <c r="H76" s="4" t="s">
        <v>387</v>
      </c>
      <c r="I76" s="4">
        <v>3211403</v>
      </c>
    </row>
    <row r="77" spans="2:9" x14ac:dyDescent="0.3">
      <c r="B77" s="44">
        <v>45969</v>
      </c>
      <c r="C77" s="3" t="s">
        <v>416</v>
      </c>
      <c r="D77" s="3" t="s">
        <v>68</v>
      </c>
      <c r="E77" s="101"/>
      <c r="F77" s="3" t="s">
        <v>627</v>
      </c>
      <c r="G77" s="4" t="s">
        <v>638</v>
      </c>
      <c r="H77" s="4" t="s">
        <v>383</v>
      </c>
      <c r="I77" s="4">
        <v>3200502</v>
      </c>
    </row>
    <row r="78" spans="2:9" x14ac:dyDescent="0.3">
      <c r="B78" s="44">
        <v>45969</v>
      </c>
      <c r="C78" s="3" t="s">
        <v>416</v>
      </c>
      <c r="D78" s="3" t="s">
        <v>68</v>
      </c>
      <c r="E78" s="101"/>
      <c r="F78" s="3" t="s">
        <v>389</v>
      </c>
      <c r="G78" s="4">
        <v>3209201</v>
      </c>
      <c r="H78" s="4" t="s">
        <v>456</v>
      </c>
      <c r="I78" s="4">
        <v>3545602</v>
      </c>
    </row>
    <row r="79" spans="2:9" x14ac:dyDescent="0.3">
      <c r="B79" s="44">
        <v>45969</v>
      </c>
      <c r="C79" s="3" t="s">
        <v>416</v>
      </c>
      <c r="D79" s="3" t="s">
        <v>68</v>
      </c>
      <c r="E79" s="101"/>
      <c r="F79" s="3" t="s">
        <v>457</v>
      </c>
      <c r="G79" s="4">
        <v>3818806</v>
      </c>
      <c r="H79" s="4" t="s">
        <v>391</v>
      </c>
      <c r="I79" s="4">
        <v>3193806</v>
      </c>
    </row>
    <row r="80" spans="2:9" x14ac:dyDescent="0.3">
      <c r="B80" s="44">
        <v>45969</v>
      </c>
      <c r="C80" s="3" t="s">
        <v>416</v>
      </c>
      <c r="D80" s="3" t="s">
        <v>68</v>
      </c>
      <c r="E80" s="101"/>
      <c r="F80" s="3" t="s">
        <v>626</v>
      </c>
      <c r="G80" s="4" t="s">
        <v>637</v>
      </c>
      <c r="H80" s="4" t="s">
        <v>390</v>
      </c>
      <c r="I80" s="4">
        <v>3544509</v>
      </c>
    </row>
    <row r="81" spans="2:9" x14ac:dyDescent="0.3">
      <c r="B81" s="4"/>
      <c r="E81" s="101"/>
      <c r="F81" s="3" t="s">
        <v>418</v>
      </c>
      <c r="G81" s="4" t="s">
        <v>418</v>
      </c>
      <c r="H81" s="4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68</v>
      </c>
      <c r="E82" s="101"/>
      <c r="F82" s="3" t="s">
        <v>383</v>
      </c>
      <c r="G82" s="4">
        <v>3200502</v>
      </c>
      <c r="H82" s="4" t="s">
        <v>457</v>
      </c>
      <c r="I82" s="4">
        <v>3818806</v>
      </c>
    </row>
    <row r="83" spans="2:9" x14ac:dyDescent="0.3">
      <c r="B83" s="44">
        <v>45976</v>
      </c>
      <c r="C83" s="3" t="s">
        <v>416</v>
      </c>
      <c r="D83" s="3" t="s">
        <v>68</v>
      </c>
      <c r="E83" s="101"/>
      <c r="F83" s="3" t="s">
        <v>390</v>
      </c>
      <c r="G83" s="4">
        <v>3544509</v>
      </c>
      <c r="H83" s="4" t="s">
        <v>627</v>
      </c>
      <c r="I83" s="4" t="s">
        <v>638</v>
      </c>
    </row>
    <row r="84" spans="2:9" x14ac:dyDescent="0.3">
      <c r="B84" s="44">
        <v>45976</v>
      </c>
      <c r="C84" s="3" t="s">
        <v>416</v>
      </c>
      <c r="D84" s="3" t="s">
        <v>68</v>
      </c>
      <c r="E84" s="101"/>
      <c r="F84" s="3" t="s">
        <v>625</v>
      </c>
      <c r="G84" s="4">
        <v>3899803</v>
      </c>
      <c r="H84" s="4" t="s">
        <v>389</v>
      </c>
      <c r="I84" s="4">
        <v>3209201</v>
      </c>
    </row>
    <row r="85" spans="2:9" x14ac:dyDescent="0.3">
      <c r="B85" s="44">
        <v>45976</v>
      </c>
      <c r="C85" s="3" t="s">
        <v>416</v>
      </c>
      <c r="D85" s="3" t="s">
        <v>68</v>
      </c>
      <c r="E85" s="101"/>
      <c r="F85" s="3" t="s">
        <v>391</v>
      </c>
      <c r="G85" s="4">
        <v>3193806</v>
      </c>
      <c r="H85" s="15" t="s">
        <v>388</v>
      </c>
      <c r="I85" s="74">
        <v>3165306</v>
      </c>
    </row>
    <row r="86" spans="2:9" x14ac:dyDescent="0.3">
      <c r="B86" s="44">
        <v>45976</v>
      </c>
      <c r="C86" s="3" t="s">
        <v>416</v>
      </c>
      <c r="D86" s="3" t="s">
        <v>68</v>
      </c>
      <c r="E86" s="101"/>
      <c r="F86" s="3" t="s">
        <v>456</v>
      </c>
      <c r="G86" s="4">
        <v>3545602</v>
      </c>
      <c r="H86" s="4" t="s">
        <v>570</v>
      </c>
      <c r="I86" s="4" t="s">
        <v>556</v>
      </c>
    </row>
    <row r="87" spans="2:9" x14ac:dyDescent="0.3">
      <c r="B87" s="44">
        <v>45976</v>
      </c>
      <c r="C87" s="3" t="s">
        <v>416</v>
      </c>
      <c r="D87" s="3" t="s">
        <v>68</v>
      </c>
      <c r="E87" s="101"/>
      <c r="F87" s="3" t="s">
        <v>387</v>
      </c>
      <c r="G87" s="4">
        <v>3211403</v>
      </c>
      <c r="H87" s="4" t="s">
        <v>626</v>
      </c>
      <c r="I87" s="4" t="s">
        <v>637</v>
      </c>
    </row>
    <row r="88" spans="2:9" x14ac:dyDescent="0.3">
      <c r="B88" s="4"/>
      <c r="E88" s="101"/>
      <c r="F88" s="3" t="s">
        <v>418</v>
      </c>
      <c r="G88" s="4" t="s">
        <v>418</v>
      </c>
      <c r="H88" s="4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68</v>
      </c>
      <c r="E89" s="101"/>
      <c r="F89" s="15" t="s">
        <v>388</v>
      </c>
      <c r="G89" s="74">
        <v>3165306</v>
      </c>
      <c r="H89" s="4" t="s">
        <v>383</v>
      </c>
      <c r="I89" s="4">
        <v>3200502</v>
      </c>
    </row>
    <row r="90" spans="2:9" x14ac:dyDescent="0.3">
      <c r="B90" s="44">
        <v>45983</v>
      </c>
      <c r="C90" s="3" t="s">
        <v>416</v>
      </c>
      <c r="D90" s="3" t="s">
        <v>68</v>
      </c>
      <c r="E90" s="101"/>
      <c r="F90" s="3" t="s">
        <v>570</v>
      </c>
      <c r="G90" s="4" t="s">
        <v>556</v>
      </c>
      <c r="H90" s="4" t="s">
        <v>625</v>
      </c>
      <c r="I90" s="4">
        <v>3899803</v>
      </c>
    </row>
    <row r="91" spans="2:9" x14ac:dyDescent="0.3">
      <c r="B91" s="44">
        <v>45983</v>
      </c>
      <c r="C91" s="3" t="s">
        <v>416</v>
      </c>
      <c r="D91" s="3" t="s">
        <v>68</v>
      </c>
      <c r="E91" s="101"/>
      <c r="F91" s="3" t="s">
        <v>389</v>
      </c>
      <c r="G91" s="4">
        <v>3209201</v>
      </c>
      <c r="H91" s="4" t="s">
        <v>391</v>
      </c>
      <c r="I91" s="4">
        <v>3193806</v>
      </c>
    </row>
    <row r="92" spans="2:9" x14ac:dyDescent="0.3">
      <c r="B92" s="44">
        <v>45983</v>
      </c>
      <c r="C92" s="3" t="s">
        <v>416</v>
      </c>
      <c r="D92" s="3" t="s">
        <v>68</v>
      </c>
      <c r="E92" s="101"/>
      <c r="F92" s="3" t="s">
        <v>457</v>
      </c>
      <c r="G92" s="4">
        <v>3818806</v>
      </c>
      <c r="H92" s="4" t="s">
        <v>627</v>
      </c>
      <c r="I92" s="4" t="s">
        <v>638</v>
      </c>
    </row>
    <row r="93" spans="2:9" x14ac:dyDescent="0.3">
      <c r="B93" s="44">
        <v>45983</v>
      </c>
      <c r="C93" s="3" t="s">
        <v>416</v>
      </c>
      <c r="D93" s="3" t="s">
        <v>68</v>
      </c>
      <c r="E93" s="101"/>
      <c r="F93" s="3" t="s">
        <v>387</v>
      </c>
      <c r="G93" s="4">
        <v>3211403</v>
      </c>
      <c r="H93" s="4" t="s">
        <v>390</v>
      </c>
      <c r="I93" s="4">
        <v>3544509</v>
      </c>
    </row>
    <row r="94" spans="2:9" x14ac:dyDescent="0.3">
      <c r="B94" s="44">
        <v>45983</v>
      </c>
      <c r="C94" s="3" t="s">
        <v>416</v>
      </c>
      <c r="D94" s="3" t="s">
        <v>68</v>
      </c>
      <c r="E94" s="101"/>
      <c r="F94" s="3" t="s">
        <v>626</v>
      </c>
      <c r="G94" s="4" t="s">
        <v>637</v>
      </c>
      <c r="H94" s="4" t="s">
        <v>456</v>
      </c>
      <c r="I94" s="4">
        <v>3545602</v>
      </c>
    </row>
    <row r="95" spans="2:9" x14ac:dyDescent="0.3">
      <c r="B95" s="4"/>
      <c r="E95" s="101"/>
      <c r="F95" s="3" t="s">
        <v>418</v>
      </c>
      <c r="G95" s="4" t="s">
        <v>418</v>
      </c>
      <c r="H95" s="4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68</v>
      </c>
      <c r="E96" s="101"/>
      <c r="F96" s="3" t="s">
        <v>383</v>
      </c>
      <c r="G96" s="4">
        <v>3200502</v>
      </c>
      <c r="H96" s="4" t="s">
        <v>389</v>
      </c>
      <c r="I96" s="4">
        <v>3209201</v>
      </c>
    </row>
    <row r="97" spans="2:9" x14ac:dyDescent="0.3">
      <c r="B97" s="44">
        <v>45990</v>
      </c>
      <c r="C97" s="3" t="s">
        <v>416</v>
      </c>
      <c r="D97" s="3" t="s">
        <v>68</v>
      </c>
      <c r="E97" s="101"/>
      <c r="F97" s="3" t="s">
        <v>390</v>
      </c>
      <c r="G97" s="4">
        <v>3544509</v>
      </c>
      <c r="H97" s="4" t="s">
        <v>457</v>
      </c>
      <c r="I97" s="4">
        <v>3818806</v>
      </c>
    </row>
    <row r="98" spans="2:9" x14ac:dyDescent="0.3">
      <c r="B98" s="44">
        <v>45990</v>
      </c>
      <c r="C98" s="3" t="s">
        <v>416</v>
      </c>
      <c r="D98" s="3" t="s">
        <v>68</v>
      </c>
      <c r="E98" s="101"/>
      <c r="F98" s="3" t="s">
        <v>625</v>
      </c>
      <c r="G98" s="4">
        <v>3899803</v>
      </c>
      <c r="H98" s="4" t="s">
        <v>626</v>
      </c>
      <c r="I98" s="4" t="s">
        <v>637</v>
      </c>
    </row>
    <row r="99" spans="2:9" x14ac:dyDescent="0.3">
      <c r="B99" s="44">
        <v>45990</v>
      </c>
      <c r="C99" s="3" t="s">
        <v>416</v>
      </c>
      <c r="D99" s="3" t="s">
        <v>68</v>
      </c>
      <c r="E99" s="101"/>
      <c r="F99" s="3" t="s">
        <v>391</v>
      </c>
      <c r="G99" s="4">
        <v>3193806</v>
      </c>
      <c r="H99" s="4" t="s">
        <v>570</v>
      </c>
      <c r="I99" s="4" t="s">
        <v>556</v>
      </c>
    </row>
    <row r="100" spans="2:9" x14ac:dyDescent="0.3">
      <c r="B100" s="44">
        <v>45990</v>
      </c>
      <c r="C100" s="3" t="s">
        <v>416</v>
      </c>
      <c r="D100" s="3" t="s">
        <v>68</v>
      </c>
      <c r="E100" s="101"/>
      <c r="F100" s="3" t="s">
        <v>456</v>
      </c>
      <c r="G100" s="4">
        <v>3545602</v>
      </c>
      <c r="H100" s="4" t="s">
        <v>387</v>
      </c>
      <c r="I100" s="4">
        <v>3211403</v>
      </c>
    </row>
    <row r="101" spans="2:9" x14ac:dyDescent="0.3">
      <c r="B101" s="44">
        <v>45990</v>
      </c>
      <c r="C101" s="3" t="s">
        <v>416</v>
      </c>
      <c r="D101" s="3" t="s">
        <v>68</v>
      </c>
      <c r="E101" s="101"/>
      <c r="F101" s="3" t="s">
        <v>627</v>
      </c>
      <c r="G101" s="4" t="s">
        <v>638</v>
      </c>
      <c r="H101" s="15" t="s">
        <v>388</v>
      </c>
      <c r="I101" s="74">
        <v>3165306</v>
      </c>
    </row>
    <row r="102" spans="2:9" x14ac:dyDescent="0.3">
      <c r="B102" s="4"/>
      <c r="E102" s="101"/>
      <c r="F102" s="3" t="s">
        <v>418</v>
      </c>
      <c r="G102" s="4" t="s">
        <v>418</v>
      </c>
      <c r="H102" s="4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68</v>
      </c>
      <c r="E103" s="101"/>
      <c r="F103" s="3" t="s">
        <v>383</v>
      </c>
      <c r="G103" s="4">
        <v>3200502</v>
      </c>
      <c r="H103" s="4" t="s">
        <v>570</v>
      </c>
      <c r="I103" s="4" t="s">
        <v>556</v>
      </c>
    </row>
    <row r="104" spans="2:9" x14ac:dyDescent="0.3">
      <c r="B104" s="44">
        <v>46032</v>
      </c>
      <c r="C104" s="3" t="s">
        <v>416</v>
      </c>
      <c r="D104" s="3" t="s">
        <v>68</v>
      </c>
      <c r="E104" s="101"/>
      <c r="F104" s="3" t="s">
        <v>390</v>
      </c>
      <c r="G104" s="4">
        <v>3544509</v>
      </c>
      <c r="H104" s="4" t="s">
        <v>456</v>
      </c>
      <c r="I104" s="4">
        <v>3545602</v>
      </c>
    </row>
    <row r="105" spans="2:9" x14ac:dyDescent="0.3">
      <c r="B105" s="44">
        <v>46032</v>
      </c>
      <c r="C105" s="3" t="s">
        <v>416</v>
      </c>
      <c r="D105" s="3" t="s">
        <v>68</v>
      </c>
      <c r="E105" s="101"/>
      <c r="F105" s="3" t="s">
        <v>625</v>
      </c>
      <c r="G105" s="4">
        <v>3899803</v>
      </c>
      <c r="H105" s="4" t="s">
        <v>387</v>
      </c>
      <c r="I105" s="4">
        <v>3211403</v>
      </c>
    </row>
    <row r="106" spans="2:9" x14ac:dyDescent="0.3">
      <c r="B106" s="44">
        <v>46032</v>
      </c>
      <c r="C106" s="3" t="s">
        <v>416</v>
      </c>
      <c r="D106" s="3" t="s">
        <v>68</v>
      </c>
      <c r="E106" s="101"/>
      <c r="F106" s="3" t="s">
        <v>391</v>
      </c>
      <c r="G106" s="4">
        <v>3193806</v>
      </c>
      <c r="H106" s="4" t="s">
        <v>626</v>
      </c>
      <c r="I106" s="4" t="s">
        <v>637</v>
      </c>
    </row>
    <row r="107" spans="2:9" x14ac:dyDescent="0.3">
      <c r="B107" s="44">
        <v>46032</v>
      </c>
      <c r="C107" s="3" t="s">
        <v>416</v>
      </c>
      <c r="D107" s="3" t="s">
        <v>68</v>
      </c>
      <c r="E107" s="101"/>
      <c r="F107" s="3" t="s">
        <v>627</v>
      </c>
      <c r="G107" s="4" t="s">
        <v>638</v>
      </c>
      <c r="H107" s="4" t="s">
        <v>389</v>
      </c>
      <c r="I107" s="4">
        <v>3209201</v>
      </c>
    </row>
    <row r="108" spans="2:9" x14ac:dyDescent="0.3">
      <c r="B108" s="44">
        <v>46032</v>
      </c>
      <c r="C108" s="3" t="s">
        <v>416</v>
      </c>
      <c r="D108" s="3" t="s">
        <v>68</v>
      </c>
      <c r="E108" s="101"/>
      <c r="F108" s="3" t="s">
        <v>457</v>
      </c>
      <c r="G108" s="4">
        <v>3818806</v>
      </c>
      <c r="H108" s="15" t="s">
        <v>388</v>
      </c>
      <c r="I108" s="74">
        <v>3165306</v>
      </c>
    </row>
    <row r="109" spans="2:9" x14ac:dyDescent="0.3">
      <c r="B109" s="4"/>
      <c r="E109" s="101"/>
      <c r="F109" s="3" t="s">
        <v>418</v>
      </c>
      <c r="G109" s="4" t="s">
        <v>418</v>
      </c>
      <c r="H109" s="4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68</v>
      </c>
      <c r="E110" s="101"/>
      <c r="F110" s="15" t="s">
        <v>388</v>
      </c>
      <c r="G110" s="74">
        <v>3165306</v>
      </c>
      <c r="H110" s="4" t="s">
        <v>390</v>
      </c>
      <c r="I110" s="4">
        <v>3544509</v>
      </c>
    </row>
    <row r="111" spans="2:9" x14ac:dyDescent="0.3">
      <c r="B111" s="44">
        <v>46039</v>
      </c>
      <c r="C111" s="3" t="s">
        <v>416</v>
      </c>
      <c r="D111" s="3" t="s">
        <v>68</v>
      </c>
      <c r="E111" s="101"/>
      <c r="F111" s="3" t="s">
        <v>456</v>
      </c>
      <c r="G111" s="4">
        <v>3545602</v>
      </c>
      <c r="H111" s="4" t="s">
        <v>625</v>
      </c>
      <c r="I111" s="4">
        <v>3899803</v>
      </c>
    </row>
    <row r="112" spans="2:9" x14ac:dyDescent="0.3">
      <c r="B112" s="44">
        <v>46039</v>
      </c>
      <c r="C112" s="3" t="s">
        <v>416</v>
      </c>
      <c r="D112" s="3" t="s">
        <v>68</v>
      </c>
      <c r="E112" s="101"/>
      <c r="F112" s="3" t="s">
        <v>570</v>
      </c>
      <c r="G112" s="4" t="s">
        <v>556</v>
      </c>
      <c r="H112" s="4" t="s">
        <v>627</v>
      </c>
      <c r="I112" s="4" t="s">
        <v>638</v>
      </c>
    </row>
    <row r="113" spans="2:9" x14ac:dyDescent="0.3">
      <c r="B113" s="44">
        <v>46039</v>
      </c>
      <c r="C113" s="3" t="s">
        <v>416</v>
      </c>
      <c r="D113" s="3" t="s">
        <v>68</v>
      </c>
      <c r="E113" s="101"/>
      <c r="F113" s="3" t="s">
        <v>389</v>
      </c>
      <c r="G113" s="4">
        <v>3209201</v>
      </c>
      <c r="H113" s="4" t="s">
        <v>457</v>
      </c>
      <c r="I113" s="4">
        <v>3818806</v>
      </c>
    </row>
    <row r="114" spans="2:9" x14ac:dyDescent="0.3">
      <c r="B114" s="44">
        <v>46039</v>
      </c>
      <c r="C114" s="3" t="s">
        <v>416</v>
      </c>
      <c r="D114" s="3" t="s">
        <v>68</v>
      </c>
      <c r="E114" s="101"/>
      <c r="F114" s="3" t="s">
        <v>387</v>
      </c>
      <c r="G114" s="4">
        <v>3211403</v>
      </c>
      <c r="H114" s="4" t="s">
        <v>391</v>
      </c>
      <c r="I114" s="4">
        <v>3193806</v>
      </c>
    </row>
    <row r="115" spans="2:9" x14ac:dyDescent="0.3">
      <c r="B115" s="44">
        <v>46039</v>
      </c>
      <c r="C115" s="3" t="s">
        <v>416</v>
      </c>
      <c r="D115" s="3" t="s">
        <v>68</v>
      </c>
      <c r="E115" s="101"/>
      <c r="F115" s="3" t="s">
        <v>626</v>
      </c>
      <c r="G115" s="4" t="s">
        <v>637</v>
      </c>
      <c r="H115" s="4" t="s">
        <v>383</v>
      </c>
      <c r="I115" s="4">
        <v>3200502</v>
      </c>
    </row>
    <row r="116" spans="2:9" x14ac:dyDescent="0.3">
      <c r="B116" s="4"/>
      <c r="E116" s="101"/>
      <c r="F116" s="3" t="s">
        <v>418</v>
      </c>
      <c r="G116" s="4" t="s">
        <v>418</v>
      </c>
      <c r="H116" s="4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68</v>
      </c>
      <c r="E117" s="101"/>
      <c r="F117" s="3" t="s">
        <v>383</v>
      </c>
      <c r="G117" s="4">
        <v>3200502</v>
      </c>
      <c r="H117" s="4" t="s">
        <v>387</v>
      </c>
      <c r="I117" s="4">
        <v>3211403</v>
      </c>
    </row>
    <row r="118" spans="2:9" x14ac:dyDescent="0.3">
      <c r="B118" s="44">
        <v>46046</v>
      </c>
      <c r="C118" s="3" t="s">
        <v>416</v>
      </c>
      <c r="D118" s="3" t="s">
        <v>68</v>
      </c>
      <c r="E118" s="101"/>
      <c r="F118" s="15" t="s">
        <v>388</v>
      </c>
      <c r="G118" s="74">
        <v>3165306</v>
      </c>
      <c r="H118" s="4" t="s">
        <v>389</v>
      </c>
      <c r="I118" s="4">
        <v>3209201</v>
      </c>
    </row>
    <row r="119" spans="2:9" x14ac:dyDescent="0.3">
      <c r="B119" s="44">
        <v>46046</v>
      </c>
      <c r="C119" s="3" t="s">
        <v>416</v>
      </c>
      <c r="D119" s="3" t="s">
        <v>68</v>
      </c>
      <c r="E119" s="101"/>
      <c r="F119" s="3" t="s">
        <v>625</v>
      </c>
      <c r="G119" s="4">
        <v>3899803</v>
      </c>
      <c r="H119" s="4" t="s">
        <v>390</v>
      </c>
      <c r="I119" s="4">
        <v>3544509</v>
      </c>
    </row>
    <row r="120" spans="2:9" x14ac:dyDescent="0.3">
      <c r="B120" s="44">
        <v>46046</v>
      </c>
      <c r="C120" s="3" t="s">
        <v>416</v>
      </c>
      <c r="D120" s="3" t="s">
        <v>68</v>
      </c>
      <c r="E120" s="101"/>
      <c r="F120" s="3" t="s">
        <v>391</v>
      </c>
      <c r="G120" s="4">
        <v>3193806</v>
      </c>
      <c r="H120" s="4" t="s">
        <v>456</v>
      </c>
      <c r="I120" s="4">
        <v>3545602</v>
      </c>
    </row>
    <row r="121" spans="2:9" x14ac:dyDescent="0.3">
      <c r="B121" s="44">
        <v>46046</v>
      </c>
      <c r="C121" s="3" t="s">
        <v>416</v>
      </c>
      <c r="D121" s="3" t="s">
        <v>68</v>
      </c>
      <c r="E121" s="101"/>
      <c r="F121" s="3" t="s">
        <v>627</v>
      </c>
      <c r="G121" s="4" t="s">
        <v>638</v>
      </c>
      <c r="H121" s="4" t="s">
        <v>626</v>
      </c>
      <c r="I121" s="4" t="s">
        <v>637</v>
      </c>
    </row>
    <row r="122" spans="2:9" x14ac:dyDescent="0.3">
      <c r="B122" s="44">
        <v>46046</v>
      </c>
      <c r="C122" s="3" t="s">
        <v>416</v>
      </c>
      <c r="D122" s="3" t="s">
        <v>68</v>
      </c>
      <c r="E122" s="101"/>
      <c r="F122" s="3" t="s">
        <v>457</v>
      </c>
      <c r="G122" s="4">
        <v>3818806</v>
      </c>
      <c r="H122" s="4" t="s">
        <v>570</v>
      </c>
      <c r="I122" s="4" t="s">
        <v>556</v>
      </c>
    </row>
    <row r="123" spans="2:9" x14ac:dyDescent="0.3">
      <c r="B123" s="4"/>
      <c r="E123" s="101"/>
      <c r="F123" s="3" t="s">
        <v>418</v>
      </c>
      <c r="G123" s="4" t="s">
        <v>418</v>
      </c>
      <c r="H123" s="4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68</v>
      </c>
      <c r="E124" s="101"/>
      <c r="F124" s="3" t="s">
        <v>390</v>
      </c>
      <c r="G124" s="4">
        <v>3544509</v>
      </c>
      <c r="H124" s="4" t="s">
        <v>389</v>
      </c>
      <c r="I124" s="4">
        <v>3209201</v>
      </c>
    </row>
    <row r="125" spans="2:9" x14ac:dyDescent="0.3">
      <c r="B125" s="44">
        <v>46053</v>
      </c>
      <c r="C125" s="3" t="s">
        <v>416</v>
      </c>
      <c r="D125" s="3" t="s">
        <v>68</v>
      </c>
      <c r="E125" s="101"/>
      <c r="F125" s="3" t="s">
        <v>625</v>
      </c>
      <c r="G125" s="4">
        <v>3899803</v>
      </c>
      <c r="H125" s="4" t="s">
        <v>391</v>
      </c>
      <c r="I125" s="4">
        <v>3193806</v>
      </c>
    </row>
    <row r="126" spans="2:9" x14ac:dyDescent="0.3">
      <c r="B126" s="44">
        <v>46053</v>
      </c>
      <c r="C126" s="3" t="s">
        <v>416</v>
      </c>
      <c r="D126" s="3" t="s">
        <v>68</v>
      </c>
      <c r="E126" s="101"/>
      <c r="F126" s="3" t="s">
        <v>456</v>
      </c>
      <c r="G126" s="4">
        <v>3545602</v>
      </c>
      <c r="H126" s="4" t="s">
        <v>383</v>
      </c>
      <c r="I126" s="4">
        <v>3200502</v>
      </c>
    </row>
    <row r="127" spans="2:9" x14ac:dyDescent="0.3">
      <c r="B127" s="44">
        <v>46053</v>
      </c>
      <c r="C127" s="3" t="s">
        <v>416</v>
      </c>
      <c r="D127" s="3" t="s">
        <v>68</v>
      </c>
      <c r="E127" s="101"/>
      <c r="F127" s="3" t="s">
        <v>570</v>
      </c>
      <c r="G127" s="4" t="s">
        <v>556</v>
      </c>
      <c r="H127" s="15" t="s">
        <v>388</v>
      </c>
      <c r="I127" s="74">
        <v>3165306</v>
      </c>
    </row>
    <row r="128" spans="2:9" x14ac:dyDescent="0.3">
      <c r="B128" s="44">
        <v>46053</v>
      </c>
      <c r="C128" s="3" t="s">
        <v>416</v>
      </c>
      <c r="D128" s="3" t="s">
        <v>68</v>
      </c>
      <c r="E128" s="101"/>
      <c r="F128" s="3" t="s">
        <v>387</v>
      </c>
      <c r="G128" s="4">
        <v>3211403</v>
      </c>
      <c r="H128" s="4" t="s">
        <v>627</v>
      </c>
      <c r="I128" s="4" t="s">
        <v>638</v>
      </c>
    </row>
    <row r="129" spans="1:11" x14ac:dyDescent="0.3">
      <c r="B129" s="44">
        <v>46053</v>
      </c>
      <c r="C129" s="3" t="s">
        <v>416</v>
      </c>
      <c r="D129" s="3" t="s">
        <v>68</v>
      </c>
      <c r="E129" s="101"/>
      <c r="F129" s="3" t="s">
        <v>626</v>
      </c>
      <c r="G129" s="4" t="s">
        <v>637</v>
      </c>
      <c r="H129" s="4" t="s">
        <v>457</v>
      </c>
      <c r="I129" s="4">
        <v>3818806</v>
      </c>
    </row>
    <row r="130" spans="1:11" x14ac:dyDescent="0.3">
      <c r="B130" s="4"/>
      <c r="E130" s="101"/>
      <c r="F130" s="3" t="s">
        <v>418</v>
      </c>
      <c r="G130" s="4" t="s">
        <v>418</v>
      </c>
      <c r="H130" s="4" t="s">
        <v>418</v>
      </c>
      <c r="I130" s="4" t="s">
        <v>418</v>
      </c>
    </row>
    <row r="131" spans="1:11" x14ac:dyDescent="0.3">
      <c r="B131" s="44">
        <v>46060</v>
      </c>
      <c r="C131" s="3" t="s">
        <v>416</v>
      </c>
      <c r="D131" s="3" t="s">
        <v>68</v>
      </c>
      <c r="E131" s="101"/>
      <c r="F131" s="3" t="s">
        <v>383</v>
      </c>
      <c r="G131" s="4">
        <v>3200502</v>
      </c>
      <c r="H131" s="4" t="s">
        <v>625</v>
      </c>
      <c r="I131" s="4">
        <v>3899803</v>
      </c>
    </row>
    <row r="132" spans="1:11" s="3" customFormat="1" x14ac:dyDescent="0.3">
      <c r="A132" s="47"/>
      <c r="B132" s="44">
        <v>46060</v>
      </c>
      <c r="C132" s="3" t="s">
        <v>416</v>
      </c>
      <c r="D132" s="3" t="s">
        <v>68</v>
      </c>
      <c r="E132" s="101"/>
      <c r="F132" s="15" t="s">
        <v>388</v>
      </c>
      <c r="G132" s="74">
        <v>3165306</v>
      </c>
      <c r="H132" s="4" t="s">
        <v>626</v>
      </c>
      <c r="I132" s="4" t="s">
        <v>637</v>
      </c>
      <c r="K132" s="51"/>
    </row>
    <row r="133" spans="1:11" s="3" customFormat="1" x14ac:dyDescent="0.3">
      <c r="A133" s="47"/>
      <c r="B133" s="44">
        <v>46060</v>
      </c>
      <c r="C133" s="3" t="s">
        <v>416</v>
      </c>
      <c r="D133" s="3" t="s">
        <v>68</v>
      </c>
      <c r="E133" s="101"/>
      <c r="F133" s="3" t="s">
        <v>391</v>
      </c>
      <c r="G133" s="4">
        <v>3193806</v>
      </c>
      <c r="H133" s="4" t="s">
        <v>390</v>
      </c>
      <c r="I133" s="4">
        <v>3544509</v>
      </c>
      <c r="K133" s="51"/>
    </row>
    <row r="134" spans="1:11" s="3" customFormat="1" x14ac:dyDescent="0.3">
      <c r="A134" s="47"/>
      <c r="B134" s="44">
        <v>46060</v>
      </c>
      <c r="C134" s="3" t="s">
        <v>416</v>
      </c>
      <c r="D134" s="3" t="s">
        <v>68</v>
      </c>
      <c r="E134" s="101"/>
      <c r="F134" s="3" t="s">
        <v>627</v>
      </c>
      <c r="G134" s="4" t="s">
        <v>638</v>
      </c>
      <c r="H134" s="4" t="s">
        <v>456</v>
      </c>
      <c r="I134" s="4">
        <v>3545602</v>
      </c>
      <c r="K134" s="51"/>
    </row>
    <row r="135" spans="1:11" s="3" customFormat="1" x14ac:dyDescent="0.3">
      <c r="A135" s="47"/>
      <c r="B135" s="44">
        <v>46060</v>
      </c>
      <c r="C135" s="3" t="s">
        <v>416</v>
      </c>
      <c r="D135" s="3" t="s">
        <v>68</v>
      </c>
      <c r="E135" s="101"/>
      <c r="F135" s="3" t="s">
        <v>389</v>
      </c>
      <c r="G135" s="4">
        <v>3209201</v>
      </c>
      <c r="H135" s="4" t="s">
        <v>570</v>
      </c>
      <c r="I135" s="4" t="s">
        <v>556</v>
      </c>
      <c r="K135" s="51"/>
    </row>
    <row r="136" spans="1:11" s="3" customFormat="1" x14ac:dyDescent="0.3">
      <c r="A136" s="47"/>
      <c r="B136" s="44">
        <v>46060</v>
      </c>
      <c r="C136" s="3" t="s">
        <v>416</v>
      </c>
      <c r="D136" s="3" t="s">
        <v>68</v>
      </c>
      <c r="E136" s="101"/>
      <c r="F136" s="3" t="s">
        <v>457</v>
      </c>
      <c r="G136" s="4">
        <v>3818806</v>
      </c>
      <c r="H136" s="4" t="s">
        <v>387</v>
      </c>
      <c r="I136" s="4">
        <v>3211403</v>
      </c>
      <c r="K136" s="51"/>
    </row>
    <row r="137" spans="1:11" s="3" customFormat="1" x14ac:dyDescent="0.3">
      <c r="A137" s="47"/>
      <c r="B137" s="4"/>
      <c r="E137" s="101"/>
      <c r="F137" s="3" t="s">
        <v>418</v>
      </c>
      <c r="G137" s="4" t="s">
        <v>418</v>
      </c>
      <c r="H137" s="4" t="s">
        <v>418</v>
      </c>
      <c r="I137" s="4" t="s">
        <v>418</v>
      </c>
      <c r="K137" s="51"/>
    </row>
    <row r="138" spans="1:11" s="3" customFormat="1" x14ac:dyDescent="0.3">
      <c r="A138" s="47"/>
      <c r="B138" s="44">
        <v>46074</v>
      </c>
      <c r="C138" s="3" t="s">
        <v>416</v>
      </c>
      <c r="D138" s="3" t="s">
        <v>68</v>
      </c>
      <c r="E138" s="101"/>
      <c r="F138" s="3" t="s">
        <v>390</v>
      </c>
      <c r="G138" s="4">
        <v>3544509</v>
      </c>
      <c r="H138" s="4" t="s">
        <v>570</v>
      </c>
      <c r="I138" s="4" t="s">
        <v>556</v>
      </c>
      <c r="K138" s="51"/>
    </row>
    <row r="139" spans="1:11" s="3" customFormat="1" x14ac:dyDescent="0.3">
      <c r="A139" s="47"/>
      <c r="B139" s="44">
        <v>46074</v>
      </c>
      <c r="C139" s="3" t="s">
        <v>416</v>
      </c>
      <c r="D139" s="3" t="s">
        <v>68</v>
      </c>
      <c r="E139" s="101"/>
      <c r="F139" s="3" t="s">
        <v>625</v>
      </c>
      <c r="G139" s="4">
        <v>3899803</v>
      </c>
      <c r="H139" s="4" t="s">
        <v>627</v>
      </c>
      <c r="I139" s="4" t="s">
        <v>638</v>
      </c>
      <c r="K139" s="51"/>
    </row>
    <row r="140" spans="1:11" s="3" customFormat="1" x14ac:dyDescent="0.3">
      <c r="A140" s="47"/>
      <c r="B140" s="44">
        <v>46074</v>
      </c>
      <c r="C140" s="3" t="s">
        <v>416</v>
      </c>
      <c r="D140" s="3" t="s">
        <v>68</v>
      </c>
      <c r="E140" s="101"/>
      <c r="F140" s="3" t="s">
        <v>391</v>
      </c>
      <c r="G140" s="4">
        <v>3193806</v>
      </c>
      <c r="H140" s="4" t="s">
        <v>383</v>
      </c>
      <c r="I140" s="4">
        <v>3200502</v>
      </c>
      <c r="K140" s="51"/>
    </row>
    <row r="141" spans="1:11" s="3" customFormat="1" x14ac:dyDescent="0.3">
      <c r="A141" s="47"/>
      <c r="B141" s="44">
        <v>46074</v>
      </c>
      <c r="C141" s="3" t="s">
        <v>416</v>
      </c>
      <c r="D141" s="3" t="s">
        <v>68</v>
      </c>
      <c r="E141" s="101"/>
      <c r="F141" s="3" t="s">
        <v>456</v>
      </c>
      <c r="G141" s="4">
        <v>3545602</v>
      </c>
      <c r="H141" s="4" t="s">
        <v>457</v>
      </c>
      <c r="I141" s="4">
        <v>3818806</v>
      </c>
      <c r="K141" s="51"/>
    </row>
    <row r="142" spans="1:11" s="3" customFormat="1" x14ac:dyDescent="0.3">
      <c r="A142" s="47"/>
      <c r="B142" s="44">
        <v>46074</v>
      </c>
      <c r="C142" s="3" t="s">
        <v>416</v>
      </c>
      <c r="D142" s="3" t="s">
        <v>68</v>
      </c>
      <c r="E142" s="101"/>
      <c r="F142" s="3" t="s">
        <v>387</v>
      </c>
      <c r="G142" s="4">
        <v>3211403</v>
      </c>
      <c r="H142" s="15" t="s">
        <v>388</v>
      </c>
      <c r="I142" s="74">
        <v>3165306</v>
      </c>
      <c r="K142" s="51"/>
    </row>
    <row r="143" spans="1:11" s="3" customFormat="1" x14ac:dyDescent="0.3">
      <c r="A143" s="47"/>
      <c r="B143" s="44">
        <v>46074</v>
      </c>
      <c r="C143" s="3" t="s">
        <v>416</v>
      </c>
      <c r="D143" s="3" t="s">
        <v>68</v>
      </c>
      <c r="E143" s="101"/>
      <c r="F143" s="3" t="s">
        <v>626</v>
      </c>
      <c r="G143" s="4" t="s">
        <v>637</v>
      </c>
      <c r="H143" s="4" t="s">
        <v>389</v>
      </c>
      <c r="I143" s="4">
        <v>3209201</v>
      </c>
      <c r="K143" s="51"/>
    </row>
    <row r="144" spans="1:11" s="3" customFormat="1" x14ac:dyDescent="0.3">
      <c r="A144" s="47"/>
      <c r="B144" s="4"/>
      <c r="E144" s="101"/>
      <c r="F144" s="3" t="s">
        <v>418</v>
      </c>
      <c r="G144" s="4" t="s">
        <v>418</v>
      </c>
      <c r="H144" s="4" t="s">
        <v>418</v>
      </c>
      <c r="I144" s="4" t="s">
        <v>418</v>
      </c>
      <c r="K144" s="51"/>
    </row>
    <row r="145" spans="1:11" s="3" customFormat="1" x14ac:dyDescent="0.3">
      <c r="A145" s="47"/>
      <c r="B145" s="44">
        <v>46081</v>
      </c>
      <c r="C145" s="3" t="s">
        <v>416</v>
      </c>
      <c r="D145" s="3" t="s">
        <v>68</v>
      </c>
      <c r="E145" s="101"/>
      <c r="F145" s="3" t="s">
        <v>383</v>
      </c>
      <c r="G145" s="4">
        <v>3200502</v>
      </c>
      <c r="H145" s="4" t="s">
        <v>390</v>
      </c>
      <c r="I145" s="4">
        <v>3544509</v>
      </c>
      <c r="K145" s="51"/>
    </row>
    <row r="146" spans="1:11" s="3" customFormat="1" x14ac:dyDescent="0.3">
      <c r="A146" s="47"/>
      <c r="B146" s="44">
        <v>46081</v>
      </c>
      <c r="C146" s="3" t="s">
        <v>416</v>
      </c>
      <c r="D146" s="3" t="s">
        <v>68</v>
      </c>
      <c r="E146" s="101"/>
      <c r="F146" s="15" t="s">
        <v>388</v>
      </c>
      <c r="G146" s="74">
        <v>3165306</v>
      </c>
      <c r="H146" s="4" t="s">
        <v>456</v>
      </c>
      <c r="I146" s="4">
        <v>3545602</v>
      </c>
      <c r="K146" s="51"/>
    </row>
    <row r="147" spans="1:11" s="3" customFormat="1" x14ac:dyDescent="0.3">
      <c r="A147" s="47"/>
      <c r="B147" s="44">
        <v>46081</v>
      </c>
      <c r="C147" s="3" t="s">
        <v>416</v>
      </c>
      <c r="D147" s="3" t="s">
        <v>68</v>
      </c>
      <c r="E147" s="101"/>
      <c r="F147" s="3" t="s">
        <v>570</v>
      </c>
      <c r="G147" s="4" t="s">
        <v>556</v>
      </c>
      <c r="H147" s="4" t="s">
        <v>626</v>
      </c>
      <c r="I147" s="4" t="s">
        <v>637</v>
      </c>
      <c r="K147" s="51"/>
    </row>
    <row r="148" spans="1:11" s="3" customFormat="1" x14ac:dyDescent="0.3">
      <c r="A148" s="47"/>
      <c r="B148" s="44">
        <v>46081</v>
      </c>
      <c r="C148" s="3" t="s">
        <v>416</v>
      </c>
      <c r="D148" s="3" t="s">
        <v>68</v>
      </c>
      <c r="E148" s="101"/>
      <c r="F148" s="3" t="s">
        <v>627</v>
      </c>
      <c r="G148" s="4" t="s">
        <v>638</v>
      </c>
      <c r="H148" s="4" t="s">
        <v>391</v>
      </c>
      <c r="I148" s="4">
        <v>3193806</v>
      </c>
      <c r="K148" s="51"/>
    </row>
    <row r="149" spans="1:11" s="3" customFormat="1" x14ac:dyDescent="0.3">
      <c r="A149" s="47"/>
      <c r="B149" s="44">
        <v>46081</v>
      </c>
      <c r="C149" s="3" t="s">
        <v>416</v>
      </c>
      <c r="D149" s="3" t="s">
        <v>68</v>
      </c>
      <c r="E149" s="101"/>
      <c r="F149" s="3" t="s">
        <v>389</v>
      </c>
      <c r="G149" s="4">
        <v>3209201</v>
      </c>
      <c r="H149" s="4" t="s">
        <v>387</v>
      </c>
      <c r="I149" s="4">
        <v>3211403</v>
      </c>
      <c r="K149" s="51"/>
    </row>
    <row r="150" spans="1:11" s="3" customFormat="1" x14ac:dyDescent="0.3">
      <c r="A150" s="47"/>
      <c r="B150" s="44">
        <v>46081</v>
      </c>
      <c r="C150" s="3" t="s">
        <v>416</v>
      </c>
      <c r="D150" s="3" t="s">
        <v>68</v>
      </c>
      <c r="E150" s="101"/>
      <c r="F150" s="3" t="s">
        <v>457</v>
      </c>
      <c r="G150" s="4">
        <v>3818806</v>
      </c>
      <c r="H150" s="4" t="s">
        <v>625</v>
      </c>
      <c r="I150" s="4">
        <v>3899803</v>
      </c>
      <c r="K150" s="51"/>
    </row>
    <row r="151" spans="1:11" s="3" customFormat="1" x14ac:dyDescent="0.3">
      <c r="A151" s="47"/>
      <c r="B151" s="4"/>
      <c r="E151" s="101"/>
      <c r="F151" s="3" t="s">
        <v>418</v>
      </c>
      <c r="G151" s="4" t="s">
        <v>418</v>
      </c>
      <c r="H151" s="4" t="s">
        <v>418</v>
      </c>
      <c r="I151" s="4" t="s">
        <v>418</v>
      </c>
      <c r="K151" s="51"/>
    </row>
    <row r="152" spans="1:11" s="3" customFormat="1" x14ac:dyDescent="0.3">
      <c r="A152" s="47"/>
      <c r="B152" s="44">
        <v>46088</v>
      </c>
      <c r="C152" s="3" t="s">
        <v>416</v>
      </c>
      <c r="D152" s="3" t="s">
        <v>68</v>
      </c>
      <c r="E152" s="101"/>
      <c r="F152" s="3" t="s">
        <v>383</v>
      </c>
      <c r="G152" s="4">
        <v>3200502</v>
      </c>
      <c r="H152" s="4" t="s">
        <v>627</v>
      </c>
      <c r="I152" s="4" t="s">
        <v>638</v>
      </c>
      <c r="K152" s="51"/>
    </row>
    <row r="153" spans="1:11" s="3" customFormat="1" x14ac:dyDescent="0.3">
      <c r="A153" s="47"/>
      <c r="B153" s="44">
        <v>46088</v>
      </c>
      <c r="C153" s="3" t="s">
        <v>416</v>
      </c>
      <c r="D153" s="3" t="s">
        <v>68</v>
      </c>
      <c r="E153" s="101"/>
      <c r="F153" s="3" t="s">
        <v>390</v>
      </c>
      <c r="G153" s="4">
        <v>3544509</v>
      </c>
      <c r="H153" s="4" t="s">
        <v>626</v>
      </c>
      <c r="I153" s="4" t="s">
        <v>637</v>
      </c>
      <c r="K153" s="51"/>
    </row>
    <row r="154" spans="1:11" s="3" customFormat="1" x14ac:dyDescent="0.3">
      <c r="A154" s="47"/>
      <c r="B154" s="44">
        <v>46088</v>
      </c>
      <c r="C154" s="3" t="s">
        <v>416</v>
      </c>
      <c r="D154" s="3" t="s">
        <v>68</v>
      </c>
      <c r="E154" s="101"/>
      <c r="F154" s="3" t="s">
        <v>625</v>
      </c>
      <c r="G154" s="4">
        <v>3899803</v>
      </c>
      <c r="H154" s="15" t="s">
        <v>388</v>
      </c>
      <c r="I154" s="74">
        <v>3165306</v>
      </c>
      <c r="K154" s="51"/>
    </row>
    <row r="155" spans="1:11" s="3" customFormat="1" x14ac:dyDescent="0.3">
      <c r="A155" s="47"/>
      <c r="B155" s="44">
        <v>46088</v>
      </c>
      <c r="C155" s="3" t="s">
        <v>416</v>
      </c>
      <c r="D155" s="3" t="s">
        <v>68</v>
      </c>
      <c r="E155" s="101"/>
      <c r="F155" s="3" t="s">
        <v>391</v>
      </c>
      <c r="G155" s="4">
        <v>3193806</v>
      </c>
      <c r="H155" s="4" t="s">
        <v>457</v>
      </c>
      <c r="I155" s="4">
        <v>3818806</v>
      </c>
      <c r="K155" s="51"/>
    </row>
    <row r="156" spans="1:11" s="3" customFormat="1" x14ac:dyDescent="0.3">
      <c r="A156" s="47"/>
      <c r="B156" s="44">
        <v>46088</v>
      </c>
      <c r="C156" s="3" t="s">
        <v>416</v>
      </c>
      <c r="D156" s="3" t="s">
        <v>68</v>
      </c>
      <c r="E156" s="101"/>
      <c r="F156" s="3" t="s">
        <v>456</v>
      </c>
      <c r="G156" s="4">
        <v>3545602</v>
      </c>
      <c r="H156" s="4" t="s">
        <v>389</v>
      </c>
      <c r="I156" s="4">
        <v>3209201</v>
      </c>
      <c r="K156" s="51"/>
    </row>
    <row r="157" spans="1:11" s="3" customFormat="1" x14ac:dyDescent="0.3">
      <c r="A157" s="47"/>
      <c r="B157" s="44">
        <v>46088</v>
      </c>
      <c r="C157" s="3" t="s">
        <v>416</v>
      </c>
      <c r="D157" s="3" t="s">
        <v>68</v>
      </c>
      <c r="E157" s="101"/>
      <c r="F157" s="3" t="s">
        <v>387</v>
      </c>
      <c r="G157" s="4">
        <v>3211403</v>
      </c>
      <c r="H157" s="4" t="s">
        <v>570</v>
      </c>
      <c r="I157" s="4" t="s">
        <v>556</v>
      </c>
      <c r="K157" s="51"/>
    </row>
    <row r="158" spans="1:11" s="3" customFormat="1" x14ac:dyDescent="0.3">
      <c r="A158" s="47"/>
      <c r="B158" s="4"/>
      <c r="E158" s="101"/>
      <c r="F158" s="3" t="s">
        <v>418</v>
      </c>
      <c r="G158" s="4" t="s">
        <v>418</v>
      </c>
      <c r="H158" s="4" t="s">
        <v>418</v>
      </c>
      <c r="I158" s="4" t="s">
        <v>418</v>
      </c>
      <c r="K158" s="51"/>
    </row>
    <row r="159" spans="1:11" s="3" customFormat="1" x14ac:dyDescent="0.3">
      <c r="A159" s="47"/>
      <c r="B159" s="44">
        <v>46095</v>
      </c>
      <c r="C159" s="3" t="s">
        <v>416</v>
      </c>
      <c r="D159" s="3" t="s">
        <v>68</v>
      </c>
      <c r="E159" s="101"/>
      <c r="F159" s="15" t="s">
        <v>388</v>
      </c>
      <c r="G159" s="74">
        <v>3165306</v>
      </c>
      <c r="H159" s="4" t="s">
        <v>391</v>
      </c>
      <c r="I159" s="4">
        <v>3193806</v>
      </c>
      <c r="K159" s="51"/>
    </row>
    <row r="160" spans="1:11" s="3" customFormat="1" x14ac:dyDescent="0.3">
      <c r="A160" s="47"/>
      <c r="B160" s="44">
        <v>46095</v>
      </c>
      <c r="C160" s="3" t="s">
        <v>416</v>
      </c>
      <c r="D160" s="3" t="s">
        <v>68</v>
      </c>
      <c r="E160" s="101"/>
      <c r="F160" s="3" t="s">
        <v>570</v>
      </c>
      <c r="G160" s="4" t="s">
        <v>556</v>
      </c>
      <c r="H160" s="4" t="s">
        <v>456</v>
      </c>
      <c r="I160" s="4">
        <v>3545602</v>
      </c>
      <c r="K160" s="51"/>
    </row>
    <row r="161" spans="1:11" s="3" customFormat="1" x14ac:dyDescent="0.3">
      <c r="A161" s="47"/>
      <c r="B161" s="44">
        <v>46095</v>
      </c>
      <c r="C161" s="3" t="s">
        <v>416</v>
      </c>
      <c r="D161" s="3" t="s">
        <v>68</v>
      </c>
      <c r="E161" s="101"/>
      <c r="F161" s="3" t="s">
        <v>627</v>
      </c>
      <c r="G161" s="4" t="s">
        <v>638</v>
      </c>
      <c r="H161" s="4" t="s">
        <v>390</v>
      </c>
      <c r="I161" s="4">
        <v>3544509</v>
      </c>
      <c r="K161" s="51"/>
    </row>
    <row r="162" spans="1:11" s="3" customFormat="1" x14ac:dyDescent="0.3">
      <c r="A162" s="47"/>
      <c r="B162" s="44">
        <v>46095</v>
      </c>
      <c r="C162" s="3" t="s">
        <v>416</v>
      </c>
      <c r="D162" s="3" t="s">
        <v>68</v>
      </c>
      <c r="E162" s="101"/>
      <c r="F162" s="3" t="s">
        <v>389</v>
      </c>
      <c r="G162" s="4">
        <v>3209201</v>
      </c>
      <c r="H162" s="4" t="s">
        <v>625</v>
      </c>
      <c r="I162" s="4">
        <v>3899803</v>
      </c>
      <c r="K162" s="51"/>
    </row>
    <row r="163" spans="1:11" s="3" customFormat="1" x14ac:dyDescent="0.3">
      <c r="A163" s="47"/>
      <c r="B163" s="44">
        <v>46095</v>
      </c>
      <c r="C163" s="3" t="s">
        <v>416</v>
      </c>
      <c r="D163" s="3" t="s">
        <v>68</v>
      </c>
      <c r="E163" s="101"/>
      <c r="F163" s="3" t="s">
        <v>457</v>
      </c>
      <c r="G163" s="4">
        <v>3818806</v>
      </c>
      <c r="H163" s="4" t="s">
        <v>383</v>
      </c>
      <c r="I163" s="4">
        <v>3200502</v>
      </c>
      <c r="K163" s="51"/>
    </row>
    <row r="164" spans="1:11" s="3" customFormat="1" x14ac:dyDescent="0.3">
      <c r="A164" s="47"/>
      <c r="B164" s="44">
        <v>46095</v>
      </c>
      <c r="C164" s="3" t="s">
        <v>416</v>
      </c>
      <c r="D164" s="3" t="s">
        <v>68</v>
      </c>
      <c r="E164" s="101"/>
      <c r="F164" s="3" t="s">
        <v>626</v>
      </c>
      <c r="G164" s="4" t="s">
        <v>637</v>
      </c>
      <c r="H164" s="4" t="s">
        <v>387</v>
      </c>
      <c r="I164" s="4">
        <v>3211403</v>
      </c>
      <c r="K164" s="51"/>
    </row>
    <row r="165" spans="1:11" s="3" customFormat="1" x14ac:dyDescent="0.3">
      <c r="A165" s="47"/>
      <c r="B165" s="4"/>
      <c r="E165" s="101"/>
      <c r="F165" s="3" t="s">
        <v>418</v>
      </c>
      <c r="G165" s="4" t="s">
        <v>418</v>
      </c>
      <c r="H165" s="4" t="s">
        <v>418</v>
      </c>
      <c r="I165" s="4" t="s">
        <v>418</v>
      </c>
      <c r="K165" s="51"/>
    </row>
    <row r="166" spans="1:11" s="3" customFormat="1" x14ac:dyDescent="0.3">
      <c r="A166" s="47"/>
      <c r="B166" s="44">
        <v>46102</v>
      </c>
      <c r="C166" s="3" t="s">
        <v>416</v>
      </c>
      <c r="D166" s="3" t="s">
        <v>68</v>
      </c>
      <c r="E166" s="101"/>
      <c r="F166" s="3" t="s">
        <v>383</v>
      </c>
      <c r="G166" s="4">
        <v>3200502</v>
      </c>
      <c r="H166" s="15" t="s">
        <v>388</v>
      </c>
      <c r="I166" s="74">
        <v>3165306</v>
      </c>
      <c r="K166" s="51"/>
    </row>
    <row r="167" spans="1:11" s="3" customFormat="1" x14ac:dyDescent="0.3">
      <c r="A167" s="47"/>
      <c r="B167" s="44">
        <v>46102</v>
      </c>
      <c r="C167" s="3" t="s">
        <v>416</v>
      </c>
      <c r="D167" s="3" t="s">
        <v>68</v>
      </c>
      <c r="E167" s="101"/>
      <c r="F167" s="3" t="s">
        <v>390</v>
      </c>
      <c r="G167" s="4">
        <v>3544509</v>
      </c>
      <c r="H167" s="4" t="s">
        <v>387</v>
      </c>
      <c r="I167" s="4">
        <v>3211403</v>
      </c>
      <c r="K167" s="51"/>
    </row>
    <row r="168" spans="1:11" s="3" customFormat="1" x14ac:dyDescent="0.3">
      <c r="A168" s="47"/>
      <c r="B168" s="44">
        <v>46102</v>
      </c>
      <c r="C168" s="3" t="s">
        <v>416</v>
      </c>
      <c r="D168" s="3" t="s">
        <v>68</v>
      </c>
      <c r="E168" s="101"/>
      <c r="F168" s="3" t="s">
        <v>625</v>
      </c>
      <c r="G168" s="4">
        <v>3899803</v>
      </c>
      <c r="H168" s="4" t="s">
        <v>570</v>
      </c>
      <c r="I168" s="4" t="s">
        <v>556</v>
      </c>
      <c r="K168" s="51"/>
    </row>
    <row r="169" spans="1:11" s="3" customFormat="1" x14ac:dyDescent="0.3">
      <c r="A169" s="47"/>
      <c r="B169" s="44">
        <v>46102</v>
      </c>
      <c r="C169" s="3" t="s">
        <v>416</v>
      </c>
      <c r="D169" s="3" t="s">
        <v>68</v>
      </c>
      <c r="E169" s="101"/>
      <c r="F169" s="3" t="s">
        <v>391</v>
      </c>
      <c r="G169" s="4">
        <v>3193806</v>
      </c>
      <c r="H169" s="4" t="s">
        <v>389</v>
      </c>
      <c r="I169" s="4">
        <v>3209201</v>
      </c>
      <c r="K169" s="51"/>
    </row>
    <row r="170" spans="1:11" s="3" customFormat="1" x14ac:dyDescent="0.3">
      <c r="A170" s="47"/>
      <c r="B170" s="44">
        <v>46102</v>
      </c>
      <c r="C170" s="3" t="s">
        <v>416</v>
      </c>
      <c r="D170" s="3" t="s">
        <v>68</v>
      </c>
      <c r="E170" s="101"/>
      <c r="F170" s="3" t="s">
        <v>456</v>
      </c>
      <c r="G170" s="4">
        <v>3545602</v>
      </c>
      <c r="H170" s="4" t="s">
        <v>626</v>
      </c>
      <c r="I170" s="4" t="s">
        <v>637</v>
      </c>
      <c r="K170" s="51"/>
    </row>
    <row r="171" spans="1:11" s="3" customFormat="1" x14ac:dyDescent="0.3">
      <c r="A171" s="47"/>
      <c r="B171" s="44">
        <v>46102</v>
      </c>
      <c r="C171" s="3" t="s">
        <v>416</v>
      </c>
      <c r="D171" s="3" t="s">
        <v>68</v>
      </c>
      <c r="E171" s="101"/>
      <c r="F171" s="3" t="s">
        <v>627</v>
      </c>
      <c r="G171" s="4" t="s">
        <v>638</v>
      </c>
      <c r="H171" s="4" t="s">
        <v>457</v>
      </c>
      <c r="I171" s="4">
        <v>3818806</v>
      </c>
      <c r="K171" s="51"/>
    </row>
    <row r="172" spans="1:11" s="3" customFormat="1" x14ac:dyDescent="0.3">
      <c r="A172" s="47"/>
      <c r="B172" s="4"/>
      <c r="E172" s="101"/>
      <c r="F172" s="3" t="s">
        <v>418</v>
      </c>
      <c r="G172" s="4" t="s">
        <v>418</v>
      </c>
      <c r="H172" s="4" t="s">
        <v>418</v>
      </c>
      <c r="I172" s="4" t="s">
        <v>418</v>
      </c>
      <c r="K172" s="51"/>
    </row>
    <row r="173" spans="1:11" s="3" customFormat="1" x14ac:dyDescent="0.3">
      <c r="A173" s="47"/>
      <c r="B173" s="44">
        <v>46109</v>
      </c>
      <c r="C173" s="3" t="s">
        <v>416</v>
      </c>
      <c r="D173" s="3" t="s">
        <v>68</v>
      </c>
      <c r="E173" s="101"/>
      <c r="F173" s="15" t="s">
        <v>388</v>
      </c>
      <c r="G173" s="74">
        <v>3165306</v>
      </c>
      <c r="H173" s="4" t="s">
        <v>627</v>
      </c>
      <c r="I173" s="4" t="s">
        <v>638</v>
      </c>
      <c r="K173" s="51"/>
    </row>
    <row r="174" spans="1:11" s="3" customFormat="1" x14ac:dyDescent="0.3">
      <c r="A174" s="47"/>
      <c r="B174" s="44">
        <v>46109</v>
      </c>
      <c r="C174" s="3" t="s">
        <v>416</v>
      </c>
      <c r="D174" s="3" t="s">
        <v>68</v>
      </c>
      <c r="E174" s="101"/>
      <c r="F174" s="3" t="s">
        <v>570</v>
      </c>
      <c r="G174" s="4" t="s">
        <v>556</v>
      </c>
      <c r="H174" s="4" t="s">
        <v>391</v>
      </c>
      <c r="I174" s="4">
        <v>3193806</v>
      </c>
      <c r="K174" s="51"/>
    </row>
    <row r="175" spans="1:11" s="3" customFormat="1" x14ac:dyDescent="0.3">
      <c r="A175" s="47"/>
      <c r="B175" s="44">
        <v>46109</v>
      </c>
      <c r="C175" s="3" t="s">
        <v>416</v>
      </c>
      <c r="D175" s="3" t="s">
        <v>68</v>
      </c>
      <c r="E175" s="101"/>
      <c r="F175" s="3" t="s">
        <v>389</v>
      </c>
      <c r="G175" s="4">
        <v>3209201</v>
      </c>
      <c r="H175" s="4" t="s">
        <v>383</v>
      </c>
      <c r="I175" s="4">
        <v>3200502</v>
      </c>
      <c r="K175" s="51"/>
    </row>
    <row r="176" spans="1:11" s="3" customFormat="1" x14ac:dyDescent="0.3">
      <c r="A176" s="47"/>
      <c r="B176" s="44">
        <v>46109</v>
      </c>
      <c r="C176" s="3" t="s">
        <v>416</v>
      </c>
      <c r="D176" s="3" t="s">
        <v>68</v>
      </c>
      <c r="E176" s="101"/>
      <c r="F176" s="3" t="s">
        <v>457</v>
      </c>
      <c r="G176" s="4">
        <v>3818806</v>
      </c>
      <c r="H176" s="4" t="s">
        <v>390</v>
      </c>
      <c r="I176" s="4">
        <v>3544509</v>
      </c>
      <c r="K176" s="51"/>
    </row>
    <row r="177" spans="1:11" s="3" customFormat="1" x14ac:dyDescent="0.3">
      <c r="A177" s="47"/>
      <c r="B177" s="44">
        <v>46109</v>
      </c>
      <c r="C177" s="3" t="s">
        <v>416</v>
      </c>
      <c r="D177" s="3" t="s">
        <v>68</v>
      </c>
      <c r="E177" s="101"/>
      <c r="F177" s="3" t="s">
        <v>387</v>
      </c>
      <c r="G177" s="4">
        <v>3211403</v>
      </c>
      <c r="H177" s="4" t="s">
        <v>456</v>
      </c>
      <c r="I177" s="4">
        <v>3545602</v>
      </c>
      <c r="K177" s="51"/>
    </row>
    <row r="178" spans="1:11" s="3" customFormat="1" x14ac:dyDescent="0.3">
      <c r="A178" s="47"/>
      <c r="B178" s="44">
        <v>46109</v>
      </c>
      <c r="C178" s="3" t="s">
        <v>416</v>
      </c>
      <c r="D178" s="3" t="s">
        <v>68</v>
      </c>
      <c r="E178" s="101"/>
      <c r="F178" s="3" t="s">
        <v>626</v>
      </c>
      <c r="G178" s="4" t="s">
        <v>637</v>
      </c>
      <c r="H178" s="4" t="s">
        <v>625</v>
      </c>
      <c r="I178" s="4">
        <v>3899803</v>
      </c>
      <c r="K178" s="51"/>
    </row>
    <row r="179" spans="1:11" s="3" customFormat="1" x14ac:dyDescent="0.3">
      <c r="A179" s="47"/>
      <c r="G179" s="4"/>
      <c r="I179" s="4"/>
      <c r="K179" s="51"/>
    </row>
    <row r="180" spans="1:11" s="3" customFormat="1" x14ac:dyDescent="0.3">
      <c r="A180" s="47"/>
      <c r="G180" s="4"/>
      <c r="I180" s="4"/>
      <c r="K180" s="51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3322" priority="427"/>
  </conditionalFormatting>
  <conditionalFormatting sqref="B21 B11:B13 B17:B18">
    <cfRule type="duplicateValues" dxfId="3321" priority="426"/>
  </conditionalFormatting>
  <conditionalFormatting sqref="F179:H1048576 F1:H25">
    <cfRule type="containsText" dxfId="3320" priority="151" operator="containsText" text="BYE">
      <formula>NOT(ISERROR(SEARCH("BYE",F1)))</formula>
    </cfRule>
  </conditionalFormatting>
  <conditionalFormatting sqref="K3:K4 K7:K8">
    <cfRule type="duplicateValues" dxfId="3319" priority="2596"/>
  </conditionalFormatting>
  <conditionalFormatting sqref="K5">
    <cfRule type="duplicateValues" dxfId="3318" priority="425"/>
  </conditionalFormatting>
  <conditionalFormatting sqref="I10:L21">
    <cfRule type="cellIs" dxfId="3317" priority="142" operator="lessThan">
      <formula>5</formula>
    </cfRule>
    <cfRule type="cellIs" dxfId="3316" priority="143" operator="greaterThan">
      <formula>6</formula>
    </cfRule>
  </conditionalFormatting>
  <conditionalFormatting sqref="J10:J21">
    <cfRule type="containsText" dxfId="3315" priority="146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3314" priority="145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3313" priority="144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3312" priority="141" operator="containsText" text="c'[Fixtures All.xlsx]Women Filtered'!$F$2">
      <formula>NOT(ISERROR(SEARCH("c'[Fixtures All.xlsx]Women Filtered'!$F$2",J10)))</formula>
    </cfRule>
  </conditionalFormatting>
  <conditionalFormatting sqref="I33">
    <cfRule type="duplicateValues" dxfId="3311" priority="140"/>
  </conditionalFormatting>
  <conditionalFormatting sqref="I35">
    <cfRule type="duplicateValues" dxfId="3310" priority="94"/>
  </conditionalFormatting>
  <conditionalFormatting sqref="I36">
    <cfRule type="duplicateValues" dxfId="3309" priority="124"/>
  </conditionalFormatting>
  <conditionalFormatting sqref="I37">
    <cfRule type="duplicateValues" dxfId="3308" priority="104"/>
  </conditionalFormatting>
  <conditionalFormatting sqref="I38">
    <cfRule type="duplicateValues" dxfId="3307" priority="114"/>
  </conditionalFormatting>
  <conditionalFormatting sqref="I40">
    <cfRule type="duplicateValues" dxfId="3306" priority="74"/>
  </conditionalFormatting>
  <conditionalFormatting sqref="I41">
    <cfRule type="duplicateValues" dxfId="3305" priority="139"/>
  </conditionalFormatting>
  <conditionalFormatting sqref="I42">
    <cfRule type="duplicateValues" dxfId="3304" priority="53"/>
  </conditionalFormatting>
  <conditionalFormatting sqref="I44">
    <cfRule type="duplicateValues" dxfId="3303" priority="37"/>
  </conditionalFormatting>
  <conditionalFormatting sqref="I45">
    <cfRule type="duplicateValues" dxfId="3302" priority="63"/>
  </conditionalFormatting>
  <conditionalFormatting sqref="I47">
    <cfRule type="duplicateValues" dxfId="3301" priority="113"/>
  </conditionalFormatting>
  <conditionalFormatting sqref="I48">
    <cfRule type="duplicateValues" dxfId="3300" priority="72"/>
  </conditionalFormatting>
  <conditionalFormatting sqref="I49">
    <cfRule type="duplicateValues" dxfId="3299" priority="73"/>
  </conditionalFormatting>
  <conditionalFormatting sqref="I50">
    <cfRule type="duplicateValues" dxfId="3298" priority="103"/>
  </conditionalFormatting>
  <conditionalFormatting sqref="I51">
    <cfRule type="duplicateValues" dxfId="3297" priority="84"/>
  </conditionalFormatting>
  <conditionalFormatting sqref="I52">
    <cfRule type="duplicateValues" dxfId="3296" priority="93"/>
  </conditionalFormatting>
  <conditionalFormatting sqref="I54">
    <cfRule type="duplicateValues" dxfId="3295" priority="62"/>
  </conditionalFormatting>
  <conditionalFormatting sqref="I55">
    <cfRule type="duplicateValues" dxfId="3294" priority="36"/>
  </conditionalFormatting>
  <conditionalFormatting sqref="I56">
    <cfRule type="duplicateValues" dxfId="3293" priority="123"/>
  </conditionalFormatting>
  <conditionalFormatting sqref="I57">
    <cfRule type="duplicateValues" dxfId="3292" priority="138"/>
  </conditionalFormatting>
  <conditionalFormatting sqref="I58">
    <cfRule type="duplicateValues" dxfId="3291" priority="52"/>
  </conditionalFormatting>
  <conditionalFormatting sqref="I61">
    <cfRule type="duplicateValues" dxfId="3290" priority="92"/>
  </conditionalFormatting>
  <conditionalFormatting sqref="I62">
    <cfRule type="duplicateValues" dxfId="3289" priority="102"/>
  </conditionalFormatting>
  <conditionalFormatting sqref="I63">
    <cfRule type="duplicateValues" dxfId="3288" priority="131"/>
  </conditionalFormatting>
  <conditionalFormatting sqref="I64">
    <cfRule type="duplicateValues" dxfId="3287" priority="83"/>
  </conditionalFormatting>
  <conditionalFormatting sqref="I65">
    <cfRule type="duplicateValues" dxfId="3286" priority="61"/>
  </conditionalFormatting>
  <conditionalFormatting sqref="I66">
    <cfRule type="duplicateValues" dxfId="3285" priority="71"/>
  </conditionalFormatting>
  <conditionalFormatting sqref="I68">
    <cfRule type="duplicateValues" dxfId="3284" priority="35"/>
  </conditionalFormatting>
  <conditionalFormatting sqref="I69">
    <cfRule type="duplicateValues" dxfId="3283" priority="51"/>
  </conditionalFormatting>
  <conditionalFormatting sqref="I70">
    <cfRule type="duplicateValues" dxfId="3282" priority="45"/>
  </conditionalFormatting>
  <conditionalFormatting sqref="I72">
    <cfRule type="duplicateValues" dxfId="3281" priority="122"/>
  </conditionalFormatting>
  <conditionalFormatting sqref="I73">
    <cfRule type="duplicateValues" dxfId="3280" priority="137"/>
  </conditionalFormatting>
  <conditionalFormatting sqref="I75">
    <cfRule type="duplicateValues" dxfId="3279" priority="70"/>
  </conditionalFormatting>
  <conditionalFormatting sqref="I76">
    <cfRule type="duplicateValues" dxfId="3278" priority="82"/>
  </conditionalFormatting>
  <conditionalFormatting sqref="I77">
    <cfRule type="duplicateValues" dxfId="3277" priority="91"/>
  </conditionalFormatting>
  <conditionalFormatting sqref="I78">
    <cfRule type="duplicateValues" dxfId="3276" priority="130"/>
  </conditionalFormatting>
  <conditionalFormatting sqref="I79">
    <cfRule type="duplicateValues" dxfId="3275" priority="60"/>
  </conditionalFormatting>
  <conditionalFormatting sqref="I80">
    <cfRule type="duplicateValues" dxfId="3274" priority="34"/>
  </conditionalFormatting>
  <conditionalFormatting sqref="I82">
    <cfRule type="duplicateValues" dxfId="3273" priority="44"/>
  </conditionalFormatting>
  <conditionalFormatting sqref="I83">
    <cfRule type="duplicateValues" dxfId="3272" priority="121"/>
  </conditionalFormatting>
  <conditionalFormatting sqref="I84">
    <cfRule type="duplicateValues" dxfId="3271" priority="136"/>
  </conditionalFormatting>
  <conditionalFormatting sqref="I86">
    <cfRule type="duplicateValues" dxfId="3270" priority="112"/>
  </conditionalFormatting>
  <conditionalFormatting sqref="I87">
    <cfRule type="duplicateValues" dxfId="3269" priority="50"/>
  </conditionalFormatting>
  <conditionalFormatting sqref="I89">
    <cfRule type="duplicateValues" dxfId="3268" priority="33"/>
  </conditionalFormatting>
  <conditionalFormatting sqref="I90">
    <cfRule type="duplicateValues" dxfId="3267" priority="59"/>
  </conditionalFormatting>
  <conditionalFormatting sqref="I91">
    <cfRule type="duplicateValues" dxfId="3266" priority="69"/>
  </conditionalFormatting>
  <conditionalFormatting sqref="I92">
    <cfRule type="duplicateValues" dxfId="3265" priority="81"/>
  </conditionalFormatting>
  <conditionalFormatting sqref="I93">
    <cfRule type="duplicateValues" dxfId="3264" priority="129"/>
  </conditionalFormatting>
  <conditionalFormatting sqref="I94">
    <cfRule type="duplicateValues" dxfId="3263" priority="43"/>
  </conditionalFormatting>
  <conditionalFormatting sqref="I96">
    <cfRule type="duplicateValues" dxfId="3262" priority="49"/>
  </conditionalFormatting>
  <conditionalFormatting sqref="I97">
    <cfRule type="duplicateValues" dxfId="3261" priority="101"/>
  </conditionalFormatting>
  <conditionalFormatting sqref="I98">
    <cfRule type="duplicateValues" dxfId="3260" priority="111"/>
  </conditionalFormatting>
  <conditionalFormatting sqref="I99">
    <cfRule type="duplicateValues" dxfId="3259" priority="90"/>
  </conditionalFormatting>
  <conditionalFormatting sqref="I100">
    <cfRule type="duplicateValues" dxfId="3258" priority="120"/>
  </conditionalFormatting>
  <conditionalFormatting sqref="I103">
    <cfRule type="duplicateValues" dxfId="3257" priority="80"/>
  </conditionalFormatting>
  <conditionalFormatting sqref="I104">
    <cfRule type="duplicateValues" dxfId="3256" priority="89"/>
  </conditionalFormatting>
  <conditionalFormatting sqref="I105">
    <cfRule type="duplicateValues" dxfId="3255" priority="100"/>
  </conditionalFormatting>
  <conditionalFormatting sqref="I106">
    <cfRule type="duplicateValues" dxfId="3254" priority="135"/>
  </conditionalFormatting>
  <conditionalFormatting sqref="I107">
    <cfRule type="duplicateValues" dxfId="3253" priority="110"/>
  </conditionalFormatting>
  <conditionalFormatting sqref="I110">
    <cfRule type="duplicateValues" dxfId="3252" priority="128"/>
  </conditionalFormatting>
  <conditionalFormatting sqref="I111">
    <cfRule type="duplicateValues" dxfId="3251" priority="48"/>
  </conditionalFormatting>
  <conditionalFormatting sqref="I112">
    <cfRule type="duplicateValues" dxfId="3250" priority="42"/>
  </conditionalFormatting>
  <conditionalFormatting sqref="I113">
    <cfRule type="duplicateValues" dxfId="3249" priority="32"/>
  </conditionalFormatting>
  <conditionalFormatting sqref="I114">
    <cfRule type="duplicateValues" dxfId="3248" priority="58"/>
  </conditionalFormatting>
  <conditionalFormatting sqref="I115">
    <cfRule type="duplicateValues" dxfId="3247" priority="68"/>
  </conditionalFormatting>
  <conditionalFormatting sqref="I117">
    <cfRule type="duplicateValues" dxfId="3246" priority="119"/>
  </conditionalFormatting>
  <conditionalFormatting sqref="I118">
    <cfRule type="duplicateValues" dxfId="3245" priority="27"/>
  </conditionalFormatting>
  <conditionalFormatting sqref="I119">
    <cfRule type="duplicateValues" dxfId="3244" priority="79"/>
  </conditionalFormatting>
  <conditionalFormatting sqref="I120">
    <cfRule type="duplicateValues" dxfId="3243" priority="109"/>
  </conditionalFormatting>
  <conditionalFormatting sqref="I121">
    <cfRule type="duplicateValues" dxfId="3242" priority="88"/>
  </conditionalFormatting>
  <conditionalFormatting sqref="I122">
    <cfRule type="duplicateValues" dxfId="3241" priority="99"/>
  </conditionalFormatting>
  <conditionalFormatting sqref="I124">
    <cfRule type="duplicateValues" dxfId="3240" priority="118"/>
  </conditionalFormatting>
  <conditionalFormatting sqref="I125">
    <cfRule type="duplicateValues" dxfId="3239" priority="57"/>
  </conditionalFormatting>
  <conditionalFormatting sqref="I126">
    <cfRule type="duplicateValues" dxfId="3238" priority="134"/>
  </conditionalFormatting>
  <conditionalFormatting sqref="I128">
    <cfRule type="duplicateValues" dxfId="3237" priority="41"/>
  </conditionalFormatting>
  <conditionalFormatting sqref="I129">
    <cfRule type="duplicateValues" dxfId="3236" priority="31"/>
  </conditionalFormatting>
  <conditionalFormatting sqref="I131">
    <cfRule type="duplicateValues" dxfId="3235" priority="98"/>
  </conditionalFormatting>
  <conditionalFormatting sqref="I132">
    <cfRule type="duplicateValues" dxfId="3234" priority="108"/>
  </conditionalFormatting>
  <conditionalFormatting sqref="I133">
    <cfRule type="duplicateValues" dxfId="3233" priority="26"/>
  </conditionalFormatting>
  <conditionalFormatting sqref="I134">
    <cfRule type="duplicateValues" dxfId="3232" priority="87"/>
  </conditionalFormatting>
  <conditionalFormatting sqref="I135">
    <cfRule type="duplicateValues" dxfId="3231" priority="67"/>
  </conditionalFormatting>
  <conditionalFormatting sqref="I136">
    <cfRule type="duplicateValues" dxfId="3230" priority="78"/>
  </conditionalFormatting>
  <conditionalFormatting sqref="I138">
    <cfRule type="duplicateValues" dxfId="3229" priority="107"/>
  </conditionalFormatting>
  <conditionalFormatting sqref="I139">
    <cfRule type="duplicateValues" dxfId="3228" priority="40"/>
  </conditionalFormatting>
  <conditionalFormatting sqref="I140">
    <cfRule type="duplicateValues" dxfId="3227" priority="30"/>
  </conditionalFormatting>
  <conditionalFormatting sqref="I141">
    <cfRule type="duplicateValues" dxfId="3226" priority="117"/>
  </conditionalFormatting>
  <conditionalFormatting sqref="I143">
    <cfRule type="duplicateValues" dxfId="3225" priority="47"/>
  </conditionalFormatting>
  <conditionalFormatting sqref="I145">
    <cfRule type="duplicateValues" dxfId="3224" priority="77"/>
  </conditionalFormatting>
  <conditionalFormatting sqref="I146">
    <cfRule type="duplicateValues" dxfId="3223" priority="86"/>
  </conditionalFormatting>
  <conditionalFormatting sqref="I147">
    <cfRule type="duplicateValues" dxfId="3222" priority="97"/>
  </conditionalFormatting>
  <conditionalFormatting sqref="I148">
    <cfRule type="duplicateValues" dxfId="3221" priority="66"/>
  </conditionalFormatting>
  <conditionalFormatting sqref="I149">
    <cfRule type="duplicateValues" dxfId="3220" priority="127"/>
  </conditionalFormatting>
  <conditionalFormatting sqref="I150">
    <cfRule type="duplicateValues" dxfId="3219" priority="56"/>
  </conditionalFormatting>
  <conditionalFormatting sqref="I152">
    <cfRule type="duplicateValues" dxfId="3218" priority="96"/>
  </conditionalFormatting>
  <conditionalFormatting sqref="I153">
    <cfRule type="duplicateValues" dxfId="3217" priority="133"/>
  </conditionalFormatting>
  <conditionalFormatting sqref="I155">
    <cfRule type="duplicateValues" dxfId="3216" priority="106"/>
  </conditionalFormatting>
  <conditionalFormatting sqref="I156">
    <cfRule type="duplicateValues" dxfId="3215" priority="116"/>
  </conditionalFormatting>
  <conditionalFormatting sqref="I157">
    <cfRule type="duplicateValues" dxfId="3214" priority="39"/>
  </conditionalFormatting>
  <conditionalFormatting sqref="I159">
    <cfRule type="duplicateValues" dxfId="3213" priority="55"/>
  </conditionalFormatting>
  <conditionalFormatting sqref="I160">
    <cfRule type="duplicateValues" dxfId="3212" priority="65"/>
  </conditionalFormatting>
  <conditionalFormatting sqref="I161">
    <cfRule type="duplicateValues" dxfId="3211" priority="76"/>
  </conditionalFormatting>
  <conditionalFormatting sqref="I162">
    <cfRule type="duplicateValues" dxfId="3210" priority="85"/>
  </conditionalFormatting>
  <conditionalFormatting sqref="I163">
    <cfRule type="duplicateValues" dxfId="3209" priority="29"/>
  </conditionalFormatting>
  <conditionalFormatting sqref="I164">
    <cfRule type="duplicateValues" dxfId="3208" priority="126"/>
  </conditionalFormatting>
  <conditionalFormatting sqref="I167">
    <cfRule type="duplicateValues" dxfId="3207" priority="105"/>
  </conditionalFormatting>
  <conditionalFormatting sqref="I168">
    <cfRule type="duplicateValues" dxfId="3206" priority="115"/>
  </conditionalFormatting>
  <conditionalFormatting sqref="I169">
    <cfRule type="duplicateValues" dxfId="3205" priority="95"/>
  </conditionalFormatting>
  <conditionalFormatting sqref="I170">
    <cfRule type="duplicateValues" dxfId="3204" priority="132"/>
  </conditionalFormatting>
  <conditionalFormatting sqref="I171">
    <cfRule type="duplicateValues" dxfId="3203" priority="46"/>
  </conditionalFormatting>
  <conditionalFormatting sqref="I173">
    <cfRule type="duplicateValues" dxfId="3202" priority="38"/>
  </conditionalFormatting>
  <conditionalFormatting sqref="I174">
    <cfRule type="duplicateValues" dxfId="3201" priority="28"/>
  </conditionalFormatting>
  <conditionalFormatting sqref="I175">
    <cfRule type="duplicateValues" dxfId="3200" priority="54"/>
  </conditionalFormatting>
  <conditionalFormatting sqref="I176">
    <cfRule type="duplicateValues" dxfId="3199" priority="64"/>
  </conditionalFormatting>
  <conditionalFormatting sqref="I177">
    <cfRule type="duplicateValues" dxfId="3198" priority="75"/>
  </conditionalFormatting>
  <conditionalFormatting sqref="I178">
    <cfRule type="duplicateValues" dxfId="3197" priority="125"/>
  </conditionalFormatting>
  <conditionalFormatting sqref="I26:I31">
    <cfRule type="duplicateValues" dxfId="3196" priority="25"/>
  </conditionalFormatting>
  <conditionalFormatting sqref="F26">
    <cfRule type="duplicateValues" dxfId="3195" priority="24"/>
  </conditionalFormatting>
  <conditionalFormatting sqref="H34">
    <cfRule type="duplicateValues" dxfId="3194" priority="23"/>
  </conditionalFormatting>
  <conditionalFormatting sqref="H43">
    <cfRule type="duplicateValues" dxfId="3193" priority="22"/>
  </conditionalFormatting>
  <conditionalFormatting sqref="F48">
    <cfRule type="duplicateValues" dxfId="3192" priority="21"/>
  </conditionalFormatting>
  <conditionalFormatting sqref="H59">
    <cfRule type="duplicateValues" dxfId="3191" priority="20"/>
  </conditionalFormatting>
  <conditionalFormatting sqref="F62">
    <cfRule type="duplicateValues" dxfId="3190" priority="19"/>
  </conditionalFormatting>
  <conditionalFormatting sqref="H71">
    <cfRule type="duplicateValues" dxfId="3189" priority="18"/>
  </conditionalFormatting>
  <conditionalFormatting sqref="F75">
    <cfRule type="duplicateValues" dxfId="3188" priority="17"/>
  </conditionalFormatting>
  <conditionalFormatting sqref="H85">
    <cfRule type="duplicateValues" dxfId="3187" priority="16"/>
  </conditionalFormatting>
  <conditionalFormatting sqref="F89">
    <cfRule type="duplicateValues" dxfId="3186" priority="15"/>
  </conditionalFormatting>
  <conditionalFormatting sqref="H101">
    <cfRule type="duplicateValues" dxfId="3185" priority="14"/>
  </conditionalFormatting>
  <conditionalFormatting sqref="H108">
    <cfRule type="duplicateValues" dxfId="3184" priority="13"/>
  </conditionalFormatting>
  <conditionalFormatting sqref="F110">
    <cfRule type="duplicateValues" dxfId="3183" priority="12"/>
  </conditionalFormatting>
  <conditionalFormatting sqref="F118">
    <cfRule type="duplicateValues" dxfId="3182" priority="11"/>
  </conditionalFormatting>
  <conditionalFormatting sqref="H127">
    <cfRule type="duplicateValues" dxfId="3181" priority="10"/>
  </conditionalFormatting>
  <conditionalFormatting sqref="F132">
    <cfRule type="duplicateValues" dxfId="3180" priority="9"/>
  </conditionalFormatting>
  <conditionalFormatting sqref="H142">
    <cfRule type="duplicateValues" dxfId="3179" priority="8"/>
  </conditionalFormatting>
  <conditionalFormatting sqref="F146">
    <cfRule type="duplicateValues" dxfId="3178" priority="7"/>
  </conditionalFormatting>
  <conditionalFormatting sqref="H154">
    <cfRule type="duplicateValues" dxfId="3177" priority="6"/>
  </conditionalFormatting>
  <conditionalFormatting sqref="F159">
    <cfRule type="duplicateValues" dxfId="3176" priority="5"/>
  </conditionalFormatting>
  <conditionalFormatting sqref="H166">
    <cfRule type="duplicateValues" dxfId="3175" priority="4"/>
  </conditionalFormatting>
  <conditionalFormatting sqref="F173">
    <cfRule type="duplicateValues" dxfId="3174" priority="3"/>
  </conditionalFormatting>
  <conditionalFormatting sqref="F26:F178">
    <cfRule type="containsText" dxfId="3173" priority="2" operator="containsText" text="sefton">
      <formula>NOT(ISERROR(SEARCH("sefton",F26)))</formula>
    </cfRule>
  </conditionalFormatting>
  <conditionalFormatting sqref="F1:I1048576">
    <cfRule type="containsText" dxfId="3172" priority="1" operator="containsText" text="cODE">
      <formula>NOT(ISERROR(SEARCH("cODE",F1)))</formula>
    </cfRule>
  </conditionalFormatting>
  <hyperlinks>
    <hyperlink ref="K3" location="Contents!A1" display="Back to Contents" xr:uid="{B93C639D-640D-4679-AE20-E3653DEF6FD3}"/>
    <hyperlink ref="K5:K6" location="'All Fixtures'!A1" display="See all NW Fixtures" xr:uid="{7D07BE3D-AE51-472E-8CA1-246BFC31D4D3}"/>
  </hyperlinks>
  <pageMargins left="0.7" right="0.7" top="0.75" bottom="0.75" header="0.3" footer="0.3"/>
  <ignoredErrors>
    <ignoredError sqref="J10:J21" formula="1"/>
  </ignoredError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D1C91-3A77-46B7-8117-44209C8FCF50}">
  <dimension ref="A2:AQ178"/>
  <sheetViews>
    <sheetView workbookViewId="0"/>
  </sheetViews>
  <sheetFormatPr defaultRowHeight="14.4" x14ac:dyDescent="0.3"/>
  <cols>
    <col min="1" max="1" width="3.77734375" style="47" customWidth="1"/>
    <col min="2" max="2" width="35.88671875" style="3" customWidth="1"/>
    <col min="3" max="3" width="26.44140625" style="3" customWidth="1"/>
    <col min="4" max="4" width="32.109375" style="3" customWidth="1"/>
    <col min="5" max="5" width="14.88671875" style="3" customWidth="1"/>
    <col min="6" max="6" width="34.33203125" style="3" customWidth="1"/>
    <col min="7" max="7" width="8.5546875" style="4" customWidth="1"/>
    <col min="8" max="8" width="32.44140625" style="3" customWidth="1"/>
    <col min="9" max="9" width="8.88671875" style="4"/>
    <col min="10" max="10" width="8.88671875" style="3"/>
    <col min="11" max="11" width="17.441406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593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>
      <c r="C7" s="59"/>
      <c r="D7" s="59"/>
      <c r="E7" s="59"/>
      <c r="F7" s="59"/>
      <c r="G7" s="15"/>
      <c r="H7" s="59"/>
    </row>
    <row r="8" spans="1:12" ht="15" customHeight="1" x14ac:dyDescent="0.7">
      <c r="B8" s="16"/>
      <c r="C8" s="59"/>
      <c r="D8" s="59"/>
      <c r="E8" s="59"/>
      <c r="F8" s="59"/>
      <c r="G8" s="15"/>
      <c r="H8" s="59"/>
    </row>
    <row r="9" spans="1:12" ht="15" customHeight="1" x14ac:dyDescent="0.4"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196">
        <f>COUNTIF(F$26:H$178,"Bolton Development (W)")</f>
        <v>22</v>
      </c>
      <c r="B10" s="193" t="s">
        <v>459</v>
      </c>
      <c r="C10" s="194">
        <v>3211101</v>
      </c>
      <c r="D10" s="57">
        <f>COUNTIF(I$26:K$178,"3211101")</f>
        <v>11</v>
      </c>
      <c r="E10" s="59"/>
      <c r="F10" s="57">
        <f>COUNTIF(F$26:F$178,"Bolton Development (W)")</f>
        <v>11</v>
      </c>
      <c r="G10" s="57"/>
      <c r="H10" s="57">
        <f>COUNTIF(H$26:H$178,"Bolton Development (W)")</f>
        <v>11</v>
      </c>
      <c r="I10" s="57">
        <f>COUNTIF(F$26:F$101,"Bolton Development (W)")</f>
        <v>6</v>
      </c>
      <c r="J10" s="57">
        <f>COUNTIF(F$102:F$178,"Bolton Development (W)")</f>
        <v>5</v>
      </c>
      <c r="K10" s="57">
        <f>COUNTIF(H$26:H$101,"Bolton Development (W)")</f>
        <v>5</v>
      </c>
      <c r="L10" s="57">
        <f>COUNTIF(H$102:H$178,"Bolton Development (W)")</f>
        <v>6</v>
      </c>
    </row>
    <row r="11" spans="1:12" ht="15" customHeight="1" x14ac:dyDescent="0.3">
      <c r="A11" s="196">
        <f>COUNTIF(F$26:H$178,"Bowdon Development (W)")</f>
        <v>22</v>
      </c>
      <c r="B11" s="195" t="s">
        <v>628</v>
      </c>
      <c r="C11" s="191" t="s">
        <v>642</v>
      </c>
      <c r="D11" s="57">
        <f>COUNTIF(I$26:K$178,"Code BN")</f>
        <v>11</v>
      </c>
      <c r="E11" s="59"/>
      <c r="F11" s="57">
        <f>COUNTIF(F$26:F$178,"Bowdon Development (W)")</f>
        <v>11</v>
      </c>
      <c r="G11" s="57"/>
      <c r="H11" s="57">
        <f>COUNTIF(H$26:H$178,"Bowdon Development (W)")</f>
        <v>11</v>
      </c>
      <c r="I11" s="57">
        <f>COUNTIF(F$26:F$101,"Bowdon Development (W)")</f>
        <v>5</v>
      </c>
      <c r="J11" s="57">
        <f>COUNTIF(F$102:F$178,"Bowdon Development (W)")</f>
        <v>6</v>
      </c>
      <c r="K11" s="57">
        <f>COUNTIF(H$26:H$101,"Bowdon Development (W)")</f>
        <v>6</v>
      </c>
      <c r="L11" s="57">
        <f>COUNTIF(H$102:H$178,"Bowdon Development (W)")</f>
        <v>5</v>
      </c>
    </row>
    <row r="12" spans="1:12" ht="15" customHeight="1" x14ac:dyDescent="0.3">
      <c r="A12" s="196">
        <f>COUNTIF(F$26:H$178,"Brooklands-Poynton Development (W)")</f>
        <v>22</v>
      </c>
      <c r="B12" s="195" t="s">
        <v>640</v>
      </c>
      <c r="C12" s="198">
        <v>3210102</v>
      </c>
      <c r="D12" s="57">
        <f>COUNTIF(I$26:K$178,"3210102")</f>
        <v>11</v>
      </c>
      <c r="E12" s="59"/>
      <c r="F12" s="57">
        <f>COUNTIF(F$26:F$178,"Brooklands-Poynton Development (W)")</f>
        <v>11</v>
      </c>
      <c r="G12" s="15"/>
      <c r="H12" s="57">
        <f>COUNTIF(H$26:H$178,"Brooklands-Poynton Development (W)")</f>
        <v>11</v>
      </c>
      <c r="I12" s="57">
        <f>COUNTIF(F$26:F$101,"Brooklands-Poynton Development (W)")</f>
        <v>6</v>
      </c>
      <c r="J12" s="57">
        <f>COUNTIF(F$102:F$178,"Brooklands-Poynton Development (W)")</f>
        <v>5</v>
      </c>
      <c r="K12" s="57">
        <f>COUNTIF(H$26:H$101,"Brooklands-Poynton Development (W)")</f>
        <v>5</v>
      </c>
      <c r="L12" s="57">
        <f>COUNTIF(H$102:H$178,"Brooklands-Poynton Development (W)")</f>
        <v>6</v>
      </c>
    </row>
    <row r="13" spans="1:12" ht="15" customHeight="1" x14ac:dyDescent="0.3">
      <c r="A13" s="196">
        <f>COUNTIF(F$26:H$178,"Bye")</f>
        <v>22</v>
      </c>
      <c r="B13" s="195" t="s">
        <v>570</v>
      </c>
      <c r="C13" s="191" t="s">
        <v>556</v>
      </c>
      <c r="D13" s="57">
        <f>COUNTIF(I$26:K$178,"Code")</f>
        <v>11</v>
      </c>
      <c r="E13" s="59"/>
      <c r="F13" s="57">
        <f>COUNTIF(F$26:F$178,"Bye")</f>
        <v>11</v>
      </c>
      <c r="G13" s="57"/>
      <c r="H13" s="57">
        <f>COUNTIF(H$26:H$178,"Bye")</f>
        <v>11</v>
      </c>
      <c r="I13" s="57">
        <f>COUNTIF(F$26:F$101,"Bye")</f>
        <v>5</v>
      </c>
      <c r="J13" s="57">
        <f>COUNTIF(F$102:F$178,"Bye")</f>
        <v>6</v>
      </c>
      <c r="K13" s="57">
        <f>COUNTIF(H$26:H$101,"Bye")</f>
        <v>6</v>
      </c>
      <c r="L13" s="57">
        <f>COUNTIF(H$102:H$178,"Bye")</f>
        <v>5</v>
      </c>
    </row>
    <row r="14" spans="1:12" ht="15" customHeight="1" x14ac:dyDescent="0.3">
      <c r="A14" s="196">
        <f>COUNTIF(F$26:H$178,"City of Manchester Development (W)")</f>
        <v>22</v>
      </c>
      <c r="B14" s="193" t="s">
        <v>639</v>
      </c>
      <c r="C14" s="198">
        <v>3776805</v>
      </c>
      <c r="D14" s="57">
        <f>COUNTIF(I$26:K$178,"3776805")</f>
        <v>11</v>
      </c>
      <c r="E14" s="59"/>
      <c r="F14" s="57">
        <f>COUNTIF(F$26:F$178,"City of Manchester Development (W)")</f>
        <v>11</v>
      </c>
      <c r="G14" s="57"/>
      <c r="H14" s="57">
        <f>COUNTIF(H$26:H$178,"City of Manchester Development (W)")</f>
        <v>11</v>
      </c>
      <c r="I14" s="57">
        <f>COUNTIF(F$26:F$101,"City of Manchester Development (W)")</f>
        <v>6</v>
      </c>
      <c r="J14" s="57">
        <f>COUNTIF(F$102:F$178,"City of Manchester Development (W)")</f>
        <v>5</v>
      </c>
      <c r="K14" s="57">
        <f>COUNTIF(H$26:H$101,"City of Manchester Development (W)")</f>
        <v>5</v>
      </c>
      <c r="L14" s="57">
        <f>COUNTIF(H$102:H$178,"City of Manchester Development (W)")</f>
        <v>6</v>
      </c>
    </row>
    <row r="15" spans="1:12" ht="15" customHeight="1" x14ac:dyDescent="0.3">
      <c r="A15" s="196">
        <f>COUNTIF(F$26:H$178,"Didsbury Greys 4 (W)")</f>
        <v>22</v>
      </c>
      <c r="B15" s="195" t="s">
        <v>629</v>
      </c>
      <c r="C15" s="198">
        <v>3961708</v>
      </c>
      <c r="D15" s="57">
        <f>COUNTIF(I$26:K$178,"3961708")</f>
        <v>11</v>
      </c>
      <c r="E15" s="59"/>
      <c r="F15" s="57">
        <f>COUNTIF(F$26:F$178,"Didsbury Greys 4 (W)")</f>
        <v>11</v>
      </c>
      <c r="G15" s="57"/>
      <c r="H15" s="57">
        <f>COUNTIF(H$26:H$178,"Didsbury Greys 4 (W)")</f>
        <v>11</v>
      </c>
      <c r="I15" s="57">
        <f>COUNTIF(F$26:F$101,"Didsbury Greys 4 (W)")</f>
        <v>6</v>
      </c>
      <c r="J15" s="57">
        <f>COUNTIF(F$102:F$178,"Didsbury Greys 4 (W)")</f>
        <v>5</v>
      </c>
      <c r="K15" s="57">
        <f>COUNTIF(H$26:H$101,"Didsbury Greys 4 (W)")</f>
        <v>5</v>
      </c>
      <c r="L15" s="57">
        <f>COUNTIF(H$102:H$178,"Didsbury Greys 4 (W)")</f>
        <v>6</v>
      </c>
    </row>
    <row r="16" spans="1:12" ht="15" customHeight="1" x14ac:dyDescent="0.3">
      <c r="A16" s="196">
        <f>COUNTIF(F$26:H$178,"Didsbury Northern 7 (W)")</f>
        <v>22</v>
      </c>
      <c r="B16" s="195" t="s">
        <v>630</v>
      </c>
      <c r="C16" s="198">
        <v>3206308</v>
      </c>
      <c r="D16" s="57">
        <f>COUNTIF(I$26:K$178,"3206308")</f>
        <v>11</v>
      </c>
      <c r="E16" s="59"/>
      <c r="F16" s="57">
        <f>COUNTIF(F$26:F$178,"Didsbury Northern 7 (W)")</f>
        <v>11</v>
      </c>
      <c r="G16" s="57"/>
      <c r="H16" s="57">
        <f>COUNTIF(H$26:H$178,"Didsbury Northern 7 (W)")</f>
        <v>11</v>
      </c>
      <c r="I16" s="57">
        <f>COUNTIF(F$26:F$101,"Didsbury Northern 7 (W)")</f>
        <v>6</v>
      </c>
      <c r="J16" s="57">
        <f>COUNTIF(F$102:F$178,"Didsbury Northern 7 (W)")</f>
        <v>5</v>
      </c>
      <c r="K16" s="57">
        <f>COUNTIF(H$26:H$101,"Didsbury Northern 7 (W)")</f>
        <v>5</v>
      </c>
      <c r="L16" s="57">
        <f>COUNTIF(H$102:H$178,"Didsbury Northern 7 (W)")</f>
        <v>6</v>
      </c>
    </row>
    <row r="17" spans="1:12" ht="15" customHeight="1" x14ac:dyDescent="0.3">
      <c r="A17" s="196">
        <f>COUNTIF(F$26:H$178,"Horwich 2 (W)")</f>
        <v>22</v>
      </c>
      <c r="B17" s="195" t="s">
        <v>631</v>
      </c>
      <c r="C17" s="198">
        <v>4023209</v>
      </c>
      <c r="D17" s="57">
        <f>COUNTIF(I$26:K$178,"4023209")</f>
        <v>11</v>
      </c>
      <c r="E17" s="59"/>
      <c r="F17" s="57">
        <f>COUNTIF(F$26:F$178,"Horwich 2 (W)")</f>
        <v>11</v>
      </c>
      <c r="G17" s="57"/>
      <c r="H17" s="57">
        <f>COUNTIF(H$26:H$178,"Horwich 2 (W)")</f>
        <v>11</v>
      </c>
      <c r="I17" s="57">
        <f>COUNTIF(F$26:F$101,"Horwich 2 (W)")</f>
        <v>6</v>
      </c>
      <c r="J17" s="57">
        <f>COUNTIF(F$102:F$178,"Horwich 2 (W)")</f>
        <v>5</v>
      </c>
      <c r="K17" s="57">
        <f>COUNTIF(H$26:H$101,"Horwich 2 (W)")</f>
        <v>5</v>
      </c>
      <c r="L17" s="57">
        <f>COUNTIF(H$102:H$178,"Horwich 2 (W)")</f>
        <v>6</v>
      </c>
    </row>
    <row r="18" spans="1:12" x14ac:dyDescent="0.3">
      <c r="A18" s="196">
        <f>COUNTIF(F$26:H$178,"Macclesfield Development (W)")</f>
        <v>22</v>
      </c>
      <c r="B18" s="195" t="s">
        <v>632</v>
      </c>
      <c r="C18" s="198">
        <v>4023303</v>
      </c>
      <c r="D18" s="57">
        <f>COUNTIF(I$26:K$178,"4023303")</f>
        <v>11</v>
      </c>
      <c r="E18" s="59"/>
      <c r="F18" s="57">
        <f>COUNTIF(F$26:F$178,"Macclesfield Development (W)")</f>
        <v>11</v>
      </c>
      <c r="G18" s="57"/>
      <c r="H18" s="57">
        <f>COUNTIF(H$26:H$178,"Macclesfield Development (W)")</f>
        <v>11</v>
      </c>
      <c r="I18" s="57">
        <f>COUNTIF(F$26:F$101,"Macclesfield Development (W)")</f>
        <v>5</v>
      </c>
      <c r="J18" s="57">
        <f>COUNTIF(F$102:F$178,"Macclesfield Development (W)")</f>
        <v>6</v>
      </c>
      <c r="K18" s="57">
        <f>COUNTIF(H$26:H$101,"Macclesfield Development (W)")</f>
        <v>6</v>
      </c>
      <c r="L18" s="57">
        <f>COUNTIF(H$102:H$178,"Macclesfield Development (W)")</f>
        <v>5</v>
      </c>
    </row>
    <row r="19" spans="1:12" x14ac:dyDescent="0.3">
      <c r="A19" s="196">
        <f>COUNTIF(F$26:H$178,"Stockport Bramhall Development (W)")</f>
        <v>22</v>
      </c>
      <c r="B19" s="193" t="s">
        <v>396</v>
      </c>
      <c r="C19" s="194">
        <v>3197104</v>
      </c>
      <c r="D19" s="57">
        <f>COUNTIF(I$26:K$178,"3197104")</f>
        <v>11</v>
      </c>
      <c r="E19" s="59"/>
      <c r="F19" s="57">
        <f>COUNTIF(F$26:F$178,"Stockport Bramhall Development (W)")</f>
        <v>11</v>
      </c>
      <c r="G19" s="57"/>
      <c r="H19" s="57">
        <f>COUNTIF(H$26:H$178,"Stockport Bramhall Development (W)")</f>
        <v>11</v>
      </c>
      <c r="I19" s="57">
        <f>COUNTIF(F$26:F$101,"Stockport Bramhall Development (W)")</f>
        <v>5</v>
      </c>
      <c r="J19" s="57">
        <f>COUNTIF(F$102:F$178,"Stockport Bramhall Development (W)")</f>
        <v>6</v>
      </c>
      <c r="K19" s="57">
        <f>COUNTIF(H$26:H$101,"Stockport Bramhall Development (W)")</f>
        <v>6</v>
      </c>
      <c r="L19" s="57">
        <f>COUNTIF(H$102:H$178,"Stockport Bramhall Development (W)")</f>
        <v>5</v>
      </c>
    </row>
    <row r="20" spans="1:12" x14ac:dyDescent="0.3">
      <c r="A20" s="196">
        <f>COUNTIF(F$26:H$178,"Urmston Development (W)")</f>
        <v>22</v>
      </c>
      <c r="B20" s="193" t="s">
        <v>397</v>
      </c>
      <c r="C20" s="194">
        <v>3195908</v>
      </c>
      <c r="D20" s="57">
        <f>COUNTIF(I$26:K$178,"3195908")</f>
        <v>11</v>
      </c>
      <c r="E20" s="59"/>
      <c r="F20" s="57">
        <f>COUNTIF(F$26:F$178,"Urmston Development (W)")</f>
        <v>11</v>
      </c>
      <c r="G20" s="57"/>
      <c r="H20" s="57">
        <f>COUNTIF(H$26:H$178,"Urmston Development (W)")</f>
        <v>11</v>
      </c>
      <c r="I20" s="57">
        <f>COUNTIF(F$26:F$101,"Urmston Development (W)")</f>
        <v>5</v>
      </c>
      <c r="J20" s="57">
        <f>COUNTIF(F$102:F$178,"Urmston Development (W)")</f>
        <v>6</v>
      </c>
      <c r="K20" s="57">
        <f>COUNTIF(H$26:H$101,"Urmston Development (W)")</f>
        <v>6</v>
      </c>
      <c r="L20" s="57">
        <f>COUNTIF(H$102:H$178,"Urmston Development (W)")</f>
        <v>5</v>
      </c>
    </row>
    <row r="21" spans="1:12" x14ac:dyDescent="0.3">
      <c r="A21" s="196">
        <f>COUNTIF(F$26:H$178,"Wigan Development (W)")</f>
        <v>22</v>
      </c>
      <c r="B21" s="195" t="s">
        <v>633</v>
      </c>
      <c r="C21" s="194">
        <v>3194607</v>
      </c>
      <c r="D21" s="57">
        <f>COUNTIF(I$26:K$178,"3194607")</f>
        <v>11</v>
      </c>
      <c r="E21" s="59"/>
      <c r="F21" s="57">
        <f>COUNTIF(F$26:F$178,"Wigan Development (W)")</f>
        <v>11</v>
      </c>
      <c r="G21" s="57"/>
      <c r="H21" s="57">
        <f>COUNTIF(H$26:H$178,"Wigan Development (W)")</f>
        <v>11</v>
      </c>
      <c r="I21" s="57">
        <f>COUNTIF(F$26:F$101,"Wigan Development (W)")</f>
        <v>5</v>
      </c>
      <c r="J21" s="57">
        <f>COUNTIF(F$102:F$178,"Wigan Development (W)")</f>
        <v>6</v>
      </c>
      <c r="K21" s="57">
        <f>COUNTIF(H$26:H$101,"Wigan Development (W)")</f>
        <v>6</v>
      </c>
      <c r="L21" s="57">
        <f>COUNTIF(H$102:H$178,"Wigan Development (W)")</f>
        <v>5</v>
      </c>
    </row>
    <row r="22" spans="1:12" x14ac:dyDescent="0.3">
      <c r="A22" s="196"/>
      <c r="B22" s="193"/>
      <c r="C22" s="201"/>
      <c r="D22" s="59"/>
      <c r="E22" s="59"/>
      <c r="F22" s="59"/>
      <c r="G22" s="15"/>
      <c r="H22" s="59"/>
    </row>
    <row r="23" spans="1:12" ht="21" x14ac:dyDescent="0.4">
      <c r="B23" s="22" t="s">
        <v>93</v>
      </c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</row>
    <row r="25" spans="1:12" x14ac:dyDescent="0.3">
      <c r="B25" s="40"/>
      <c r="C25" s="14"/>
      <c r="D25" s="14"/>
      <c r="E25" s="14"/>
      <c r="F25" s="14"/>
      <c r="G25" s="14"/>
      <c r="H25" s="13"/>
      <c r="I25" s="14"/>
    </row>
    <row r="26" spans="1:12" s="3" customFormat="1" x14ac:dyDescent="0.3">
      <c r="A26" s="47"/>
      <c r="B26" s="44">
        <v>45913</v>
      </c>
      <c r="C26" s="3" t="s">
        <v>416</v>
      </c>
      <c r="D26" s="3" t="s">
        <v>593</v>
      </c>
      <c r="E26" s="101"/>
      <c r="F26" s="15" t="s">
        <v>570</v>
      </c>
      <c r="G26" s="74" t="s">
        <v>556</v>
      </c>
      <c r="H26" s="4" t="s">
        <v>628</v>
      </c>
      <c r="I26" s="4" t="s">
        <v>642</v>
      </c>
      <c r="K26" s="51"/>
    </row>
    <row r="27" spans="1:12" s="3" customFormat="1" x14ac:dyDescent="0.3">
      <c r="A27" s="47"/>
      <c r="B27" s="44">
        <v>45913</v>
      </c>
      <c r="C27" s="3" t="s">
        <v>416</v>
      </c>
      <c r="D27" s="3" t="s">
        <v>593</v>
      </c>
      <c r="E27" s="101"/>
      <c r="F27" s="3" t="s">
        <v>631</v>
      </c>
      <c r="G27" s="4">
        <v>4023209</v>
      </c>
      <c r="H27" s="4" t="s">
        <v>459</v>
      </c>
      <c r="I27" s="4">
        <v>3211101</v>
      </c>
      <c r="K27" s="51"/>
    </row>
    <row r="28" spans="1:12" s="3" customFormat="1" x14ac:dyDescent="0.3">
      <c r="A28" s="47"/>
      <c r="B28" s="44">
        <v>45913</v>
      </c>
      <c r="C28" s="3" t="s">
        <v>416</v>
      </c>
      <c r="D28" s="3" t="s">
        <v>593</v>
      </c>
      <c r="E28" s="101"/>
      <c r="F28" s="3" t="s">
        <v>630</v>
      </c>
      <c r="G28" s="4">
        <v>3206308</v>
      </c>
      <c r="H28" s="4" t="s">
        <v>397</v>
      </c>
      <c r="I28" s="4">
        <v>3195908</v>
      </c>
      <c r="K28" s="51"/>
    </row>
    <row r="29" spans="1:12" s="3" customFormat="1" x14ac:dyDescent="0.3">
      <c r="A29" s="47"/>
      <c r="B29" s="44">
        <v>45913</v>
      </c>
      <c r="C29" s="3" t="s">
        <v>416</v>
      </c>
      <c r="D29" s="3" t="s">
        <v>593</v>
      </c>
      <c r="E29" s="101"/>
      <c r="F29" s="3" t="s">
        <v>640</v>
      </c>
      <c r="G29" s="4">
        <v>3210102</v>
      </c>
      <c r="H29" s="4" t="s">
        <v>396</v>
      </c>
      <c r="I29" s="4">
        <v>3197104</v>
      </c>
      <c r="K29" s="51"/>
    </row>
    <row r="30" spans="1:12" s="3" customFormat="1" x14ac:dyDescent="0.3">
      <c r="A30" s="47"/>
      <c r="B30" s="44">
        <v>45913</v>
      </c>
      <c r="C30" s="3" t="s">
        <v>416</v>
      </c>
      <c r="D30" s="3" t="s">
        <v>593</v>
      </c>
      <c r="E30" s="101"/>
      <c r="F30" s="3" t="s">
        <v>629</v>
      </c>
      <c r="G30" s="4">
        <v>3961708</v>
      </c>
      <c r="H30" s="4" t="s">
        <v>632</v>
      </c>
      <c r="I30" s="4">
        <v>4023303</v>
      </c>
      <c r="K30" s="51"/>
    </row>
    <row r="31" spans="1:12" s="3" customFormat="1" x14ac:dyDescent="0.3">
      <c r="A31" s="47"/>
      <c r="B31" s="44">
        <v>45913</v>
      </c>
      <c r="C31" s="3" t="s">
        <v>416</v>
      </c>
      <c r="D31" s="3" t="s">
        <v>593</v>
      </c>
      <c r="E31" s="101"/>
      <c r="F31" s="3" t="s">
        <v>639</v>
      </c>
      <c r="G31" s="4">
        <v>3776805</v>
      </c>
      <c r="H31" s="4" t="s">
        <v>633</v>
      </c>
      <c r="I31" s="4">
        <v>3194607</v>
      </c>
      <c r="K31" s="51"/>
    </row>
    <row r="32" spans="1:12" s="3" customFormat="1" x14ac:dyDescent="0.3">
      <c r="A32" s="47"/>
      <c r="B32" s="4"/>
      <c r="E32" s="101"/>
      <c r="F32" s="3" t="s">
        <v>418</v>
      </c>
      <c r="G32" s="4" t="s">
        <v>418</v>
      </c>
      <c r="H32" s="4" t="s">
        <v>418</v>
      </c>
      <c r="I32" s="4" t="s">
        <v>418</v>
      </c>
      <c r="K32" s="51"/>
    </row>
    <row r="33" spans="1:11" s="3" customFormat="1" x14ac:dyDescent="0.3">
      <c r="A33" s="47"/>
      <c r="B33" s="44">
        <v>45920</v>
      </c>
      <c r="C33" s="3" t="s">
        <v>416</v>
      </c>
      <c r="D33" s="3" t="s">
        <v>593</v>
      </c>
      <c r="E33" s="101"/>
      <c r="F33" s="3" t="s">
        <v>397</v>
      </c>
      <c r="G33" s="4">
        <v>3195908</v>
      </c>
      <c r="H33" s="4" t="s">
        <v>639</v>
      </c>
      <c r="I33" s="4">
        <v>3776805</v>
      </c>
      <c r="K33" s="51"/>
    </row>
    <row r="34" spans="1:11" s="3" customFormat="1" x14ac:dyDescent="0.3">
      <c r="A34" s="47"/>
      <c r="B34" s="44">
        <v>45920</v>
      </c>
      <c r="C34" s="3" t="s">
        <v>416</v>
      </c>
      <c r="D34" s="3" t="s">
        <v>593</v>
      </c>
      <c r="E34" s="101"/>
      <c r="F34" s="3" t="s">
        <v>459</v>
      </c>
      <c r="G34" s="4">
        <v>3211101</v>
      </c>
      <c r="H34" s="15" t="s">
        <v>570</v>
      </c>
      <c r="I34" s="74" t="s">
        <v>556</v>
      </c>
      <c r="K34" s="51"/>
    </row>
    <row r="35" spans="1:11" x14ac:dyDescent="0.3">
      <c r="B35" s="44">
        <v>45920</v>
      </c>
      <c r="C35" s="3" t="s">
        <v>416</v>
      </c>
      <c r="D35" s="3" t="s">
        <v>593</v>
      </c>
      <c r="E35" s="101"/>
      <c r="F35" s="3" t="s">
        <v>632</v>
      </c>
      <c r="G35" s="4">
        <v>4023303</v>
      </c>
      <c r="H35" s="4" t="s">
        <v>631</v>
      </c>
      <c r="I35" s="4">
        <v>4023209</v>
      </c>
    </row>
    <row r="36" spans="1:11" x14ac:dyDescent="0.3">
      <c r="B36" s="44">
        <v>45920</v>
      </c>
      <c r="C36" s="3" t="s">
        <v>416</v>
      </c>
      <c r="D36" s="3" t="s">
        <v>593</v>
      </c>
      <c r="E36" s="101"/>
      <c r="F36" s="3" t="s">
        <v>633</v>
      </c>
      <c r="G36" s="4">
        <v>3194607</v>
      </c>
      <c r="H36" s="4" t="s">
        <v>629</v>
      </c>
      <c r="I36" s="4">
        <v>3961708</v>
      </c>
    </row>
    <row r="37" spans="1:11" x14ac:dyDescent="0.3">
      <c r="B37" s="44">
        <v>45920</v>
      </c>
      <c r="C37" s="3" t="s">
        <v>416</v>
      </c>
      <c r="D37" s="3" t="s">
        <v>593</v>
      </c>
      <c r="E37" s="101"/>
      <c r="F37" s="3" t="s">
        <v>396</v>
      </c>
      <c r="G37" s="4">
        <v>3197104</v>
      </c>
      <c r="H37" s="4" t="s">
        <v>630</v>
      </c>
      <c r="I37" s="4">
        <v>3206308</v>
      </c>
    </row>
    <row r="38" spans="1:11" x14ac:dyDescent="0.3">
      <c r="B38" s="44">
        <v>45920</v>
      </c>
      <c r="C38" s="3" t="s">
        <v>416</v>
      </c>
      <c r="D38" s="3" t="s">
        <v>593</v>
      </c>
      <c r="E38" s="101"/>
      <c r="F38" s="3" t="s">
        <v>628</v>
      </c>
      <c r="G38" s="4" t="s">
        <v>642</v>
      </c>
      <c r="H38" s="4" t="s">
        <v>640</v>
      </c>
      <c r="I38" s="4">
        <v>3210102</v>
      </c>
    </row>
    <row r="39" spans="1:11" x14ac:dyDescent="0.3">
      <c r="B39" s="4"/>
      <c r="E39" s="101"/>
      <c r="F39" s="3" t="s">
        <v>418</v>
      </c>
      <c r="G39" s="4" t="s">
        <v>418</v>
      </c>
      <c r="H39" s="4" t="s">
        <v>418</v>
      </c>
      <c r="I39" s="4" t="s">
        <v>418</v>
      </c>
    </row>
    <row r="40" spans="1:11" x14ac:dyDescent="0.3">
      <c r="B40" s="44">
        <v>45927</v>
      </c>
      <c r="C40" s="3" t="s">
        <v>416</v>
      </c>
      <c r="D40" s="3" t="s">
        <v>593</v>
      </c>
      <c r="E40" s="101"/>
      <c r="F40" s="3" t="s">
        <v>459</v>
      </c>
      <c r="G40" s="4">
        <v>3211101</v>
      </c>
      <c r="H40" s="4" t="s">
        <v>632</v>
      </c>
      <c r="I40" s="4">
        <v>4023303</v>
      </c>
    </row>
    <row r="41" spans="1:11" x14ac:dyDescent="0.3">
      <c r="B41" s="44">
        <v>45927</v>
      </c>
      <c r="C41" s="3" t="s">
        <v>416</v>
      </c>
      <c r="D41" s="3" t="s">
        <v>593</v>
      </c>
      <c r="E41" s="101"/>
      <c r="F41" s="3" t="s">
        <v>631</v>
      </c>
      <c r="G41" s="4">
        <v>4023209</v>
      </c>
      <c r="H41" s="4" t="s">
        <v>633</v>
      </c>
      <c r="I41" s="4">
        <v>3194607</v>
      </c>
    </row>
    <row r="42" spans="1:11" x14ac:dyDescent="0.3">
      <c r="B42" s="44">
        <v>45927</v>
      </c>
      <c r="C42" s="3" t="s">
        <v>416</v>
      </c>
      <c r="D42" s="3" t="s">
        <v>593</v>
      </c>
      <c r="E42" s="101"/>
      <c r="F42" s="3" t="s">
        <v>630</v>
      </c>
      <c r="G42" s="4">
        <v>3206308</v>
      </c>
      <c r="H42" s="4" t="s">
        <v>628</v>
      </c>
      <c r="I42" s="4" t="s">
        <v>642</v>
      </c>
    </row>
    <row r="43" spans="1:11" x14ac:dyDescent="0.3">
      <c r="B43" s="44">
        <v>45927</v>
      </c>
      <c r="C43" s="3" t="s">
        <v>416</v>
      </c>
      <c r="D43" s="3" t="s">
        <v>593</v>
      </c>
      <c r="E43" s="101"/>
      <c r="F43" s="3" t="s">
        <v>640</v>
      </c>
      <c r="G43" s="4">
        <v>3210102</v>
      </c>
      <c r="H43" s="15" t="s">
        <v>570</v>
      </c>
      <c r="I43" s="74" t="s">
        <v>556</v>
      </c>
    </row>
    <row r="44" spans="1:11" x14ac:dyDescent="0.3">
      <c r="B44" s="44">
        <v>45927</v>
      </c>
      <c r="C44" s="3" t="s">
        <v>416</v>
      </c>
      <c r="D44" s="3" t="s">
        <v>593</v>
      </c>
      <c r="E44" s="101"/>
      <c r="F44" s="3" t="s">
        <v>629</v>
      </c>
      <c r="G44" s="4">
        <v>3961708</v>
      </c>
      <c r="H44" s="4" t="s">
        <v>397</v>
      </c>
      <c r="I44" s="4">
        <v>3195908</v>
      </c>
    </row>
    <row r="45" spans="1:11" x14ac:dyDescent="0.3">
      <c r="B45" s="44">
        <v>45927</v>
      </c>
      <c r="C45" s="3" t="s">
        <v>416</v>
      </c>
      <c r="D45" s="3" t="s">
        <v>593</v>
      </c>
      <c r="E45" s="101"/>
      <c r="F45" s="3" t="s">
        <v>639</v>
      </c>
      <c r="G45" s="4">
        <v>3776805</v>
      </c>
      <c r="H45" s="4" t="s">
        <v>396</v>
      </c>
      <c r="I45" s="4">
        <v>3197104</v>
      </c>
    </row>
    <row r="46" spans="1:11" x14ac:dyDescent="0.3">
      <c r="B46" s="4"/>
      <c r="E46" s="101"/>
      <c r="F46" s="3" t="s">
        <v>418</v>
      </c>
      <c r="G46" s="4" t="s">
        <v>418</v>
      </c>
      <c r="H46" s="4" t="s">
        <v>418</v>
      </c>
      <c r="I46" s="4" t="s">
        <v>418</v>
      </c>
    </row>
    <row r="47" spans="1:11" x14ac:dyDescent="0.3">
      <c r="B47" s="44">
        <v>45934</v>
      </c>
      <c r="C47" s="3" t="s">
        <v>416</v>
      </c>
      <c r="D47" s="3" t="s">
        <v>593</v>
      </c>
      <c r="E47" s="101"/>
      <c r="F47" s="3" t="s">
        <v>397</v>
      </c>
      <c r="G47" s="4">
        <v>3195908</v>
      </c>
      <c r="H47" s="4" t="s">
        <v>631</v>
      </c>
      <c r="I47" s="4">
        <v>4023209</v>
      </c>
    </row>
    <row r="48" spans="1:11" x14ac:dyDescent="0.3">
      <c r="B48" s="44">
        <v>45934</v>
      </c>
      <c r="C48" s="3" t="s">
        <v>416</v>
      </c>
      <c r="D48" s="3" t="s">
        <v>593</v>
      </c>
      <c r="E48" s="101"/>
      <c r="F48" s="15" t="s">
        <v>570</v>
      </c>
      <c r="G48" s="74" t="s">
        <v>556</v>
      </c>
      <c r="H48" s="4" t="s">
        <v>630</v>
      </c>
      <c r="I48" s="4">
        <v>3206308</v>
      </c>
    </row>
    <row r="49" spans="2:9" x14ac:dyDescent="0.3">
      <c r="B49" s="44">
        <v>45934</v>
      </c>
      <c r="C49" s="3" t="s">
        <v>416</v>
      </c>
      <c r="D49" s="3" t="s">
        <v>593</v>
      </c>
      <c r="E49" s="101"/>
      <c r="F49" s="3" t="s">
        <v>633</v>
      </c>
      <c r="G49" s="4">
        <v>3194607</v>
      </c>
      <c r="H49" s="4" t="s">
        <v>632</v>
      </c>
      <c r="I49" s="4">
        <v>4023303</v>
      </c>
    </row>
    <row r="50" spans="2:9" x14ac:dyDescent="0.3">
      <c r="B50" s="44">
        <v>45934</v>
      </c>
      <c r="C50" s="3" t="s">
        <v>416</v>
      </c>
      <c r="D50" s="3" t="s">
        <v>593</v>
      </c>
      <c r="E50" s="101"/>
      <c r="F50" s="3" t="s">
        <v>396</v>
      </c>
      <c r="G50" s="4">
        <v>3197104</v>
      </c>
      <c r="H50" s="4" t="s">
        <v>629</v>
      </c>
      <c r="I50" s="4">
        <v>3961708</v>
      </c>
    </row>
    <row r="51" spans="2:9" x14ac:dyDescent="0.3">
      <c r="B51" s="44">
        <v>45934</v>
      </c>
      <c r="C51" s="3" t="s">
        <v>416</v>
      </c>
      <c r="D51" s="3" t="s">
        <v>593</v>
      </c>
      <c r="E51" s="101"/>
      <c r="F51" s="3" t="s">
        <v>640</v>
      </c>
      <c r="G51" s="4">
        <v>3210102</v>
      </c>
      <c r="H51" s="4" t="s">
        <v>459</v>
      </c>
      <c r="I51" s="4">
        <v>3211101</v>
      </c>
    </row>
    <row r="52" spans="2:9" x14ac:dyDescent="0.3">
      <c r="B52" s="44">
        <v>45934</v>
      </c>
      <c r="C52" s="3" t="s">
        <v>416</v>
      </c>
      <c r="D52" s="3" t="s">
        <v>593</v>
      </c>
      <c r="E52" s="101"/>
      <c r="F52" s="3" t="s">
        <v>628</v>
      </c>
      <c r="G52" s="4" t="s">
        <v>642</v>
      </c>
      <c r="H52" s="4" t="s">
        <v>639</v>
      </c>
      <c r="I52" s="4">
        <v>3776805</v>
      </c>
    </row>
    <row r="53" spans="2:9" x14ac:dyDescent="0.3">
      <c r="B53" s="4"/>
      <c r="E53" s="101"/>
      <c r="F53" s="3" t="s">
        <v>418</v>
      </c>
      <c r="G53" s="4" t="s">
        <v>418</v>
      </c>
      <c r="H53" s="4" t="s">
        <v>418</v>
      </c>
      <c r="I53" s="4" t="s">
        <v>418</v>
      </c>
    </row>
    <row r="54" spans="2:9" x14ac:dyDescent="0.3">
      <c r="B54" s="44">
        <v>45941</v>
      </c>
      <c r="C54" s="3" t="s">
        <v>416</v>
      </c>
      <c r="D54" s="3" t="s">
        <v>593</v>
      </c>
      <c r="E54" s="101"/>
      <c r="F54" s="3" t="s">
        <v>459</v>
      </c>
      <c r="G54" s="4">
        <v>3211101</v>
      </c>
      <c r="H54" s="4" t="s">
        <v>633</v>
      </c>
      <c r="I54" s="4">
        <v>3194607</v>
      </c>
    </row>
    <row r="55" spans="2:9" x14ac:dyDescent="0.3">
      <c r="B55" s="44">
        <v>45941</v>
      </c>
      <c r="C55" s="3" t="s">
        <v>416</v>
      </c>
      <c r="D55" s="3" t="s">
        <v>593</v>
      </c>
      <c r="E55" s="101"/>
      <c r="F55" s="3" t="s">
        <v>632</v>
      </c>
      <c r="G55" s="4">
        <v>4023303</v>
      </c>
      <c r="H55" s="4" t="s">
        <v>397</v>
      </c>
      <c r="I55" s="4">
        <v>3195908</v>
      </c>
    </row>
    <row r="56" spans="2:9" x14ac:dyDescent="0.3">
      <c r="B56" s="44">
        <v>45941</v>
      </c>
      <c r="C56" s="3" t="s">
        <v>416</v>
      </c>
      <c r="D56" s="3" t="s">
        <v>593</v>
      </c>
      <c r="E56" s="101"/>
      <c r="F56" s="3" t="s">
        <v>631</v>
      </c>
      <c r="G56" s="4">
        <v>4023209</v>
      </c>
      <c r="H56" s="4" t="s">
        <v>396</v>
      </c>
      <c r="I56" s="4">
        <v>3197104</v>
      </c>
    </row>
    <row r="57" spans="2:9" x14ac:dyDescent="0.3">
      <c r="B57" s="44">
        <v>45941</v>
      </c>
      <c r="C57" s="3" t="s">
        <v>416</v>
      </c>
      <c r="D57" s="3" t="s">
        <v>593</v>
      </c>
      <c r="E57" s="101"/>
      <c r="F57" s="3" t="s">
        <v>630</v>
      </c>
      <c r="G57" s="4">
        <v>3206308</v>
      </c>
      <c r="H57" s="4" t="s">
        <v>640</v>
      </c>
      <c r="I57" s="4">
        <v>3210102</v>
      </c>
    </row>
    <row r="58" spans="2:9" x14ac:dyDescent="0.3">
      <c r="B58" s="44">
        <v>45941</v>
      </c>
      <c r="C58" s="3" t="s">
        <v>416</v>
      </c>
      <c r="D58" s="3" t="s">
        <v>593</v>
      </c>
      <c r="E58" s="101"/>
      <c r="F58" s="3" t="s">
        <v>629</v>
      </c>
      <c r="G58" s="4">
        <v>3961708</v>
      </c>
      <c r="H58" s="4" t="s">
        <v>628</v>
      </c>
      <c r="I58" s="4" t="s">
        <v>642</v>
      </c>
    </row>
    <row r="59" spans="2:9" x14ac:dyDescent="0.3">
      <c r="B59" s="44">
        <v>45941</v>
      </c>
      <c r="C59" s="3" t="s">
        <v>416</v>
      </c>
      <c r="D59" s="3" t="s">
        <v>593</v>
      </c>
      <c r="E59" s="101"/>
      <c r="F59" s="3" t="s">
        <v>639</v>
      </c>
      <c r="G59" s="4">
        <v>3776805</v>
      </c>
      <c r="H59" s="15" t="s">
        <v>570</v>
      </c>
      <c r="I59" s="74" t="s">
        <v>556</v>
      </c>
    </row>
    <row r="60" spans="2:9" x14ac:dyDescent="0.3">
      <c r="B60" s="4"/>
      <c r="E60" s="101"/>
      <c r="F60" s="3" t="s">
        <v>418</v>
      </c>
      <c r="G60" s="4" t="s">
        <v>418</v>
      </c>
      <c r="H60" s="4" t="s">
        <v>418</v>
      </c>
      <c r="I60" s="4" t="s">
        <v>418</v>
      </c>
    </row>
    <row r="61" spans="2:9" x14ac:dyDescent="0.3">
      <c r="B61" s="44">
        <v>45948</v>
      </c>
      <c r="C61" s="3" t="s">
        <v>416</v>
      </c>
      <c r="D61" s="3" t="s">
        <v>593</v>
      </c>
      <c r="E61" s="101"/>
      <c r="F61" s="3" t="s">
        <v>397</v>
      </c>
      <c r="G61" s="4">
        <v>3195908</v>
      </c>
      <c r="H61" s="4" t="s">
        <v>633</v>
      </c>
      <c r="I61" s="4">
        <v>3194607</v>
      </c>
    </row>
    <row r="62" spans="2:9" x14ac:dyDescent="0.3">
      <c r="B62" s="44">
        <v>45948</v>
      </c>
      <c r="C62" s="3" t="s">
        <v>416</v>
      </c>
      <c r="D62" s="3" t="s">
        <v>593</v>
      </c>
      <c r="E62" s="101"/>
      <c r="F62" s="15" t="s">
        <v>570</v>
      </c>
      <c r="G62" s="74" t="s">
        <v>556</v>
      </c>
      <c r="H62" s="4" t="s">
        <v>629</v>
      </c>
      <c r="I62" s="4">
        <v>3961708</v>
      </c>
    </row>
    <row r="63" spans="2:9" x14ac:dyDescent="0.3">
      <c r="B63" s="44">
        <v>45948</v>
      </c>
      <c r="C63" s="3" t="s">
        <v>416</v>
      </c>
      <c r="D63" s="3" t="s">
        <v>593</v>
      </c>
      <c r="E63" s="101"/>
      <c r="F63" s="3" t="s">
        <v>630</v>
      </c>
      <c r="G63" s="4">
        <v>3206308</v>
      </c>
      <c r="H63" s="4" t="s">
        <v>459</v>
      </c>
      <c r="I63" s="4">
        <v>3211101</v>
      </c>
    </row>
    <row r="64" spans="2:9" x14ac:dyDescent="0.3">
      <c r="B64" s="44">
        <v>45948</v>
      </c>
      <c r="C64" s="3" t="s">
        <v>416</v>
      </c>
      <c r="D64" s="3" t="s">
        <v>593</v>
      </c>
      <c r="E64" s="101"/>
      <c r="F64" s="3" t="s">
        <v>396</v>
      </c>
      <c r="G64" s="4">
        <v>3197104</v>
      </c>
      <c r="H64" s="4" t="s">
        <v>632</v>
      </c>
      <c r="I64" s="4">
        <v>4023303</v>
      </c>
    </row>
    <row r="65" spans="2:9" x14ac:dyDescent="0.3">
      <c r="B65" s="44">
        <v>45948</v>
      </c>
      <c r="C65" s="3" t="s">
        <v>416</v>
      </c>
      <c r="D65" s="3" t="s">
        <v>593</v>
      </c>
      <c r="E65" s="101"/>
      <c r="F65" s="3" t="s">
        <v>640</v>
      </c>
      <c r="G65" s="4">
        <v>3210102</v>
      </c>
      <c r="H65" s="4" t="s">
        <v>639</v>
      </c>
      <c r="I65" s="4">
        <v>3776805</v>
      </c>
    </row>
    <row r="66" spans="2:9" x14ac:dyDescent="0.3">
      <c r="B66" s="44">
        <v>45948</v>
      </c>
      <c r="C66" s="3" t="s">
        <v>416</v>
      </c>
      <c r="D66" s="3" t="s">
        <v>593</v>
      </c>
      <c r="E66" s="101"/>
      <c r="F66" s="3" t="s">
        <v>628</v>
      </c>
      <c r="G66" s="4" t="s">
        <v>642</v>
      </c>
      <c r="H66" s="4" t="s">
        <v>631</v>
      </c>
      <c r="I66" s="4">
        <v>4023209</v>
      </c>
    </row>
    <row r="67" spans="2:9" x14ac:dyDescent="0.3">
      <c r="B67" s="4"/>
      <c r="E67" s="101"/>
      <c r="F67" s="3" t="s">
        <v>418</v>
      </c>
      <c r="G67" s="4" t="s">
        <v>418</v>
      </c>
      <c r="H67" s="4" t="s">
        <v>418</v>
      </c>
      <c r="I67" s="4" t="s">
        <v>418</v>
      </c>
    </row>
    <row r="68" spans="2:9" x14ac:dyDescent="0.3">
      <c r="B68" s="44">
        <v>45962</v>
      </c>
      <c r="C68" s="3" t="s">
        <v>416</v>
      </c>
      <c r="D68" s="3" t="s">
        <v>593</v>
      </c>
      <c r="E68" s="101"/>
      <c r="F68" s="3" t="s">
        <v>459</v>
      </c>
      <c r="G68" s="4">
        <v>3211101</v>
      </c>
      <c r="H68" s="4" t="s">
        <v>397</v>
      </c>
      <c r="I68" s="4">
        <v>3195908</v>
      </c>
    </row>
    <row r="69" spans="2:9" x14ac:dyDescent="0.3">
      <c r="B69" s="44">
        <v>45962</v>
      </c>
      <c r="C69" s="3" t="s">
        <v>416</v>
      </c>
      <c r="D69" s="3" t="s">
        <v>593</v>
      </c>
      <c r="E69" s="101"/>
      <c r="F69" s="3" t="s">
        <v>632</v>
      </c>
      <c r="G69" s="4">
        <v>4023303</v>
      </c>
      <c r="H69" s="4" t="s">
        <v>628</v>
      </c>
      <c r="I69" s="4" t="s">
        <v>642</v>
      </c>
    </row>
    <row r="70" spans="2:9" x14ac:dyDescent="0.3">
      <c r="B70" s="44">
        <v>45962</v>
      </c>
      <c r="C70" s="3" t="s">
        <v>416</v>
      </c>
      <c r="D70" s="3" t="s">
        <v>593</v>
      </c>
      <c r="E70" s="101"/>
      <c r="F70" s="3" t="s">
        <v>633</v>
      </c>
      <c r="G70" s="4">
        <v>3194607</v>
      </c>
      <c r="H70" s="4" t="s">
        <v>396</v>
      </c>
      <c r="I70" s="4">
        <v>3197104</v>
      </c>
    </row>
    <row r="71" spans="2:9" x14ac:dyDescent="0.3">
      <c r="B71" s="44">
        <v>45962</v>
      </c>
      <c r="C71" s="3" t="s">
        <v>416</v>
      </c>
      <c r="D71" s="3" t="s">
        <v>593</v>
      </c>
      <c r="E71" s="101"/>
      <c r="F71" s="3" t="s">
        <v>631</v>
      </c>
      <c r="G71" s="4">
        <v>4023209</v>
      </c>
      <c r="H71" s="15" t="s">
        <v>570</v>
      </c>
      <c r="I71" s="74" t="s">
        <v>556</v>
      </c>
    </row>
    <row r="72" spans="2:9" x14ac:dyDescent="0.3">
      <c r="B72" s="44">
        <v>45962</v>
      </c>
      <c r="C72" s="3" t="s">
        <v>416</v>
      </c>
      <c r="D72" s="3" t="s">
        <v>593</v>
      </c>
      <c r="E72" s="101"/>
      <c r="F72" s="3" t="s">
        <v>629</v>
      </c>
      <c r="G72" s="4">
        <v>3961708</v>
      </c>
      <c r="H72" s="4" t="s">
        <v>640</v>
      </c>
      <c r="I72" s="4">
        <v>3210102</v>
      </c>
    </row>
    <row r="73" spans="2:9" x14ac:dyDescent="0.3">
      <c r="B73" s="44">
        <v>45962</v>
      </c>
      <c r="C73" s="3" t="s">
        <v>416</v>
      </c>
      <c r="D73" s="3" t="s">
        <v>593</v>
      </c>
      <c r="E73" s="101"/>
      <c r="F73" s="3" t="s">
        <v>639</v>
      </c>
      <c r="G73" s="4">
        <v>3776805</v>
      </c>
      <c r="H73" s="4" t="s">
        <v>630</v>
      </c>
      <c r="I73" s="4">
        <v>3206308</v>
      </c>
    </row>
    <row r="74" spans="2:9" x14ac:dyDescent="0.3">
      <c r="B74" s="4"/>
      <c r="E74" s="101"/>
      <c r="F74" s="3" t="s">
        <v>418</v>
      </c>
      <c r="G74" s="4" t="s">
        <v>418</v>
      </c>
      <c r="H74" s="4" t="s">
        <v>418</v>
      </c>
      <c r="I74" s="4" t="s">
        <v>418</v>
      </c>
    </row>
    <row r="75" spans="2:9" x14ac:dyDescent="0.3">
      <c r="B75" s="44">
        <v>45969</v>
      </c>
      <c r="C75" s="3" t="s">
        <v>416</v>
      </c>
      <c r="D75" s="3" t="s">
        <v>593</v>
      </c>
      <c r="E75" s="101"/>
      <c r="F75" s="15" t="s">
        <v>570</v>
      </c>
      <c r="G75" s="74" t="s">
        <v>556</v>
      </c>
      <c r="H75" s="4" t="s">
        <v>632</v>
      </c>
      <c r="I75" s="4">
        <v>4023303</v>
      </c>
    </row>
    <row r="76" spans="2:9" x14ac:dyDescent="0.3">
      <c r="B76" s="44">
        <v>45969</v>
      </c>
      <c r="C76" s="3" t="s">
        <v>416</v>
      </c>
      <c r="D76" s="3" t="s">
        <v>593</v>
      </c>
      <c r="E76" s="101"/>
      <c r="F76" s="3" t="s">
        <v>630</v>
      </c>
      <c r="G76" s="4">
        <v>3206308</v>
      </c>
      <c r="H76" s="4" t="s">
        <v>629</v>
      </c>
      <c r="I76" s="4">
        <v>3961708</v>
      </c>
    </row>
    <row r="77" spans="2:9" x14ac:dyDescent="0.3">
      <c r="B77" s="44">
        <v>45969</v>
      </c>
      <c r="C77" s="3" t="s">
        <v>416</v>
      </c>
      <c r="D77" s="3" t="s">
        <v>593</v>
      </c>
      <c r="E77" s="101"/>
      <c r="F77" s="3" t="s">
        <v>396</v>
      </c>
      <c r="G77" s="4">
        <v>3197104</v>
      </c>
      <c r="H77" s="4" t="s">
        <v>397</v>
      </c>
      <c r="I77" s="4">
        <v>3195908</v>
      </c>
    </row>
    <row r="78" spans="2:9" x14ac:dyDescent="0.3">
      <c r="B78" s="44">
        <v>45969</v>
      </c>
      <c r="C78" s="3" t="s">
        <v>416</v>
      </c>
      <c r="D78" s="3" t="s">
        <v>593</v>
      </c>
      <c r="E78" s="101"/>
      <c r="F78" s="3" t="s">
        <v>640</v>
      </c>
      <c r="G78" s="4">
        <v>3210102</v>
      </c>
      <c r="H78" s="4" t="s">
        <v>631</v>
      </c>
      <c r="I78" s="4">
        <v>4023209</v>
      </c>
    </row>
    <row r="79" spans="2:9" x14ac:dyDescent="0.3">
      <c r="B79" s="44">
        <v>45969</v>
      </c>
      <c r="C79" s="3" t="s">
        <v>416</v>
      </c>
      <c r="D79" s="3" t="s">
        <v>593</v>
      </c>
      <c r="E79" s="101"/>
      <c r="F79" s="3" t="s">
        <v>628</v>
      </c>
      <c r="G79" s="4" t="s">
        <v>642</v>
      </c>
      <c r="H79" s="4" t="s">
        <v>633</v>
      </c>
      <c r="I79" s="4">
        <v>3194607</v>
      </c>
    </row>
    <row r="80" spans="2:9" x14ac:dyDescent="0.3">
      <c r="B80" s="44">
        <v>45969</v>
      </c>
      <c r="C80" s="3" t="s">
        <v>416</v>
      </c>
      <c r="D80" s="3" t="s">
        <v>593</v>
      </c>
      <c r="E80" s="101"/>
      <c r="F80" s="3" t="s">
        <v>639</v>
      </c>
      <c r="G80" s="4">
        <v>3776805</v>
      </c>
      <c r="H80" s="4" t="s">
        <v>459</v>
      </c>
      <c r="I80" s="4">
        <v>3211101</v>
      </c>
    </row>
    <row r="81" spans="2:9" x14ac:dyDescent="0.3">
      <c r="B81" s="4"/>
      <c r="E81" s="101"/>
      <c r="F81" s="3" t="s">
        <v>418</v>
      </c>
      <c r="G81" s="4" t="s">
        <v>418</v>
      </c>
      <c r="H81" s="4" t="s">
        <v>418</v>
      </c>
      <c r="I81" s="4" t="s">
        <v>418</v>
      </c>
    </row>
    <row r="82" spans="2:9" x14ac:dyDescent="0.3">
      <c r="B82" s="44">
        <v>45976</v>
      </c>
      <c r="C82" s="3" t="s">
        <v>416</v>
      </c>
      <c r="D82" s="3" t="s">
        <v>593</v>
      </c>
      <c r="E82" s="101"/>
      <c r="F82" s="3" t="s">
        <v>397</v>
      </c>
      <c r="G82" s="4">
        <v>3195908</v>
      </c>
      <c r="H82" s="4" t="s">
        <v>628</v>
      </c>
      <c r="I82" s="4" t="s">
        <v>642</v>
      </c>
    </row>
    <row r="83" spans="2:9" x14ac:dyDescent="0.3">
      <c r="B83" s="44">
        <v>45976</v>
      </c>
      <c r="C83" s="3" t="s">
        <v>416</v>
      </c>
      <c r="D83" s="3" t="s">
        <v>593</v>
      </c>
      <c r="E83" s="101"/>
      <c r="F83" s="3" t="s">
        <v>459</v>
      </c>
      <c r="G83" s="4">
        <v>3211101</v>
      </c>
      <c r="H83" s="4" t="s">
        <v>396</v>
      </c>
      <c r="I83" s="4">
        <v>3197104</v>
      </c>
    </row>
    <row r="84" spans="2:9" x14ac:dyDescent="0.3">
      <c r="B84" s="44">
        <v>45976</v>
      </c>
      <c r="C84" s="3" t="s">
        <v>416</v>
      </c>
      <c r="D84" s="3" t="s">
        <v>593</v>
      </c>
      <c r="E84" s="101"/>
      <c r="F84" s="3" t="s">
        <v>632</v>
      </c>
      <c r="G84" s="4">
        <v>4023303</v>
      </c>
      <c r="H84" s="4" t="s">
        <v>640</v>
      </c>
      <c r="I84" s="4">
        <v>3210102</v>
      </c>
    </row>
    <row r="85" spans="2:9" x14ac:dyDescent="0.3">
      <c r="B85" s="44">
        <v>45976</v>
      </c>
      <c r="C85" s="3" t="s">
        <v>416</v>
      </c>
      <c r="D85" s="3" t="s">
        <v>593</v>
      </c>
      <c r="E85" s="101"/>
      <c r="F85" s="3" t="s">
        <v>633</v>
      </c>
      <c r="G85" s="4">
        <v>3194607</v>
      </c>
      <c r="H85" s="15" t="s">
        <v>570</v>
      </c>
      <c r="I85" s="74" t="s">
        <v>556</v>
      </c>
    </row>
    <row r="86" spans="2:9" x14ac:dyDescent="0.3">
      <c r="B86" s="44">
        <v>45976</v>
      </c>
      <c r="C86" s="3" t="s">
        <v>416</v>
      </c>
      <c r="D86" s="3" t="s">
        <v>593</v>
      </c>
      <c r="E86" s="101"/>
      <c r="F86" s="3" t="s">
        <v>631</v>
      </c>
      <c r="G86" s="4">
        <v>4023209</v>
      </c>
      <c r="H86" s="4" t="s">
        <v>630</v>
      </c>
      <c r="I86" s="4">
        <v>3206308</v>
      </c>
    </row>
    <row r="87" spans="2:9" x14ac:dyDescent="0.3">
      <c r="B87" s="44">
        <v>45976</v>
      </c>
      <c r="C87" s="3" t="s">
        <v>416</v>
      </c>
      <c r="D87" s="3" t="s">
        <v>593</v>
      </c>
      <c r="E87" s="101"/>
      <c r="F87" s="3" t="s">
        <v>629</v>
      </c>
      <c r="G87" s="4">
        <v>3961708</v>
      </c>
      <c r="H87" s="4" t="s">
        <v>639</v>
      </c>
      <c r="I87" s="4">
        <v>3776805</v>
      </c>
    </row>
    <row r="88" spans="2:9" x14ac:dyDescent="0.3">
      <c r="B88" s="4"/>
      <c r="E88" s="101"/>
      <c r="F88" s="3" t="s">
        <v>418</v>
      </c>
      <c r="G88" s="4" t="s">
        <v>418</v>
      </c>
      <c r="H88" s="4" t="s">
        <v>418</v>
      </c>
      <c r="I88" s="4" t="s">
        <v>418</v>
      </c>
    </row>
    <row r="89" spans="2:9" x14ac:dyDescent="0.3">
      <c r="B89" s="44">
        <v>45983</v>
      </c>
      <c r="C89" s="3" t="s">
        <v>416</v>
      </c>
      <c r="D89" s="3" t="s">
        <v>593</v>
      </c>
      <c r="E89" s="101"/>
      <c r="F89" s="15" t="s">
        <v>570</v>
      </c>
      <c r="G89" s="74" t="s">
        <v>556</v>
      </c>
      <c r="H89" s="4" t="s">
        <v>397</v>
      </c>
      <c r="I89" s="4">
        <v>3195908</v>
      </c>
    </row>
    <row r="90" spans="2:9" x14ac:dyDescent="0.3">
      <c r="B90" s="44">
        <v>45983</v>
      </c>
      <c r="C90" s="3" t="s">
        <v>416</v>
      </c>
      <c r="D90" s="3" t="s">
        <v>593</v>
      </c>
      <c r="E90" s="101"/>
      <c r="F90" s="3" t="s">
        <v>630</v>
      </c>
      <c r="G90" s="4">
        <v>3206308</v>
      </c>
      <c r="H90" s="4" t="s">
        <v>632</v>
      </c>
      <c r="I90" s="4">
        <v>4023303</v>
      </c>
    </row>
    <row r="91" spans="2:9" x14ac:dyDescent="0.3">
      <c r="B91" s="44">
        <v>45983</v>
      </c>
      <c r="C91" s="3" t="s">
        <v>416</v>
      </c>
      <c r="D91" s="3" t="s">
        <v>593</v>
      </c>
      <c r="E91" s="101"/>
      <c r="F91" s="3" t="s">
        <v>640</v>
      </c>
      <c r="G91" s="4">
        <v>3210102</v>
      </c>
      <c r="H91" s="4" t="s">
        <v>633</v>
      </c>
      <c r="I91" s="4">
        <v>3194607</v>
      </c>
    </row>
    <row r="92" spans="2:9" x14ac:dyDescent="0.3">
      <c r="B92" s="44">
        <v>45983</v>
      </c>
      <c r="C92" s="3" t="s">
        <v>416</v>
      </c>
      <c r="D92" s="3" t="s">
        <v>593</v>
      </c>
      <c r="E92" s="101"/>
      <c r="F92" s="3" t="s">
        <v>628</v>
      </c>
      <c r="G92" s="4" t="s">
        <v>642</v>
      </c>
      <c r="H92" s="4" t="s">
        <v>396</v>
      </c>
      <c r="I92" s="4">
        <v>3197104</v>
      </c>
    </row>
    <row r="93" spans="2:9" x14ac:dyDescent="0.3">
      <c r="B93" s="44">
        <v>45983</v>
      </c>
      <c r="C93" s="3" t="s">
        <v>416</v>
      </c>
      <c r="D93" s="3" t="s">
        <v>593</v>
      </c>
      <c r="E93" s="101"/>
      <c r="F93" s="3" t="s">
        <v>629</v>
      </c>
      <c r="G93" s="4">
        <v>3961708</v>
      </c>
      <c r="H93" s="4" t="s">
        <v>459</v>
      </c>
      <c r="I93" s="4">
        <v>3211101</v>
      </c>
    </row>
    <row r="94" spans="2:9" x14ac:dyDescent="0.3">
      <c r="B94" s="44">
        <v>45983</v>
      </c>
      <c r="C94" s="3" t="s">
        <v>416</v>
      </c>
      <c r="D94" s="3" t="s">
        <v>593</v>
      </c>
      <c r="E94" s="101"/>
      <c r="F94" s="3" t="s">
        <v>639</v>
      </c>
      <c r="G94" s="4">
        <v>3776805</v>
      </c>
      <c r="H94" s="4" t="s">
        <v>631</v>
      </c>
      <c r="I94" s="4">
        <v>4023209</v>
      </c>
    </row>
    <row r="95" spans="2:9" x14ac:dyDescent="0.3">
      <c r="B95" s="4"/>
      <c r="E95" s="101"/>
      <c r="F95" s="3" t="s">
        <v>418</v>
      </c>
      <c r="G95" s="4" t="s">
        <v>418</v>
      </c>
      <c r="H95" s="4" t="s">
        <v>418</v>
      </c>
      <c r="I95" s="4" t="s">
        <v>418</v>
      </c>
    </row>
    <row r="96" spans="2:9" x14ac:dyDescent="0.3">
      <c r="B96" s="44">
        <v>45990</v>
      </c>
      <c r="C96" s="3" t="s">
        <v>416</v>
      </c>
      <c r="D96" s="3" t="s">
        <v>593</v>
      </c>
      <c r="E96" s="101"/>
      <c r="F96" s="3" t="s">
        <v>397</v>
      </c>
      <c r="G96" s="4">
        <v>3195908</v>
      </c>
      <c r="H96" s="4" t="s">
        <v>640</v>
      </c>
      <c r="I96" s="4">
        <v>3210102</v>
      </c>
    </row>
    <row r="97" spans="2:9" x14ac:dyDescent="0.3">
      <c r="B97" s="44">
        <v>45990</v>
      </c>
      <c r="C97" s="3" t="s">
        <v>416</v>
      </c>
      <c r="D97" s="3" t="s">
        <v>593</v>
      </c>
      <c r="E97" s="101"/>
      <c r="F97" s="3" t="s">
        <v>459</v>
      </c>
      <c r="G97" s="4">
        <v>3211101</v>
      </c>
      <c r="H97" s="4" t="s">
        <v>628</v>
      </c>
      <c r="I97" s="4" t="s">
        <v>642</v>
      </c>
    </row>
    <row r="98" spans="2:9" x14ac:dyDescent="0.3">
      <c r="B98" s="44">
        <v>45990</v>
      </c>
      <c r="C98" s="3" t="s">
        <v>416</v>
      </c>
      <c r="D98" s="3" t="s">
        <v>593</v>
      </c>
      <c r="E98" s="101"/>
      <c r="F98" s="3" t="s">
        <v>632</v>
      </c>
      <c r="G98" s="4">
        <v>4023303</v>
      </c>
      <c r="H98" s="4" t="s">
        <v>639</v>
      </c>
      <c r="I98" s="4">
        <v>3776805</v>
      </c>
    </row>
    <row r="99" spans="2:9" x14ac:dyDescent="0.3">
      <c r="B99" s="44">
        <v>45990</v>
      </c>
      <c r="C99" s="3" t="s">
        <v>416</v>
      </c>
      <c r="D99" s="3" t="s">
        <v>593</v>
      </c>
      <c r="E99" s="101"/>
      <c r="F99" s="3" t="s">
        <v>633</v>
      </c>
      <c r="G99" s="4">
        <v>3194607</v>
      </c>
      <c r="H99" s="4" t="s">
        <v>630</v>
      </c>
      <c r="I99" s="4">
        <v>3206308</v>
      </c>
    </row>
    <row r="100" spans="2:9" x14ac:dyDescent="0.3">
      <c r="B100" s="44">
        <v>45990</v>
      </c>
      <c r="C100" s="3" t="s">
        <v>416</v>
      </c>
      <c r="D100" s="3" t="s">
        <v>593</v>
      </c>
      <c r="E100" s="101"/>
      <c r="F100" s="3" t="s">
        <v>631</v>
      </c>
      <c r="G100" s="4">
        <v>4023209</v>
      </c>
      <c r="H100" s="4" t="s">
        <v>629</v>
      </c>
      <c r="I100" s="4">
        <v>3961708</v>
      </c>
    </row>
    <row r="101" spans="2:9" x14ac:dyDescent="0.3">
      <c r="B101" s="44">
        <v>45990</v>
      </c>
      <c r="C101" s="3" t="s">
        <v>416</v>
      </c>
      <c r="D101" s="3" t="s">
        <v>593</v>
      </c>
      <c r="E101" s="101"/>
      <c r="F101" s="3" t="s">
        <v>396</v>
      </c>
      <c r="G101" s="4">
        <v>3197104</v>
      </c>
      <c r="H101" s="15" t="s">
        <v>570</v>
      </c>
      <c r="I101" s="74" t="s">
        <v>556</v>
      </c>
    </row>
    <row r="102" spans="2:9" x14ac:dyDescent="0.3">
      <c r="B102" s="4"/>
      <c r="E102" s="101"/>
      <c r="F102" s="3" t="s">
        <v>418</v>
      </c>
      <c r="G102" s="4" t="s">
        <v>418</v>
      </c>
      <c r="H102" s="4" t="s">
        <v>418</v>
      </c>
      <c r="I102" s="4" t="s">
        <v>418</v>
      </c>
    </row>
    <row r="103" spans="2:9" x14ac:dyDescent="0.3">
      <c r="B103" s="44">
        <v>46032</v>
      </c>
      <c r="C103" s="3" t="s">
        <v>416</v>
      </c>
      <c r="D103" s="3" t="s">
        <v>593</v>
      </c>
      <c r="E103" s="101"/>
      <c r="F103" s="3" t="s">
        <v>397</v>
      </c>
      <c r="G103" s="4">
        <v>3195908</v>
      </c>
      <c r="H103" s="4" t="s">
        <v>630</v>
      </c>
      <c r="I103" s="4">
        <v>3206308</v>
      </c>
    </row>
    <row r="104" spans="2:9" x14ac:dyDescent="0.3">
      <c r="B104" s="44">
        <v>46032</v>
      </c>
      <c r="C104" s="3" t="s">
        <v>416</v>
      </c>
      <c r="D104" s="3" t="s">
        <v>593</v>
      </c>
      <c r="E104" s="101"/>
      <c r="F104" s="3" t="s">
        <v>459</v>
      </c>
      <c r="G104" s="4">
        <v>3211101</v>
      </c>
      <c r="H104" s="4" t="s">
        <v>631</v>
      </c>
      <c r="I104" s="4">
        <v>4023209</v>
      </c>
    </row>
    <row r="105" spans="2:9" x14ac:dyDescent="0.3">
      <c r="B105" s="44">
        <v>46032</v>
      </c>
      <c r="C105" s="3" t="s">
        <v>416</v>
      </c>
      <c r="D105" s="3" t="s">
        <v>593</v>
      </c>
      <c r="E105" s="101"/>
      <c r="F105" s="3" t="s">
        <v>632</v>
      </c>
      <c r="G105" s="4">
        <v>4023303</v>
      </c>
      <c r="H105" s="4" t="s">
        <v>629</v>
      </c>
      <c r="I105" s="4">
        <v>3961708</v>
      </c>
    </row>
    <row r="106" spans="2:9" x14ac:dyDescent="0.3">
      <c r="B106" s="44">
        <v>46032</v>
      </c>
      <c r="C106" s="3" t="s">
        <v>416</v>
      </c>
      <c r="D106" s="3" t="s">
        <v>593</v>
      </c>
      <c r="E106" s="101"/>
      <c r="F106" s="3" t="s">
        <v>633</v>
      </c>
      <c r="G106" s="4">
        <v>3194607</v>
      </c>
      <c r="H106" s="4" t="s">
        <v>639</v>
      </c>
      <c r="I106" s="4">
        <v>3776805</v>
      </c>
    </row>
    <row r="107" spans="2:9" x14ac:dyDescent="0.3">
      <c r="B107" s="44">
        <v>46032</v>
      </c>
      <c r="C107" s="3" t="s">
        <v>416</v>
      </c>
      <c r="D107" s="3" t="s">
        <v>593</v>
      </c>
      <c r="E107" s="101"/>
      <c r="F107" s="3" t="s">
        <v>396</v>
      </c>
      <c r="G107" s="4">
        <v>3197104</v>
      </c>
      <c r="H107" s="4" t="s">
        <v>640</v>
      </c>
      <c r="I107" s="4">
        <v>3210102</v>
      </c>
    </row>
    <row r="108" spans="2:9" x14ac:dyDescent="0.3">
      <c r="B108" s="44">
        <v>46032</v>
      </c>
      <c r="C108" s="3" t="s">
        <v>416</v>
      </c>
      <c r="D108" s="3" t="s">
        <v>593</v>
      </c>
      <c r="E108" s="101"/>
      <c r="F108" s="3" t="s">
        <v>628</v>
      </c>
      <c r="G108" s="4" t="s">
        <v>642</v>
      </c>
      <c r="H108" s="15" t="s">
        <v>570</v>
      </c>
      <c r="I108" s="74" t="s">
        <v>556</v>
      </c>
    </row>
    <row r="109" spans="2:9" x14ac:dyDescent="0.3">
      <c r="B109" s="4"/>
      <c r="E109" s="101"/>
      <c r="F109" s="3" t="s">
        <v>418</v>
      </c>
      <c r="G109" s="4" t="s">
        <v>418</v>
      </c>
      <c r="H109" s="4" t="s">
        <v>418</v>
      </c>
      <c r="I109" s="4" t="s">
        <v>418</v>
      </c>
    </row>
    <row r="110" spans="2:9" x14ac:dyDescent="0.3">
      <c r="B110" s="44">
        <v>46039</v>
      </c>
      <c r="C110" s="3" t="s">
        <v>416</v>
      </c>
      <c r="D110" s="3" t="s">
        <v>593</v>
      </c>
      <c r="E110" s="101"/>
      <c r="F110" s="15" t="s">
        <v>570</v>
      </c>
      <c r="G110" s="74" t="s">
        <v>556</v>
      </c>
      <c r="H110" s="4" t="s">
        <v>459</v>
      </c>
      <c r="I110" s="4">
        <v>3211101</v>
      </c>
    </row>
    <row r="111" spans="2:9" x14ac:dyDescent="0.3">
      <c r="B111" s="44">
        <v>46039</v>
      </c>
      <c r="C111" s="3" t="s">
        <v>416</v>
      </c>
      <c r="D111" s="3" t="s">
        <v>593</v>
      </c>
      <c r="E111" s="101"/>
      <c r="F111" s="3" t="s">
        <v>631</v>
      </c>
      <c r="G111" s="4">
        <v>4023209</v>
      </c>
      <c r="H111" s="4" t="s">
        <v>632</v>
      </c>
      <c r="I111" s="4">
        <v>4023303</v>
      </c>
    </row>
    <row r="112" spans="2:9" x14ac:dyDescent="0.3">
      <c r="B112" s="44">
        <v>46039</v>
      </c>
      <c r="C112" s="3" t="s">
        <v>416</v>
      </c>
      <c r="D112" s="3" t="s">
        <v>593</v>
      </c>
      <c r="E112" s="101"/>
      <c r="F112" s="3" t="s">
        <v>630</v>
      </c>
      <c r="G112" s="4">
        <v>3206308</v>
      </c>
      <c r="H112" s="4" t="s">
        <v>396</v>
      </c>
      <c r="I112" s="4">
        <v>3197104</v>
      </c>
    </row>
    <row r="113" spans="2:9" x14ac:dyDescent="0.3">
      <c r="B113" s="44">
        <v>46039</v>
      </c>
      <c r="C113" s="3" t="s">
        <v>416</v>
      </c>
      <c r="D113" s="3" t="s">
        <v>593</v>
      </c>
      <c r="E113" s="101"/>
      <c r="F113" s="3" t="s">
        <v>640</v>
      </c>
      <c r="G113" s="4">
        <v>3210102</v>
      </c>
      <c r="H113" s="4" t="s">
        <v>628</v>
      </c>
      <c r="I113" s="4" t="s">
        <v>642</v>
      </c>
    </row>
    <row r="114" spans="2:9" x14ac:dyDescent="0.3">
      <c r="B114" s="44">
        <v>46039</v>
      </c>
      <c r="C114" s="3" t="s">
        <v>416</v>
      </c>
      <c r="D114" s="3" t="s">
        <v>593</v>
      </c>
      <c r="E114" s="101"/>
      <c r="F114" s="3" t="s">
        <v>629</v>
      </c>
      <c r="G114" s="4">
        <v>3961708</v>
      </c>
      <c r="H114" s="4" t="s">
        <v>633</v>
      </c>
      <c r="I114" s="4">
        <v>3194607</v>
      </c>
    </row>
    <row r="115" spans="2:9" x14ac:dyDescent="0.3">
      <c r="B115" s="44">
        <v>46039</v>
      </c>
      <c r="C115" s="3" t="s">
        <v>416</v>
      </c>
      <c r="D115" s="3" t="s">
        <v>593</v>
      </c>
      <c r="E115" s="101"/>
      <c r="F115" s="3" t="s">
        <v>639</v>
      </c>
      <c r="G115" s="4">
        <v>3776805</v>
      </c>
      <c r="H115" s="4" t="s">
        <v>397</v>
      </c>
      <c r="I115" s="4">
        <v>3195908</v>
      </c>
    </row>
    <row r="116" spans="2:9" x14ac:dyDescent="0.3">
      <c r="B116" s="4"/>
      <c r="E116" s="101"/>
      <c r="F116" s="3" t="s">
        <v>418</v>
      </c>
      <c r="G116" s="4" t="s">
        <v>418</v>
      </c>
      <c r="H116" s="4" t="s">
        <v>418</v>
      </c>
      <c r="I116" s="4" t="s">
        <v>418</v>
      </c>
    </row>
    <row r="117" spans="2:9" x14ac:dyDescent="0.3">
      <c r="B117" s="44">
        <v>46046</v>
      </c>
      <c r="C117" s="3" t="s">
        <v>416</v>
      </c>
      <c r="D117" s="3" t="s">
        <v>593</v>
      </c>
      <c r="E117" s="101"/>
      <c r="F117" s="3" t="s">
        <v>397</v>
      </c>
      <c r="G117" s="4">
        <v>3195908</v>
      </c>
      <c r="H117" s="4" t="s">
        <v>629</v>
      </c>
      <c r="I117" s="4">
        <v>3961708</v>
      </c>
    </row>
    <row r="118" spans="2:9" x14ac:dyDescent="0.3">
      <c r="B118" s="44">
        <v>46046</v>
      </c>
      <c r="C118" s="3" t="s">
        <v>416</v>
      </c>
      <c r="D118" s="3" t="s">
        <v>593</v>
      </c>
      <c r="E118" s="101"/>
      <c r="F118" s="15" t="s">
        <v>570</v>
      </c>
      <c r="G118" s="74" t="s">
        <v>556</v>
      </c>
      <c r="H118" s="4" t="s">
        <v>640</v>
      </c>
      <c r="I118" s="4">
        <v>3210102</v>
      </c>
    </row>
    <row r="119" spans="2:9" x14ac:dyDescent="0.3">
      <c r="B119" s="44">
        <v>46046</v>
      </c>
      <c r="C119" s="3" t="s">
        <v>416</v>
      </c>
      <c r="D119" s="3" t="s">
        <v>593</v>
      </c>
      <c r="E119" s="101"/>
      <c r="F119" s="3" t="s">
        <v>632</v>
      </c>
      <c r="G119" s="4">
        <v>4023303</v>
      </c>
      <c r="H119" s="4" t="s">
        <v>459</v>
      </c>
      <c r="I119" s="4">
        <v>3211101</v>
      </c>
    </row>
    <row r="120" spans="2:9" x14ac:dyDescent="0.3">
      <c r="B120" s="44">
        <v>46046</v>
      </c>
      <c r="C120" s="3" t="s">
        <v>416</v>
      </c>
      <c r="D120" s="3" t="s">
        <v>593</v>
      </c>
      <c r="E120" s="101"/>
      <c r="F120" s="3" t="s">
        <v>633</v>
      </c>
      <c r="G120" s="4">
        <v>3194607</v>
      </c>
      <c r="H120" s="4" t="s">
        <v>631</v>
      </c>
      <c r="I120" s="4">
        <v>4023209</v>
      </c>
    </row>
    <row r="121" spans="2:9" x14ac:dyDescent="0.3">
      <c r="B121" s="44">
        <v>46046</v>
      </c>
      <c r="C121" s="3" t="s">
        <v>416</v>
      </c>
      <c r="D121" s="3" t="s">
        <v>593</v>
      </c>
      <c r="E121" s="101"/>
      <c r="F121" s="3" t="s">
        <v>396</v>
      </c>
      <c r="G121" s="4">
        <v>3197104</v>
      </c>
      <c r="H121" s="4" t="s">
        <v>639</v>
      </c>
      <c r="I121" s="4">
        <v>3776805</v>
      </c>
    </row>
    <row r="122" spans="2:9" x14ac:dyDescent="0.3">
      <c r="B122" s="44">
        <v>46046</v>
      </c>
      <c r="C122" s="3" t="s">
        <v>416</v>
      </c>
      <c r="D122" s="3" t="s">
        <v>593</v>
      </c>
      <c r="E122" s="101"/>
      <c r="F122" s="3" t="s">
        <v>628</v>
      </c>
      <c r="G122" s="4" t="s">
        <v>642</v>
      </c>
      <c r="H122" s="4" t="s">
        <v>630</v>
      </c>
      <c r="I122" s="4">
        <v>3206308</v>
      </c>
    </row>
    <row r="123" spans="2:9" x14ac:dyDescent="0.3">
      <c r="B123" s="4"/>
      <c r="E123" s="101"/>
      <c r="F123" s="3" t="s">
        <v>418</v>
      </c>
      <c r="G123" s="4" t="s">
        <v>418</v>
      </c>
      <c r="H123" s="4" t="s">
        <v>418</v>
      </c>
      <c r="I123" s="4" t="s">
        <v>418</v>
      </c>
    </row>
    <row r="124" spans="2:9" x14ac:dyDescent="0.3">
      <c r="B124" s="44">
        <v>46053</v>
      </c>
      <c r="C124" s="3" t="s">
        <v>416</v>
      </c>
      <c r="D124" s="3" t="s">
        <v>593</v>
      </c>
      <c r="E124" s="101"/>
      <c r="F124" s="3" t="s">
        <v>459</v>
      </c>
      <c r="G124" s="4">
        <v>3211101</v>
      </c>
      <c r="H124" s="4" t="s">
        <v>640</v>
      </c>
      <c r="I124" s="4">
        <v>3210102</v>
      </c>
    </row>
    <row r="125" spans="2:9" x14ac:dyDescent="0.3">
      <c r="B125" s="44">
        <v>46053</v>
      </c>
      <c r="C125" s="3" t="s">
        <v>416</v>
      </c>
      <c r="D125" s="3" t="s">
        <v>593</v>
      </c>
      <c r="E125" s="101"/>
      <c r="F125" s="3" t="s">
        <v>632</v>
      </c>
      <c r="G125" s="4">
        <v>4023303</v>
      </c>
      <c r="H125" s="4" t="s">
        <v>633</v>
      </c>
      <c r="I125" s="4">
        <v>3194607</v>
      </c>
    </row>
    <row r="126" spans="2:9" x14ac:dyDescent="0.3">
      <c r="B126" s="44">
        <v>46053</v>
      </c>
      <c r="C126" s="3" t="s">
        <v>416</v>
      </c>
      <c r="D126" s="3" t="s">
        <v>593</v>
      </c>
      <c r="E126" s="101"/>
      <c r="F126" s="3" t="s">
        <v>631</v>
      </c>
      <c r="G126" s="4">
        <v>4023209</v>
      </c>
      <c r="H126" s="4" t="s">
        <v>397</v>
      </c>
      <c r="I126" s="4">
        <v>3195908</v>
      </c>
    </row>
    <row r="127" spans="2:9" x14ac:dyDescent="0.3">
      <c r="B127" s="44">
        <v>46053</v>
      </c>
      <c r="C127" s="3" t="s">
        <v>416</v>
      </c>
      <c r="D127" s="3" t="s">
        <v>593</v>
      </c>
      <c r="E127" s="101"/>
      <c r="F127" s="3" t="s">
        <v>630</v>
      </c>
      <c r="G127" s="4">
        <v>3206308</v>
      </c>
      <c r="H127" s="15" t="s">
        <v>570</v>
      </c>
      <c r="I127" s="74" t="s">
        <v>556</v>
      </c>
    </row>
    <row r="128" spans="2:9" x14ac:dyDescent="0.3">
      <c r="B128" s="44">
        <v>46053</v>
      </c>
      <c r="C128" s="3" t="s">
        <v>416</v>
      </c>
      <c r="D128" s="3" t="s">
        <v>593</v>
      </c>
      <c r="E128" s="101"/>
      <c r="F128" s="3" t="s">
        <v>629</v>
      </c>
      <c r="G128" s="4">
        <v>3961708</v>
      </c>
      <c r="H128" s="4" t="s">
        <v>396</v>
      </c>
      <c r="I128" s="4">
        <v>3197104</v>
      </c>
    </row>
    <row r="129" spans="2:9" x14ac:dyDescent="0.3">
      <c r="B129" s="44">
        <v>46053</v>
      </c>
      <c r="C129" s="3" t="s">
        <v>416</v>
      </c>
      <c r="D129" s="3" t="s">
        <v>593</v>
      </c>
      <c r="E129" s="101"/>
      <c r="F129" s="3" t="s">
        <v>639</v>
      </c>
      <c r="G129" s="4">
        <v>3776805</v>
      </c>
      <c r="H129" s="4" t="s">
        <v>628</v>
      </c>
      <c r="I129" s="4" t="s">
        <v>642</v>
      </c>
    </row>
    <row r="130" spans="2:9" x14ac:dyDescent="0.3">
      <c r="B130" s="4"/>
      <c r="E130" s="101"/>
      <c r="F130" s="3" t="s">
        <v>418</v>
      </c>
      <c r="G130" s="4" t="s">
        <v>418</v>
      </c>
      <c r="H130" s="4" t="s">
        <v>418</v>
      </c>
      <c r="I130" s="4" t="s">
        <v>418</v>
      </c>
    </row>
    <row r="131" spans="2:9" x14ac:dyDescent="0.3">
      <c r="B131" s="44">
        <v>46060</v>
      </c>
      <c r="C131" s="3" t="s">
        <v>416</v>
      </c>
      <c r="D131" s="3" t="s">
        <v>593</v>
      </c>
      <c r="E131" s="101"/>
      <c r="F131" s="3" t="s">
        <v>397</v>
      </c>
      <c r="G131" s="4">
        <v>3195908</v>
      </c>
      <c r="H131" s="4" t="s">
        <v>632</v>
      </c>
      <c r="I131" s="4">
        <v>4023303</v>
      </c>
    </row>
    <row r="132" spans="2:9" x14ac:dyDescent="0.3">
      <c r="B132" s="44">
        <v>46060</v>
      </c>
      <c r="C132" s="3" t="s">
        <v>416</v>
      </c>
      <c r="D132" s="3" t="s">
        <v>593</v>
      </c>
      <c r="E132" s="101"/>
      <c r="F132" s="15" t="s">
        <v>570</v>
      </c>
      <c r="G132" s="74" t="s">
        <v>556</v>
      </c>
      <c r="H132" s="4" t="s">
        <v>639</v>
      </c>
      <c r="I132" s="4">
        <v>3776805</v>
      </c>
    </row>
    <row r="133" spans="2:9" x14ac:dyDescent="0.3">
      <c r="B133" s="44">
        <v>46060</v>
      </c>
      <c r="C133" s="3" t="s">
        <v>416</v>
      </c>
      <c r="D133" s="3" t="s">
        <v>593</v>
      </c>
      <c r="E133" s="101"/>
      <c r="F133" s="3" t="s">
        <v>633</v>
      </c>
      <c r="G133" s="4">
        <v>3194607</v>
      </c>
      <c r="H133" s="4" t="s">
        <v>459</v>
      </c>
      <c r="I133" s="4">
        <v>3211101</v>
      </c>
    </row>
    <row r="134" spans="2:9" x14ac:dyDescent="0.3">
      <c r="B134" s="44">
        <v>46060</v>
      </c>
      <c r="C134" s="3" t="s">
        <v>416</v>
      </c>
      <c r="D134" s="3" t="s">
        <v>593</v>
      </c>
      <c r="E134" s="101"/>
      <c r="F134" s="3" t="s">
        <v>396</v>
      </c>
      <c r="G134" s="4">
        <v>3197104</v>
      </c>
      <c r="H134" s="4" t="s">
        <v>631</v>
      </c>
      <c r="I134" s="4">
        <v>4023209</v>
      </c>
    </row>
    <row r="135" spans="2:9" x14ac:dyDescent="0.3">
      <c r="B135" s="44">
        <v>46060</v>
      </c>
      <c r="C135" s="3" t="s">
        <v>416</v>
      </c>
      <c r="D135" s="3" t="s">
        <v>593</v>
      </c>
      <c r="E135" s="101"/>
      <c r="F135" s="3" t="s">
        <v>640</v>
      </c>
      <c r="G135" s="4">
        <v>3210102</v>
      </c>
      <c r="H135" s="4" t="s">
        <v>630</v>
      </c>
      <c r="I135" s="4">
        <v>3206308</v>
      </c>
    </row>
    <row r="136" spans="2:9" x14ac:dyDescent="0.3">
      <c r="B136" s="44">
        <v>46060</v>
      </c>
      <c r="C136" s="3" t="s">
        <v>416</v>
      </c>
      <c r="D136" s="3" t="s">
        <v>593</v>
      </c>
      <c r="E136" s="101"/>
      <c r="F136" s="3" t="s">
        <v>628</v>
      </c>
      <c r="G136" s="4" t="s">
        <v>642</v>
      </c>
      <c r="H136" s="4" t="s">
        <v>629</v>
      </c>
      <c r="I136" s="4">
        <v>3961708</v>
      </c>
    </row>
    <row r="137" spans="2:9" x14ac:dyDescent="0.3">
      <c r="B137" s="4"/>
      <c r="E137" s="101"/>
      <c r="F137" s="3" t="s">
        <v>418</v>
      </c>
      <c r="G137" s="4" t="s">
        <v>418</v>
      </c>
      <c r="H137" s="4" t="s">
        <v>418</v>
      </c>
      <c r="I137" s="4" t="s">
        <v>418</v>
      </c>
    </row>
    <row r="138" spans="2:9" x14ac:dyDescent="0.3">
      <c r="B138" s="44">
        <v>46074</v>
      </c>
      <c r="C138" s="3" t="s">
        <v>416</v>
      </c>
      <c r="D138" s="3" t="s">
        <v>593</v>
      </c>
      <c r="E138" s="101"/>
      <c r="F138" s="3" t="s">
        <v>459</v>
      </c>
      <c r="G138" s="4">
        <v>3211101</v>
      </c>
      <c r="H138" s="4" t="s">
        <v>630</v>
      </c>
      <c r="I138" s="4">
        <v>3206308</v>
      </c>
    </row>
    <row r="139" spans="2:9" x14ac:dyDescent="0.3">
      <c r="B139" s="44">
        <v>46074</v>
      </c>
      <c r="C139" s="3" t="s">
        <v>416</v>
      </c>
      <c r="D139" s="3" t="s">
        <v>593</v>
      </c>
      <c r="E139" s="101"/>
      <c r="F139" s="3" t="s">
        <v>632</v>
      </c>
      <c r="G139" s="4">
        <v>4023303</v>
      </c>
      <c r="H139" s="4" t="s">
        <v>396</v>
      </c>
      <c r="I139" s="4">
        <v>3197104</v>
      </c>
    </row>
    <row r="140" spans="2:9" x14ac:dyDescent="0.3">
      <c r="B140" s="44">
        <v>46074</v>
      </c>
      <c r="C140" s="3" t="s">
        <v>416</v>
      </c>
      <c r="D140" s="3" t="s">
        <v>593</v>
      </c>
      <c r="E140" s="101"/>
      <c r="F140" s="3" t="s">
        <v>633</v>
      </c>
      <c r="G140" s="4">
        <v>3194607</v>
      </c>
      <c r="H140" s="4" t="s">
        <v>397</v>
      </c>
      <c r="I140" s="4">
        <v>3195908</v>
      </c>
    </row>
    <row r="141" spans="2:9" x14ac:dyDescent="0.3">
      <c r="B141" s="44">
        <v>46074</v>
      </c>
      <c r="C141" s="3" t="s">
        <v>416</v>
      </c>
      <c r="D141" s="3" t="s">
        <v>593</v>
      </c>
      <c r="E141" s="101"/>
      <c r="F141" s="3" t="s">
        <v>631</v>
      </c>
      <c r="G141" s="4">
        <v>4023209</v>
      </c>
      <c r="H141" s="4" t="s">
        <v>628</v>
      </c>
      <c r="I141" s="4" t="s">
        <v>642</v>
      </c>
    </row>
    <row r="142" spans="2:9" x14ac:dyDescent="0.3">
      <c r="B142" s="44">
        <v>46074</v>
      </c>
      <c r="C142" s="3" t="s">
        <v>416</v>
      </c>
      <c r="D142" s="3" t="s">
        <v>593</v>
      </c>
      <c r="E142" s="101"/>
      <c r="F142" s="3" t="s">
        <v>629</v>
      </c>
      <c r="G142" s="4">
        <v>3961708</v>
      </c>
      <c r="H142" s="15" t="s">
        <v>570</v>
      </c>
      <c r="I142" s="74" t="s">
        <v>556</v>
      </c>
    </row>
    <row r="143" spans="2:9" x14ac:dyDescent="0.3">
      <c r="B143" s="44">
        <v>46074</v>
      </c>
      <c r="C143" s="3" t="s">
        <v>416</v>
      </c>
      <c r="D143" s="3" t="s">
        <v>593</v>
      </c>
      <c r="E143" s="101"/>
      <c r="F143" s="3" t="s">
        <v>639</v>
      </c>
      <c r="G143" s="4">
        <v>3776805</v>
      </c>
      <c r="H143" s="4" t="s">
        <v>640</v>
      </c>
      <c r="I143" s="4">
        <v>3210102</v>
      </c>
    </row>
    <row r="144" spans="2:9" x14ac:dyDescent="0.3">
      <c r="B144" s="4"/>
      <c r="E144" s="101"/>
      <c r="F144" s="3" t="s">
        <v>418</v>
      </c>
      <c r="G144" s="4" t="s">
        <v>418</v>
      </c>
      <c r="H144" s="4" t="s">
        <v>418</v>
      </c>
      <c r="I144" s="4" t="s">
        <v>418</v>
      </c>
    </row>
    <row r="145" spans="2:9" x14ac:dyDescent="0.3">
      <c r="B145" s="44">
        <v>46081</v>
      </c>
      <c r="C145" s="3" t="s">
        <v>416</v>
      </c>
      <c r="D145" s="3" t="s">
        <v>593</v>
      </c>
      <c r="E145" s="101"/>
      <c r="F145" s="3" t="s">
        <v>397</v>
      </c>
      <c r="G145" s="4">
        <v>3195908</v>
      </c>
      <c r="H145" s="4" t="s">
        <v>459</v>
      </c>
      <c r="I145" s="4">
        <v>3211101</v>
      </c>
    </row>
    <row r="146" spans="2:9" x14ac:dyDescent="0.3">
      <c r="B146" s="44">
        <v>46081</v>
      </c>
      <c r="C146" s="3" t="s">
        <v>416</v>
      </c>
      <c r="D146" s="3" t="s">
        <v>593</v>
      </c>
      <c r="E146" s="101"/>
      <c r="F146" s="15" t="s">
        <v>570</v>
      </c>
      <c r="G146" s="74" t="s">
        <v>556</v>
      </c>
      <c r="H146" s="4" t="s">
        <v>631</v>
      </c>
      <c r="I146" s="4">
        <v>4023209</v>
      </c>
    </row>
    <row r="147" spans="2:9" x14ac:dyDescent="0.3">
      <c r="B147" s="44">
        <v>46081</v>
      </c>
      <c r="C147" s="3" t="s">
        <v>416</v>
      </c>
      <c r="D147" s="3" t="s">
        <v>593</v>
      </c>
      <c r="E147" s="101"/>
      <c r="F147" s="3" t="s">
        <v>630</v>
      </c>
      <c r="G147" s="4">
        <v>3206308</v>
      </c>
      <c r="H147" s="4" t="s">
        <v>639</v>
      </c>
      <c r="I147" s="4">
        <v>3776805</v>
      </c>
    </row>
    <row r="148" spans="2:9" x14ac:dyDescent="0.3">
      <c r="B148" s="44">
        <v>46081</v>
      </c>
      <c r="C148" s="3" t="s">
        <v>416</v>
      </c>
      <c r="D148" s="3" t="s">
        <v>593</v>
      </c>
      <c r="E148" s="101"/>
      <c r="F148" s="3" t="s">
        <v>396</v>
      </c>
      <c r="G148" s="4">
        <v>3197104</v>
      </c>
      <c r="H148" s="4" t="s">
        <v>633</v>
      </c>
      <c r="I148" s="4">
        <v>3194607</v>
      </c>
    </row>
    <row r="149" spans="2:9" x14ac:dyDescent="0.3">
      <c r="B149" s="44">
        <v>46081</v>
      </c>
      <c r="C149" s="3" t="s">
        <v>416</v>
      </c>
      <c r="D149" s="3" t="s">
        <v>593</v>
      </c>
      <c r="E149" s="101"/>
      <c r="F149" s="3" t="s">
        <v>640</v>
      </c>
      <c r="G149" s="4">
        <v>3210102</v>
      </c>
      <c r="H149" s="4" t="s">
        <v>629</v>
      </c>
      <c r="I149" s="4">
        <v>3961708</v>
      </c>
    </row>
    <row r="150" spans="2:9" x14ac:dyDescent="0.3">
      <c r="B150" s="44">
        <v>46081</v>
      </c>
      <c r="C150" s="3" t="s">
        <v>416</v>
      </c>
      <c r="D150" s="3" t="s">
        <v>593</v>
      </c>
      <c r="E150" s="101"/>
      <c r="F150" s="3" t="s">
        <v>628</v>
      </c>
      <c r="G150" s="4" t="s">
        <v>642</v>
      </c>
      <c r="H150" s="4" t="s">
        <v>632</v>
      </c>
      <c r="I150" s="4">
        <v>4023303</v>
      </c>
    </row>
    <row r="151" spans="2:9" x14ac:dyDescent="0.3">
      <c r="B151" s="4"/>
      <c r="E151" s="101"/>
      <c r="F151" s="3" t="s">
        <v>418</v>
      </c>
      <c r="G151" s="4" t="s">
        <v>418</v>
      </c>
      <c r="H151" s="4" t="s">
        <v>418</v>
      </c>
      <c r="I151" s="4" t="s">
        <v>418</v>
      </c>
    </row>
    <row r="152" spans="2:9" x14ac:dyDescent="0.3">
      <c r="B152" s="44">
        <v>46088</v>
      </c>
      <c r="C152" s="3" t="s">
        <v>416</v>
      </c>
      <c r="D152" s="3" t="s">
        <v>593</v>
      </c>
      <c r="E152" s="101"/>
      <c r="F152" s="3" t="s">
        <v>397</v>
      </c>
      <c r="G152" s="4">
        <v>3195908</v>
      </c>
      <c r="H152" s="4" t="s">
        <v>396</v>
      </c>
      <c r="I152" s="4">
        <v>3197104</v>
      </c>
    </row>
    <row r="153" spans="2:9" x14ac:dyDescent="0.3">
      <c r="B153" s="44">
        <v>46088</v>
      </c>
      <c r="C153" s="3" t="s">
        <v>416</v>
      </c>
      <c r="D153" s="3" t="s">
        <v>593</v>
      </c>
      <c r="E153" s="101"/>
      <c r="F153" s="3" t="s">
        <v>459</v>
      </c>
      <c r="G153" s="4">
        <v>3211101</v>
      </c>
      <c r="H153" s="4" t="s">
        <v>639</v>
      </c>
      <c r="I153" s="4">
        <v>3776805</v>
      </c>
    </row>
    <row r="154" spans="2:9" x14ac:dyDescent="0.3">
      <c r="B154" s="44">
        <v>46088</v>
      </c>
      <c r="C154" s="3" t="s">
        <v>416</v>
      </c>
      <c r="D154" s="3" t="s">
        <v>593</v>
      </c>
      <c r="E154" s="101"/>
      <c r="F154" s="3" t="s">
        <v>632</v>
      </c>
      <c r="G154" s="4">
        <v>4023303</v>
      </c>
      <c r="H154" s="15" t="s">
        <v>570</v>
      </c>
      <c r="I154" s="74" t="s">
        <v>556</v>
      </c>
    </row>
    <row r="155" spans="2:9" x14ac:dyDescent="0.3">
      <c r="B155" s="44">
        <v>46088</v>
      </c>
      <c r="C155" s="3" t="s">
        <v>416</v>
      </c>
      <c r="D155" s="3" t="s">
        <v>593</v>
      </c>
      <c r="E155" s="101"/>
      <c r="F155" s="3" t="s">
        <v>633</v>
      </c>
      <c r="G155" s="4">
        <v>3194607</v>
      </c>
      <c r="H155" s="4" t="s">
        <v>628</v>
      </c>
      <c r="I155" s="4" t="s">
        <v>642</v>
      </c>
    </row>
    <row r="156" spans="2:9" x14ac:dyDescent="0.3">
      <c r="B156" s="44">
        <v>46088</v>
      </c>
      <c r="C156" s="3" t="s">
        <v>416</v>
      </c>
      <c r="D156" s="3" t="s">
        <v>593</v>
      </c>
      <c r="E156" s="101"/>
      <c r="F156" s="3" t="s">
        <v>631</v>
      </c>
      <c r="G156" s="4">
        <v>4023209</v>
      </c>
      <c r="H156" s="4" t="s">
        <v>640</v>
      </c>
      <c r="I156" s="4">
        <v>3210102</v>
      </c>
    </row>
    <row r="157" spans="2:9" x14ac:dyDescent="0.3">
      <c r="B157" s="44">
        <v>46088</v>
      </c>
      <c r="C157" s="3" t="s">
        <v>416</v>
      </c>
      <c r="D157" s="3" t="s">
        <v>593</v>
      </c>
      <c r="E157" s="101"/>
      <c r="F157" s="3" t="s">
        <v>629</v>
      </c>
      <c r="G157" s="4">
        <v>3961708</v>
      </c>
      <c r="H157" s="4" t="s">
        <v>630</v>
      </c>
      <c r="I157" s="4">
        <v>3206308</v>
      </c>
    </row>
    <row r="158" spans="2:9" x14ac:dyDescent="0.3">
      <c r="B158" s="4"/>
      <c r="E158" s="101"/>
      <c r="F158" s="3" t="s">
        <v>418</v>
      </c>
      <c r="G158" s="4" t="s">
        <v>418</v>
      </c>
      <c r="H158" s="4" t="s">
        <v>418</v>
      </c>
      <c r="I158" s="4" t="s">
        <v>418</v>
      </c>
    </row>
    <row r="159" spans="2:9" x14ac:dyDescent="0.3">
      <c r="B159" s="44">
        <v>46095</v>
      </c>
      <c r="C159" s="3" t="s">
        <v>416</v>
      </c>
      <c r="D159" s="3" t="s">
        <v>593</v>
      </c>
      <c r="E159" s="101"/>
      <c r="F159" s="15" t="s">
        <v>570</v>
      </c>
      <c r="G159" s="74" t="s">
        <v>556</v>
      </c>
      <c r="H159" s="4" t="s">
        <v>633</v>
      </c>
      <c r="I159" s="4">
        <v>3194607</v>
      </c>
    </row>
    <row r="160" spans="2:9" x14ac:dyDescent="0.3">
      <c r="B160" s="44">
        <v>46095</v>
      </c>
      <c r="C160" s="3" t="s">
        <v>416</v>
      </c>
      <c r="D160" s="3" t="s">
        <v>593</v>
      </c>
      <c r="E160" s="101"/>
      <c r="F160" s="3" t="s">
        <v>630</v>
      </c>
      <c r="G160" s="4">
        <v>3206308</v>
      </c>
      <c r="H160" s="4" t="s">
        <v>631</v>
      </c>
      <c r="I160" s="4">
        <v>4023209</v>
      </c>
    </row>
    <row r="161" spans="2:9" x14ac:dyDescent="0.3">
      <c r="B161" s="44">
        <v>46095</v>
      </c>
      <c r="C161" s="3" t="s">
        <v>416</v>
      </c>
      <c r="D161" s="3" t="s">
        <v>593</v>
      </c>
      <c r="E161" s="101"/>
      <c r="F161" s="3" t="s">
        <v>396</v>
      </c>
      <c r="G161" s="4">
        <v>3197104</v>
      </c>
      <c r="H161" s="4" t="s">
        <v>459</v>
      </c>
      <c r="I161" s="4">
        <v>3211101</v>
      </c>
    </row>
    <row r="162" spans="2:9" x14ac:dyDescent="0.3">
      <c r="B162" s="44">
        <v>46095</v>
      </c>
      <c r="C162" s="3" t="s">
        <v>416</v>
      </c>
      <c r="D162" s="3" t="s">
        <v>593</v>
      </c>
      <c r="E162" s="101"/>
      <c r="F162" s="3" t="s">
        <v>640</v>
      </c>
      <c r="G162" s="4">
        <v>3210102</v>
      </c>
      <c r="H162" s="4" t="s">
        <v>632</v>
      </c>
      <c r="I162" s="4">
        <v>4023303</v>
      </c>
    </row>
    <row r="163" spans="2:9" x14ac:dyDescent="0.3">
      <c r="B163" s="44">
        <v>46095</v>
      </c>
      <c r="C163" s="3" t="s">
        <v>416</v>
      </c>
      <c r="D163" s="3" t="s">
        <v>593</v>
      </c>
      <c r="E163" s="101"/>
      <c r="F163" s="3" t="s">
        <v>628</v>
      </c>
      <c r="G163" s="4" t="s">
        <v>642</v>
      </c>
      <c r="H163" s="4" t="s">
        <v>397</v>
      </c>
      <c r="I163" s="4">
        <v>3195908</v>
      </c>
    </row>
    <row r="164" spans="2:9" x14ac:dyDescent="0.3">
      <c r="B164" s="44">
        <v>46095</v>
      </c>
      <c r="C164" s="3" t="s">
        <v>416</v>
      </c>
      <c r="D164" s="3" t="s">
        <v>593</v>
      </c>
      <c r="E164" s="101"/>
      <c r="F164" s="3" t="s">
        <v>639</v>
      </c>
      <c r="G164" s="4">
        <v>3776805</v>
      </c>
      <c r="H164" s="4" t="s">
        <v>629</v>
      </c>
      <c r="I164" s="4">
        <v>3961708</v>
      </c>
    </row>
    <row r="165" spans="2:9" x14ac:dyDescent="0.3">
      <c r="B165" s="4"/>
      <c r="E165" s="101"/>
      <c r="F165" s="3" t="s">
        <v>418</v>
      </c>
      <c r="G165" s="4" t="s">
        <v>418</v>
      </c>
      <c r="H165" s="4" t="s">
        <v>418</v>
      </c>
      <c r="I165" s="4" t="s">
        <v>418</v>
      </c>
    </row>
    <row r="166" spans="2:9" x14ac:dyDescent="0.3">
      <c r="B166" s="44">
        <v>46102</v>
      </c>
      <c r="C166" s="3" t="s">
        <v>416</v>
      </c>
      <c r="D166" s="3" t="s">
        <v>593</v>
      </c>
      <c r="E166" s="101"/>
      <c r="F166" s="3" t="s">
        <v>397</v>
      </c>
      <c r="G166" s="4">
        <v>3195908</v>
      </c>
      <c r="H166" s="15" t="s">
        <v>570</v>
      </c>
      <c r="I166" s="74" t="s">
        <v>556</v>
      </c>
    </row>
    <row r="167" spans="2:9" x14ac:dyDescent="0.3">
      <c r="B167" s="44">
        <v>46102</v>
      </c>
      <c r="C167" s="3" t="s">
        <v>416</v>
      </c>
      <c r="D167" s="3" t="s">
        <v>593</v>
      </c>
      <c r="E167" s="101"/>
      <c r="F167" s="3" t="s">
        <v>459</v>
      </c>
      <c r="G167" s="4">
        <v>3211101</v>
      </c>
      <c r="H167" s="4" t="s">
        <v>629</v>
      </c>
      <c r="I167" s="4">
        <v>3961708</v>
      </c>
    </row>
    <row r="168" spans="2:9" x14ac:dyDescent="0.3">
      <c r="B168" s="44">
        <v>46102</v>
      </c>
      <c r="C168" s="3" t="s">
        <v>416</v>
      </c>
      <c r="D168" s="3" t="s">
        <v>593</v>
      </c>
      <c r="E168" s="101"/>
      <c r="F168" s="3" t="s">
        <v>632</v>
      </c>
      <c r="G168" s="4">
        <v>4023303</v>
      </c>
      <c r="H168" s="4" t="s">
        <v>630</v>
      </c>
      <c r="I168" s="4">
        <v>3206308</v>
      </c>
    </row>
    <row r="169" spans="2:9" x14ac:dyDescent="0.3">
      <c r="B169" s="44">
        <v>46102</v>
      </c>
      <c r="C169" s="3" t="s">
        <v>416</v>
      </c>
      <c r="D169" s="3" t="s">
        <v>593</v>
      </c>
      <c r="E169" s="101"/>
      <c r="F169" s="3" t="s">
        <v>633</v>
      </c>
      <c r="G169" s="4">
        <v>3194607</v>
      </c>
      <c r="H169" s="4" t="s">
        <v>640</v>
      </c>
      <c r="I169" s="4">
        <v>3210102</v>
      </c>
    </row>
    <row r="170" spans="2:9" x14ac:dyDescent="0.3">
      <c r="B170" s="44">
        <v>46102</v>
      </c>
      <c r="C170" s="3" t="s">
        <v>416</v>
      </c>
      <c r="D170" s="3" t="s">
        <v>593</v>
      </c>
      <c r="E170" s="101"/>
      <c r="F170" s="3" t="s">
        <v>631</v>
      </c>
      <c r="G170" s="4">
        <v>4023209</v>
      </c>
      <c r="H170" s="4" t="s">
        <v>639</v>
      </c>
      <c r="I170" s="4">
        <v>3776805</v>
      </c>
    </row>
    <row r="171" spans="2:9" x14ac:dyDescent="0.3">
      <c r="B171" s="44">
        <v>46102</v>
      </c>
      <c r="C171" s="3" t="s">
        <v>416</v>
      </c>
      <c r="D171" s="3" t="s">
        <v>593</v>
      </c>
      <c r="E171" s="101"/>
      <c r="F171" s="3" t="s">
        <v>396</v>
      </c>
      <c r="G171" s="4">
        <v>3197104</v>
      </c>
      <c r="H171" s="4" t="s">
        <v>628</v>
      </c>
      <c r="I171" s="4" t="s">
        <v>642</v>
      </c>
    </row>
    <row r="172" spans="2:9" x14ac:dyDescent="0.3">
      <c r="B172" s="4"/>
      <c r="E172" s="101"/>
      <c r="F172" s="3" t="s">
        <v>418</v>
      </c>
      <c r="G172" s="4" t="s">
        <v>418</v>
      </c>
      <c r="H172" s="4" t="s">
        <v>418</v>
      </c>
      <c r="I172" s="4" t="s">
        <v>418</v>
      </c>
    </row>
    <row r="173" spans="2:9" x14ac:dyDescent="0.3">
      <c r="B173" s="44">
        <v>46109</v>
      </c>
      <c r="C173" s="3" t="s">
        <v>416</v>
      </c>
      <c r="D173" s="3" t="s">
        <v>593</v>
      </c>
      <c r="E173" s="101"/>
      <c r="F173" s="15" t="s">
        <v>570</v>
      </c>
      <c r="G173" s="74" t="s">
        <v>556</v>
      </c>
      <c r="H173" s="4" t="s">
        <v>396</v>
      </c>
      <c r="I173" s="4">
        <v>3197104</v>
      </c>
    </row>
    <row r="174" spans="2:9" x14ac:dyDescent="0.3">
      <c r="B174" s="44">
        <v>46109</v>
      </c>
      <c r="C174" s="3" t="s">
        <v>416</v>
      </c>
      <c r="D174" s="3" t="s">
        <v>593</v>
      </c>
      <c r="E174" s="101"/>
      <c r="F174" s="3" t="s">
        <v>630</v>
      </c>
      <c r="G174" s="4">
        <v>3206308</v>
      </c>
      <c r="H174" s="4" t="s">
        <v>633</v>
      </c>
      <c r="I174" s="4">
        <v>3194607</v>
      </c>
    </row>
    <row r="175" spans="2:9" x14ac:dyDescent="0.3">
      <c r="B175" s="44">
        <v>46109</v>
      </c>
      <c r="C175" s="3" t="s">
        <v>416</v>
      </c>
      <c r="D175" s="3" t="s">
        <v>593</v>
      </c>
      <c r="E175" s="101"/>
      <c r="F175" s="3" t="s">
        <v>640</v>
      </c>
      <c r="G175" s="4">
        <v>3210102</v>
      </c>
      <c r="H175" s="4" t="s">
        <v>397</v>
      </c>
      <c r="I175" s="4">
        <v>3195908</v>
      </c>
    </row>
    <row r="176" spans="2:9" x14ac:dyDescent="0.3">
      <c r="B176" s="44">
        <v>46109</v>
      </c>
      <c r="C176" s="3" t="s">
        <v>416</v>
      </c>
      <c r="D176" s="3" t="s">
        <v>593</v>
      </c>
      <c r="E176" s="101"/>
      <c r="F176" s="3" t="s">
        <v>628</v>
      </c>
      <c r="G176" s="4" t="s">
        <v>642</v>
      </c>
      <c r="H176" s="4" t="s">
        <v>459</v>
      </c>
      <c r="I176" s="4">
        <v>3211101</v>
      </c>
    </row>
    <row r="177" spans="2:9" x14ac:dyDescent="0.3">
      <c r="B177" s="44">
        <v>46109</v>
      </c>
      <c r="C177" s="3" t="s">
        <v>416</v>
      </c>
      <c r="D177" s="3" t="s">
        <v>593</v>
      </c>
      <c r="E177" s="101"/>
      <c r="F177" s="3" t="s">
        <v>629</v>
      </c>
      <c r="G177" s="4">
        <v>3961708</v>
      </c>
      <c r="H177" s="4" t="s">
        <v>631</v>
      </c>
      <c r="I177" s="4">
        <v>4023209</v>
      </c>
    </row>
    <row r="178" spans="2:9" x14ac:dyDescent="0.3">
      <c r="B178" s="44">
        <v>46109</v>
      </c>
      <c r="C178" s="3" t="s">
        <v>416</v>
      </c>
      <c r="D178" s="3" t="s">
        <v>593</v>
      </c>
      <c r="E178" s="101"/>
      <c r="F178" s="3" t="s">
        <v>639</v>
      </c>
      <c r="G178" s="4">
        <v>3776805</v>
      </c>
      <c r="H178" s="4" t="s">
        <v>632</v>
      </c>
      <c r="I178" s="4">
        <v>4023303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3171" priority="421"/>
  </conditionalFormatting>
  <conditionalFormatting sqref="B14 B18 B20 B22">
    <cfRule type="duplicateValues" dxfId="3170" priority="2608"/>
  </conditionalFormatting>
  <conditionalFormatting sqref="F179:H1048576 F1:H9 F22:H25 G10:G21">
    <cfRule type="containsText" dxfId="3169" priority="147" operator="containsText" text="mos">
      <formula>NOT(ISERROR(SEARCH("mos",F1)))</formula>
    </cfRule>
    <cfRule type="containsText" dxfId="3168" priority="148" operator="containsText" text="bu">
      <formula>NOT(ISERROR(SEARCH("bu",F1)))</formula>
    </cfRule>
    <cfRule type="containsText" dxfId="3167" priority="149" operator="containsText" text="ur">
      <formula>NOT(ISERROR(SEARCH("ur",F1)))</formula>
    </cfRule>
    <cfRule type="containsText" dxfId="3166" priority="150" operator="containsText" text="stock">
      <formula>NOT(ISERROR(SEARCH("stock",F1)))</formula>
    </cfRule>
    <cfRule type="containsText" dxfId="3165" priority="151" operator="containsText" text="did">
      <formula>NOT(ISERROR(SEARCH("did",F1)))</formula>
    </cfRule>
    <cfRule type="containsText" dxfId="3164" priority="152" operator="containsText" text="bolto">
      <formula>NOT(ISERROR(SEARCH("bolto",F1)))</formula>
    </cfRule>
  </conditionalFormatting>
  <conditionalFormatting sqref="K3:K4 K7:K8">
    <cfRule type="duplicateValues" dxfId="3163" priority="2607"/>
  </conditionalFormatting>
  <conditionalFormatting sqref="K5">
    <cfRule type="duplicateValues" dxfId="3162" priority="419"/>
  </conditionalFormatting>
  <conditionalFormatting sqref="I33">
    <cfRule type="duplicateValues" dxfId="3161" priority="146"/>
  </conditionalFormatting>
  <conditionalFormatting sqref="I35">
    <cfRule type="duplicateValues" dxfId="3160" priority="100"/>
  </conditionalFormatting>
  <conditionalFormatting sqref="I36">
    <cfRule type="duplicateValues" dxfId="3159" priority="130"/>
  </conditionalFormatting>
  <conditionalFormatting sqref="I37">
    <cfRule type="duplicateValues" dxfId="3158" priority="110"/>
  </conditionalFormatting>
  <conditionalFormatting sqref="I38">
    <cfRule type="duplicateValues" dxfId="3157" priority="120"/>
  </conditionalFormatting>
  <conditionalFormatting sqref="I40">
    <cfRule type="duplicateValues" dxfId="3156" priority="80"/>
  </conditionalFormatting>
  <conditionalFormatting sqref="I41">
    <cfRule type="duplicateValues" dxfId="3155" priority="145"/>
  </conditionalFormatting>
  <conditionalFormatting sqref="I42">
    <cfRule type="duplicateValues" dxfId="3154" priority="59"/>
  </conditionalFormatting>
  <conditionalFormatting sqref="I44">
    <cfRule type="duplicateValues" dxfId="3153" priority="43"/>
  </conditionalFormatting>
  <conditionalFormatting sqref="I45">
    <cfRule type="duplicateValues" dxfId="3152" priority="69"/>
  </conditionalFormatting>
  <conditionalFormatting sqref="I47">
    <cfRule type="duplicateValues" dxfId="3151" priority="119"/>
  </conditionalFormatting>
  <conditionalFormatting sqref="I48">
    <cfRule type="duplicateValues" dxfId="3150" priority="78"/>
  </conditionalFormatting>
  <conditionalFormatting sqref="I49">
    <cfRule type="duplicateValues" dxfId="3149" priority="79"/>
  </conditionalFormatting>
  <conditionalFormatting sqref="I50">
    <cfRule type="duplicateValues" dxfId="3148" priority="109"/>
  </conditionalFormatting>
  <conditionalFormatting sqref="I51">
    <cfRule type="duplicateValues" dxfId="3147" priority="90"/>
  </conditionalFormatting>
  <conditionalFormatting sqref="I52">
    <cfRule type="duplicateValues" dxfId="3146" priority="99"/>
  </conditionalFormatting>
  <conditionalFormatting sqref="I54">
    <cfRule type="duplicateValues" dxfId="3145" priority="68"/>
  </conditionalFormatting>
  <conditionalFormatting sqref="I55">
    <cfRule type="duplicateValues" dxfId="3144" priority="42"/>
  </conditionalFormatting>
  <conditionalFormatting sqref="I56">
    <cfRule type="duplicateValues" dxfId="3143" priority="129"/>
  </conditionalFormatting>
  <conditionalFormatting sqref="I57">
    <cfRule type="duplicateValues" dxfId="3142" priority="144"/>
  </conditionalFormatting>
  <conditionalFormatting sqref="I58">
    <cfRule type="duplicateValues" dxfId="3141" priority="58"/>
  </conditionalFormatting>
  <conditionalFormatting sqref="I61">
    <cfRule type="duplicateValues" dxfId="3140" priority="98"/>
  </conditionalFormatting>
  <conditionalFormatting sqref="I62">
    <cfRule type="duplicateValues" dxfId="3139" priority="108"/>
  </conditionalFormatting>
  <conditionalFormatting sqref="I63">
    <cfRule type="duplicateValues" dxfId="3138" priority="137"/>
  </conditionalFormatting>
  <conditionalFormatting sqref="I64">
    <cfRule type="duplicateValues" dxfId="3137" priority="89"/>
  </conditionalFormatting>
  <conditionalFormatting sqref="I65">
    <cfRule type="duplicateValues" dxfId="3136" priority="67"/>
  </conditionalFormatting>
  <conditionalFormatting sqref="I66">
    <cfRule type="duplicateValues" dxfId="3135" priority="77"/>
  </conditionalFormatting>
  <conditionalFormatting sqref="I68">
    <cfRule type="duplicateValues" dxfId="3134" priority="41"/>
  </conditionalFormatting>
  <conditionalFormatting sqref="I69">
    <cfRule type="duplicateValues" dxfId="3133" priority="57"/>
  </conditionalFormatting>
  <conditionalFormatting sqref="I70">
    <cfRule type="duplicateValues" dxfId="3132" priority="51"/>
  </conditionalFormatting>
  <conditionalFormatting sqref="I72">
    <cfRule type="duplicateValues" dxfId="3131" priority="128"/>
  </conditionalFormatting>
  <conditionalFormatting sqref="I73">
    <cfRule type="duplicateValues" dxfId="3130" priority="143"/>
  </conditionalFormatting>
  <conditionalFormatting sqref="I75">
    <cfRule type="duplicateValues" dxfId="3129" priority="76"/>
  </conditionalFormatting>
  <conditionalFormatting sqref="I76">
    <cfRule type="duplicateValues" dxfId="3128" priority="88"/>
  </conditionalFormatting>
  <conditionalFormatting sqref="I77">
    <cfRule type="duplicateValues" dxfId="3127" priority="97"/>
  </conditionalFormatting>
  <conditionalFormatting sqref="I78">
    <cfRule type="duplicateValues" dxfId="3126" priority="136"/>
  </conditionalFormatting>
  <conditionalFormatting sqref="I79">
    <cfRule type="duplicateValues" dxfId="3125" priority="66"/>
  </conditionalFormatting>
  <conditionalFormatting sqref="I80">
    <cfRule type="duplicateValues" dxfId="3124" priority="40"/>
  </conditionalFormatting>
  <conditionalFormatting sqref="I82">
    <cfRule type="duplicateValues" dxfId="3123" priority="50"/>
  </conditionalFormatting>
  <conditionalFormatting sqref="I83">
    <cfRule type="duplicateValues" dxfId="3122" priority="127"/>
  </conditionalFormatting>
  <conditionalFormatting sqref="I84">
    <cfRule type="duplicateValues" dxfId="3121" priority="142"/>
  </conditionalFormatting>
  <conditionalFormatting sqref="I86">
    <cfRule type="duplicateValues" dxfId="3120" priority="118"/>
  </conditionalFormatting>
  <conditionalFormatting sqref="I87">
    <cfRule type="duplicateValues" dxfId="3119" priority="56"/>
  </conditionalFormatting>
  <conditionalFormatting sqref="I89">
    <cfRule type="duplicateValues" dxfId="3118" priority="39"/>
  </conditionalFormatting>
  <conditionalFormatting sqref="I90">
    <cfRule type="duplicateValues" dxfId="3117" priority="65"/>
  </conditionalFormatting>
  <conditionalFormatting sqref="I91">
    <cfRule type="duplicateValues" dxfId="3116" priority="75"/>
  </conditionalFormatting>
  <conditionalFormatting sqref="I92">
    <cfRule type="duplicateValues" dxfId="3115" priority="87"/>
  </conditionalFormatting>
  <conditionalFormatting sqref="I93">
    <cfRule type="duplicateValues" dxfId="3114" priority="135"/>
  </conditionalFormatting>
  <conditionalFormatting sqref="I94">
    <cfRule type="duplicateValues" dxfId="3113" priority="49"/>
  </conditionalFormatting>
  <conditionalFormatting sqref="I96">
    <cfRule type="duplicateValues" dxfId="3112" priority="55"/>
  </conditionalFormatting>
  <conditionalFormatting sqref="I97">
    <cfRule type="duplicateValues" dxfId="3111" priority="107"/>
  </conditionalFormatting>
  <conditionalFormatting sqref="I98">
    <cfRule type="duplicateValues" dxfId="3110" priority="117"/>
  </conditionalFormatting>
  <conditionalFormatting sqref="I99">
    <cfRule type="duplicateValues" dxfId="3109" priority="96"/>
  </conditionalFormatting>
  <conditionalFormatting sqref="I100">
    <cfRule type="duplicateValues" dxfId="3108" priority="126"/>
  </conditionalFormatting>
  <conditionalFormatting sqref="I103">
    <cfRule type="duplicateValues" dxfId="3107" priority="86"/>
  </conditionalFormatting>
  <conditionalFormatting sqref="I104">
    <cfRule type="duplicateValues" dxfId="3106" priority="95"/>
  </conditionalFormatting>
  <conditionalFormatting sqref="I105">
    <cfRule type="duplicateValues" dxfId="3105" priority="106"/>
  </conditionalFormatting>
  <conditionalFormatting sqref="I106">
    <cfRule type="duplicateValues" dxfId="3104" priority="141"/>
  </conditionalFormatting>
  <conditionalFormatting sqref="I107">
    <cfRule type="duplicateValues" dxfId="3103" priority="116"/>
  </conditionalFormatting>
  <conditionalFormatting sqref="I110">
    <cfRule type="duplicateValues" dxfId="3102" priority="134"/>
  </conditionalFormatting>
  <conditionalFormatting sqref="I111">
    <cfRule type="duplicateValues" dxfId="3101" priority="54"/>
  </conditionalFormatting>
  <conditionalFormatting sqref="I112">
    <cfRule type="duplicateValues" dxfId="3100" priority="48"/>
  </conditionalFormatting>
  <conditionalFormatting sqref="I113">
    <cfRule type="duplicateValues" dxfId="3099" priority="38"/>
  </conditionalFormatting>
  <conditionalFormatting sqref="I114">
    <cfRule type="duplicateValues" dxfId="3098" priority="64"/>
  </conditionalFormatting>
  <conditionalFormatting sqref="I115">
    <cfRule type="duplicateValues" dxfId="3097" priority="74"/>
  </conditionalFormatting>
  <conditionalFormatting sqref="I117">
    <cfRule type="duplicateValues" dxfId="3096" priority="125"/>
  </conditionalFormatting>
  <conditionalFormatting sqref="I118">
    <cfRule type="duplicateValues" dxfId="3095" priority="33"/>
  </conditionalFormatting>
  <conditionalFormatting sqref="I119">
    <cfRule type="duplicateValues" dxfId="3094" priority="85"/>
  </conditionalFormatting>
  <conditionalFormatting sqref="I120">
    <cfRule type="duplicateValues" dxfId="3093" priority="115"/>
  </conditionalFormatting>
  <conditionalFormatting sqref="I121">
    <cfRule type="duplicateValues" dxfId="3092" priority="94"/>
  </conditionalFormatting>
  <conditionalFormatting sqref="I122">
    <cfRule type="duplicateValues" dxfId="3091" priority="105"/>
  </conditionalFormatting>
  <conditionalFormatting sqref="I124">
    <cfRule type="duplicateValues" dxfId="3090" priority="124"/>
  </conditionalFormatting>
  <conditionalFormatting sqref="I125">
    <cfRule type="duplicateValues" dxfId="3089" priority="63"/>
  </conditionalFormatting>
  <conditionalFormatting sqref="I126">
    <cfRule type="duplicateValues" dxfId="3088" priority="140"/>
  </conditionalFormatting>
  <conditionalFormatting sqref="I128">
    <cfRule type="duplicateValues" dxfId="3087" priority="47"/>
  </conditionalFormatting>
  <conditionalFormatting sqref="I129">
    <cfRule type="duplicateValues" dxfId="3086" priority="37"/>
  </conditionalFormatting>
  <conditionalFormatting sqref="I131">
    <cfRule type="duplicateValues" dxfId="3085" priority="104"/>
  </conditionalFormatting>
  <conditionalFormatting sqref="I132">
    <cfRule type="duplicateValues" dxfId="3084" priority="114"/>
  </conditionalFormatting>
  <conditionalFormatting sqref="I133">
    <cfRule type="duplicateValues" dxfId="3083" priority="32"/>
  </conditionalFormatting>
  <conditionalFormatting sqref="I134">
    <cfRule type="duplicateValues" dxfId="3082" priority="93"/>
  </conditionalFormatting>
  <conditionalFormatting sqref="I135">
    <cfRule type="duplicateValues" dxfId="3081" priority="73"/>
  </conditionalFormatting>
  <conditionalFormatting sqref="I136">
    <cfRule type="duplicateValues" dxfId="3080" priority="84"/>
  </conditionalFormatting>
  <conditionalFormatting sqref="I138">
    <cfRule type="duplicateValues" dxfId="3079" priority="113"/>
  </conditionalFormatting>
  <conditionalFormatting sqref="I139">
    <cfRule type="duplicateValues" dxfId="3078" priority="46"/>
  </conditionalFormatting>
  <conditionalFormatting sqref="I140">
    <cfRule type="duplicateValues" dxfId="3077" priority="36"/>
  </conditionalFormatting>
  <conditionalFormatting sqref="I141">
    <cfRule type="duplicateValues" dxfId="3076" priority="123"/>
  </conditionalFormatting>
  <conditionalFormatting sqref="I143">
    <cfRule type="duplicateValues" dxfId="3075" priority="53"/>
  </conditionalFormatting>
  <conditionalFormatting sqref="I145">
    <cfRule type="duplicateValues" dxfId="3074" priority="83"/>
  </conditionalFormatting>
  <conditionalFormatting sqref="I146">
    <cfRule type="duplicateValues" dxfId="3073" priority="92"/>
  </conditionalFormatting>
  <conditionalFormatting sqref="I147">
    <cfRule type="duplicateValues" dxfId="3072" priority="103"/>
  </conditionalFormatting>
  <conditionalFormatting sqref="I148">
    <cfRule type="duplicateValues" dxfId="3071" priority="72"/>
  </conditionalFormatting>
  <conditionalFormatting sqref="I149">
    <cfRule type="duplicateValues" dxfId="3070" priority="133"/>
  </conditionalFormatting>
  <conditionalFormatting sqref="I150">
    <cfRule type="duplicateValues" dxfId="3069" priority="62"/>
  </conditionalFormatting>
  <conditionalFormatting sqref="I152">
    <cfRule type="duplicateValues" dxfId="3068" priority="102"/>
  </conditionalFormatting>
  <conditionalFormatting sqref="I153">
    <cfRule type="duplicateValues" dxfId="3067" priority="139"/>
  </conditionalFormatting>
  <conditionalFormatting sqref="I155">
    <cfRule type="duplicateValues" dxfId="3066" priority="112"/>
  </conditionalFormatting>
  <conditionalFormatting sqref="I156">
    <cfRule type="duplicateValues" dxfId="3065" priority="122"/>
  </conditionalFormatting>
  <conditionalFormatting sqref="I157">
    <cfRule type="duplicateValues" dxfId="3064" priority="45"/>
  </conditionalFormatting>
  <conditionalFormatting sqref="I159">
    <cfRule type="duplicateValues" dxfId="3063" priority="61"/>
  </conditionalFormatting>
  <conditionalFormatting sqref="I160">
    <cfRule type="duplicateValues" dxfId="3062" priority="71"/>
  </conditionalFormatting>
  <conditionalFormatting sqref="I161">
    <cfRule type="duplicateValues" dxfId="3061" priority="82"/>
  </conditionalFormatting>
  <conditionalFormatting sqref="I162">
    <cfRule type="duplicateValues" dxfId="3060" priority="91"/>
  </conditionalFormatting>
  <conditionalFormatting sqref="I163">
    <cfRule type="duplicateValues" dxfId="3059" priority="35"/>
  </conditionalFormatting>
  <conditionalFormatting sqref="I164">
    <cfRule type="duplicateValues" dxfId="3058" priority="132"/>
  </conditionalFormatting>
  <conditionalFormatting sqref="I167">
    <cfRule type="duplicateValues" dxfId="3057" priority="111"/>
  </conditionalFormatting>
  <conditionalFormatting sqref="I168">
    <cfRule type="duplicateValues" dxfId="3056" priority="121"/>
  </conditionalFormatting>
  <conditionalFormatting sqref="I169">
    <cfRule type="duplicateValues" dxfId="3055" priority="101"/>
  </conditionalFormatting>
  <conditionalFormatting sqref="I170">
    <cfRule type="duplicateValues" dxfId="3054" priority="138"/>
  </conditionalFormatting>
  <conditionalFormatting sqref="I171">
    <cfRule type="duplicateValues" dxfId="3053" priority="52"/>
  </conditionalFormatting>
  <conditionalFormatting sqref="I173">
    <cfRule type="duplicateValues" dxfId="3052" priority="44"/>
  </conditionalFormatting>
  <conditionalFormatting sqref="I174">
    <cfRule type="duplicateValues" dxfId="3051" priority="34"/>
  </conditionalFormatting>
  <conditionalFormatting sqref="I175">
    <cfRule type="duplicateValues" dxfId="3050" priority="60"/>
  </conditionalFormatting>
  <conditionalFormatting sqref="I176">
    <cfRule type="duplicateValues" dxfId="3049" priority="70"/>
  </conditionalFormatting>
  <conditionalFormatting sqref="I177">
    <cfRule type="duplicateValues" dxfId="3048" priority="81"/>
  </conditionalFormatting>
  <conditionalFormatting sqref="I178">
    <cfRule type="duplicateValues" dxfId="3047" priority="131"/>
  </conditionalFormatting>
  <conditionalFormatting sqref="I26:I31">
    <cfRule type="duplicateValues" dxfId="3046" priority="31"/>
  </conditionalFormatting>
  <conditionalFormatting sqref="F26">
    <cfRule type="duplicateValues" dxfId="3045" priority="30"/>
  </conditionalFormatting>
  <conditionalFormatting sqref="H34">
    <cfRule type="duplicateValues" dxfId="3044" priority="29"/>
  </conditionalFormatting>
  <conditionalFormatting sqref="H43">
    <cfRule type="duplicateValues" dxfId="3043" priority="28"/>
  </conditionalFormatting>
  <conditionalFormatting sqref="F48">
    <cfRule type="duplicateValues" dxfId="3042" priority="27"/>
  </conditionalFormatting>
  <conditionalFormatting sqref="H59">
    <cfRule type="duplicateValues" dxfId="3041" priority="26"/>
  </conditionalFormatting>
  <conditionalFormatting sqref="F62">
    <cfRule type="duplicateValues" dxfId="3040" priority="25"/>
  </conditionalFormatting>
  <conditionalFormatting sqref="H71">
    <cfRule type="duplicateValues" dxfId="3039" priority="24"/>
  </conditionalFormatting>
  <conditionalFormatting sqref="F75">
    <cfRule type="duplicateValues" dxfId="3038" priority="23"/>
  </conditionalFormatting>
  <conditionalFormatting sqref="H85">
    <cfRule type="duplicateValues" dxfId="3037" priority="22"/>
  </conditionalFormatting>
  <conditionalFormatting sqref="F89">
    <cfRule type="duplicateValues" dxfId="3036" priority="21"/>
  </conditionalFormatting>
  <conditionalFormatting sqref="H101">
    <cfRule type="duplicateValues" dxfId="3035" priority="20"/>
  </conditionalFormatting>
  <conditionalFormatting sqref="H108">
    <cfRule type="duplicateValues" dxfId="3034" priority="19"/>
  </conditionalFormatting>
  <conditionalFormatting sqref="F110">
    <cfRule type="duplicateValues" dxfId="3033" priority="18"/>
  </conditionalFormatting>
  <conditionalFormatting sqref="F118">
    <cfRule type="duplicateValues" dxfId="3032" priority="17"/>
  </conditionalFormatting>
  <conditionalFormatting sqref="H127">
    <cfRule type="duplicateValues" dxfId="3031" priority="16"/>
  </conditionalFormatting>
  <conditionalFormatting sqref="F132">
    <cfRule type="duplicateValues" dxfId="3030" priority="15"/>
  </conditionalFormatting>
  <conditionalFormatting sqref="H142">
    <cfRule type="duplicateValues" dxfId="3029" priority="14"/>
  </conditionalFormatting>
  <conditionalFormatting sqref="F146">
    <cfRule type="duplicateValues" dxfId="3028" priority="13"/>
  </conditionalFormatting>
  <conditionalFormatting sqref="H154">
    <cfRule type="duplicateValues" dxfId="3027" priority="12"/>
  </conditionalFormatting>
  <conditionalFormatting sqref="F159">
    <cfRule type="duplicateValues" dxfId="3026" priority="11"/>
  </conditionalFormatting>
  <conditionalFormatting sqref="H166">
    <cfRule type="duplicateValues" dxfId="3025" priority="10"/>
  </conditionalFormatting>
  <conditionalFormatting sqref="F173">
    <cfRule type="duplicateValues" dxfId="3024" priority="9"/>
  </conditionalFormatting>
  <conditionalFormatting sqref="F26:F178">
    <cfRule type="containsText" dxfId="3023" priority="8" operator="containsText" text="sefton">
      <formula>NOT(ISERROR(SEARCH("sefton",F26)))</formula>
    </cfRule>
  </conditionalFormatting>
  <conditionalFormatting sqref="I10:L21">
    <cfRule type="cellIs" dxfId="3022" priority="3" operator="lessThan">
      <formula>5</formula>
    </cfRule>
    <cfRule type="cellIs" dxfId="3021" priority="4" operator="greaterThan">
      <formula>6</formula>
    </cfRule>
  </conditionalFormatting>
  <conditionalFormatting sqref="J10:J21">
    <cfRule type="containsText" dxfId="3020" priority="7" operator="containsText" text="c'[Fixtures All.xlsx]Women Filtered'!$F$2">
      <formula>NOT(ISERROR(SEARCH("c'[Fixtures All.xlsx]Women Filtered'!$F$2",J10)))</formula>
    </cfRule>
  </conditionalFormatting>
  <conditionalFormatting sqref="K9:K21">
    <cfRule type="containsText" dxfId="3019" priority="6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3018" priority="5" operator="containsText" text="c'[Fixtures All.xlsx]Women Filtered'!$F$2">
      <formula>NOT(ISERROR(SEARCH("c'[Fixtures All.xlsx]Women Filtered'!$F$2",L10)))</formula>
    </cfRule>
  </conditionalFormatting>
  <conditionalFormatting sqref="J10:J21">
    <cfRule type="containsText" dxfId="3017" priority="2" operator="containsText" text="c'[Fixtures All.xlsx]Women Filtered'!$F$2">
      <formula>NOT(ISERROR(SEARCH("c'[Fixtures All.xlsx]Women Filtered'!$F$2",J10)))</formula>
    </cfRule>
  </conditionalFormatting>
  <conditionalFormatting sqref="F1:I1048576">
    <cfRule type="containsText" dxfId="3016" priority="1" operator="containsText" text="Code">
      <formula>NOT(ISERROR(SEARCH("Code",F1)))</formula>
    </cfRule>
  </conditionalFormatting>
  <hyperlinks>
    <hyperlink ref="K3" location="Contents!A1" display="Back to Contents" xr:uid="{1D6B616B-7FCF-4E05-B87E-A1B135475649}"/>
    <hyperlink ref="K5:K6" location="'All Fixtures'!A1" display="See all NW Fixtures" xr:uid="{49A27B15-1B75-4BDA-A649-B9E0C7219DEE}"/>
  </hyperlinks>
  <pageMargins left="0.7" right="0.7" top="0.75" bottom="0.75" header="0.3" footer="0.3"/>
  <ignoredErrors>
    <ignoredError sqref="J10:J21" formula="1"/>
  </ignoredError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24A6-27B8-4490-A574-27A9482B91B2}">
  <dimension ref="A2:AQ181"/>
  <sheetViews>
    <sheetView workbookViewId="0"/>
  </sheetViews>
  <sheetFormatPr defaultRowHeight="14.4" x14ac:dyDescent="0.3"/>
  <cols>
    <col min="1" max="1" width="4.33203125" style="47" customWidth="1"/>
    <col min="2" max="2" width="33.21875" style="3" customWidth="1"/>
    <col min="3" max="3" width="27.6640625" style="3" customWidth="1"/>
    <col min="4" max="4" width="44" style="3" customWidth="1"/>
    <col min="5" max="5" width="15.109375" style="3" customWidth="1"/>
    <col min="6" max="6" width="32.88671875" style="3" customWidth="1"/>
    <col min="7" max="7" width="14.21875" style="4" customWidth="1"/>
    <col min="8" max="8" width="33.44140625" style="3" customWidth="1"/>
    <col min="9" max="9" width="8.88671875" style="4"/>
    <col min="10" max="10" width="8.88671875" style="3"/>
    <col min="11" max="11" width="17.77734375" style="56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592</v>
      </c>
      <c r="I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C8" s="59"/>
      <c r="D8" s="59"/>
      <c r="E8" s="59"/>
      <c r="F8" s="59"/>
      <c r="G8" s="15"/>
      <c r="H8" s="59"/>
      <c r="I8" s="15"/>
    </row>
    <row r="9" spans="1:12" ht="15" customHeight="1" x14ac:dyDescent="0.4"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196">
        <f>COUNTIF(F$20:I$98,"Alderley Edge Development (W)")</f>
        <v>20</v>
      </c>
      <c r="B10" s="193" t="s">
        <v>398</v>
      </c>
      <c r="C10" s="15">
        <v>3211601</v>
      </c>
      <c r="D10" s="192">
        <f>COUNTIF(I$20:L$98,"3211601")</f>
        <v>10</v>
      </c>
      <c r="E10" s="59"/>
      <c r="F10" s="192">
        <f>COUNTIF(F$20:F$98,"Alderley Edge Development (W)")</f>
        <v>10</v>
      </c>
      <c r="G10" s="57"/>
      <c r="H10" s="192">
        <f>COUNTIF(H$20:P$98,"Alderley Edge Development (W)")</f>
        <v>10</v>
      </c>
      <c r="I10" s="57">
        <f>COUNTIF(F$20:F$58,"Alderley Edge Development (W)")</f>
        <v>5</v>
      </c>
      <c r="J10" s="57">
        <f>COUNTIF(F$59:F$98,"Alderley Edge Development (W)")</f>
        <v>5</v>
      </c>
      <c r="K10" s="57">
        <f>COUNTIF(H$20:H$58,"Alderley Edge Development (W)")</f>
        <v>5</v>
      </c>
      <c r="L10" s="57">
        <f>COUNTIF(H$59:H$98,"Alderley Edge Development (W)")</f>
        <v>5</v>
      </c>
    </row>
    <row r="11" spans="1:12" ht="15" customHeight="1" x14ac:dyDescent="0.3">
      <c r="A11" s="196">
        <f>COUNTIF(F$20:I$98,"Bye")</f>
        <v>20</v>
      </c>
      <c r="B11" s="193" t="s">
        <v>570</v>
      </c>
      <c r="C11" s="110" t="s">
        <v>556</v>
      </c>
      <c r="D11" s="192">
        <f>COUNTIF(I$20:L$98,"Code")</f>
        <v>10</v>
      </c>
      <c r="E11" s="59"/>
      <c r="F11" s="192">
        <f>COUNTIF(F$20:F$98,"Bye")</f>
        <v>10</v>
      </c>
      <c r="G11" s="57"/>
      <c r="H11" s="192">
        <f>COUNTIF(H$20:H$98,"Bye")</f>
        <v>10</v>
      </c>
      <c r="I11" s="57">
        <f>COUNTIF(F$20:F$58,"Bye")</f>
        <v>5</v>
      </c>
      <c r="J11" s="57">
        <f>COUNTIF(F$59:F$98,"Bye")</f>
        <v>5</v>
      </c>
      <c r="K11" s="57">
        <f>COUNTIF(H$20:H$58,"Bye")</f>
        <v>5</v>
      </c>
      <c r="L11" s="57">
        <f>COUNTIF(H$59:H$98,"Bye")</f>
        <v>5</v>
      </c>
    </row>
    <row r="12" spans="1:12" ht="15" customHeight="1" x14ac:dyDescent="0.3">
      <c r="A12" s="196">
        <f>COUNTIF(F$20:I$98,"Crewe Vagrants Development (W)")</f>
        <v>20</v>
      </c>
      <c r="B12" s="195" t="s">
        <v>634</v>
      </c>
      <c r="C12" s="15">
        <v>4023105</v>
      </c>
      <c r="D12" s="192">
        <f>COUNTIF(I$20:L$98,"4023105")</f>
        <v>10</v>
      </c>
      <c r="E12" s="59"/>
      <c r="F12" s="192">
        <f>COUNTIF(F$20:F$98,"Crewe Vagrants Development (W)")</f>
        <v>10</v>
      </c>
      <c r="G12" s="57"/>
      <c r="H12" s="192">
        <f>COUNTIF(H$20:H$98,"Crewe Vagrants Development (W)")</f>
        <v>10</v>
      </c>
      <c r="I12" s="57">
        <f>COUNTIF(F$20:F$58,"Crewe Vagrants Development (W)")</f>
        <v>5</v>
      </c>
      <c r="J12" s="57">
        <f>COUNTIF(F$59:F$98,"Crewe Vagrants Development (W)")</f>
        <v>5</v>
      </c>
      <c r="K12" s="57">
        <f>COUNTIF(H$20:H$58,"Crewe Vagrants Development (W)")</f>
        <v>5</v>
      </c>
      <c r="L12" s="57">
        <f>COUNTIF(H$59:H$98,"Crewe Vagrants Development (W)")</f>
        <v>5</v>
      </c>
    </row>
    <row r="13" spans="1:12" ht="15" customHeight="1" x14ac:dyDescent="0.3">
      <c r="A13" s="196">
        <f>COUNTIF(F$20:I$98,"Golborne &amp; Prescot Development (W)")</f>
        <v>20</v>
      </c>
      <c r="B13" s="195" t="s">
        <v>635</v>
      </c>
      <c r="C13" s="15">
        <v>3969700</v>
      </c>
      <c r="D13" s="192">
        <f>COUNTIF(I$20:L$98,"3969700")</f>
        <v>10</v>
      </c>
      <c r="E13" s="59"/>
      <c r="F13" s="192">
        <f>COUNTIF(F$20:F$98,"Golborne &amp; Prescot Development (W)")</f>
        <v>10</v>
      </c>
      <c r="G13" s="57"/>
      <c r="H13" s="192">
        <f>COUNTIF(H$20:H$98,"Golborne &amp; Prescot Development (W)")</f>
        <v>10</v>
      </c>
      <c r="I13" s="57">
        <f>COUNTIF(F$20:F$58,"Golborne &amp; Prescot Development (W)")</f>
        <v>5</v>
      </c>
      <c r="J13" s="57">
        <f>COUNTIF(F$59:F$98,"Golborne &amp; Prescot Development (W)")</f>
        <v>5</v>
      </c>
      <c r="K13" s="57">
        <f>COUNTIF(H$20:H$58,"Golborne &amp; Prescot Development (W)")</f>
        <v>5</v>
      </c>
      <c r="L13" s="57">
        <f>COUNTIF(H$59:H$98,"Golborne &amp; Prescot Development (W)")</f>
        <v>5</v>
      </c>
    </row>
    <row r="14" spans="1:12" x14ac:dyDescent="0.3">
      <c r="A14" s="196">
        <f>COUNTIF(F$20:I$98,"Warrington Development (W)")</f>
        <v>20</v>
      </c>
      <c r="B14" s="195" t="s">
        <v>636</v>
      </c>
      <c r="C14" s="15">
        <v>3195502</v>
      </c>
      <c r="D14" s="192">
        <f>COUNTIF(I$20:L$98,"3195502")</f>
        <v>10</v>
      </c>
      <c r="E14" s="59"/>
      <c r="F14" s="192">
        <f>COUNTIF(F$20:F$98,"Warrington Development (W)")</f>
        <v>10</v>
      </c>
      <c r="G14" s="57"/>
      <c r="H14" s="192">
        <f>COUNTIF(H$20:H$98,"Warrington Development (W)")</f>
        <v>10</v>
      </c>
      <c r="I14" s="57">
        <f>COUNTIF(F$20:F$58,"Warrington Development (W)")</f>
        <v>5</v>
      </c>
      <c r="J14" s="57">
        <f>COUNTIF(F$59:F$98,"Warrington Development (W)")</f>
        <v>5</v>
      </c>
      <c r="K14" s="57">
        <f>COUNTIF(H$20:H$58,"Warrington Development (W)")</f>
        <v>5</v>
      </c>
      <c r="L14" s="57">
        <f>COUNTIF(H$59:H$98,"Warrington Development (W)")</f>
        <v>5</v>
      </c>
    </row>
    <row r="15" spans="1:12" x14ac:dyDescent="0.3">
      <c r="A15" s="196">
        <f>COUNTIF(F$20:I$98,"Winnington Park Development (W)")</f>
        <v>20</v>
      </c>
      <c r="B15" s="193" t="s">
        <v>405</v>
      </c>
      <c r="C15" s="15">
        <v>3901108</v>
      </c>
      <c r="D15" s="192">
        <f>COUNTIF(I$20:L$98,"3901108")</f>
        <v>10</v>
      </c>
      <c r="E15" s="59"/>
      <c r="F15" s="192">
        <f>COUNTIF(F$20:F$98,"Winnington Park Development (W)")</f>
        <v>10</v>
      </c>
      <c r="G15" s="57"/>
      <c r="H15" s="192">
        <f>COUNTIF(H$20:H$98,"Winnington Park Development (W)")</f>
        <v>10</v>
      </c>
      <c r="I15" s="57">
        <f>COUNTIF(F$20:F$58,"Winnington Park Development (W)")</f>
        <v>5</v>
      </c>
      <c r="J15" s="57">
        <f>COUNTIF(F$59:F$98,"Winnington Park Development (W)")</f>
        <v>5</v>
      </c>
      <c r="K15" s="57">
        <f>COUNTIF(H$20:H$58,"Winnington Park Development (W)")</f>
        <v>5</v>
      </c>
      <c r="L15" s="57">
        <f>COUNTIF(H$59:H$98,"Winnington Park Development (W)")</f>
        <v>5</v>
      </c>
    </row>
    <row r="16" spans="1:12" x14ac:dyDescent="0.3">
      <c r="C16" s="59"/>
      <c r="D16" s="59"/>
      <c r="E16" s="59"/>
      <c r="F16" s="59"/>
      <c r="G16" s="15"/>
      <c r="H16" s="59"/>
      <c r="I16" s="15"/>
    </row>
    <row r="17" spans="2:12" ht="21" x14ac:dyDescent="0.4">
      <c r="B17" s="22" t="s">
        <v>93</v>
      </c>
    </row>
    <row r="18" spans="2:12" x14ac:dyDescent="0.3">
      <c r="B18" s="40" t="s">
        <v>408</v>
      </c>
      <c r="C18" s="14" t="s">
        <v>409</v>
      </c>
      <c r="D18" s="14" t="s">
        <v>410</v>
      </c>
      <c r="E18" s="14" t="s">
        <v>411</v>
      </c>
      <c r="F18" s="14" t="s">
        <v>412</v>
      </c>
      <c r="G18" s="14" t="s">
        <v>413</v>
      </c>
      <c r="H18" s="13" t="s">
        <v>414</v>
      </c>
      <c r="I18" s="14" t="s">
        <v>415</v>
      </c>
    </row>
    <row r="19" spans="2:12" x14ac:dyDescent="0.3">
      <c r="B19" s="40"/>
      <c r="C19" s="14"/>
      <c r="D19" s="14"/>
      <c r="E19" s="14"/>
      <c r="F19" s="14"/>
      <c r="G19" s="14"/>
      <c r="H19" s="13"/>
      <c r="I19" s="14"/>
    </row>
    <row r="20" spans="2:12" x14ac:dyDescent="0.3">
      <c r="B20" s="44">
        <v>45920</v>
      </c>
      <c r="C20" s="3" t="s">
        <v>416</v>
      </c>
      <c r="D20" s="3" t="s">
        <v>592</v>
      </c>
      <c r="E20" s="101"/>
      <c r="F20" s="3" t="s">
        <v>398</v>
      </c>
      <c r="G20" s="74">
        <v>3211601</v>
      </c>
      <c r="H20" s="3" t="s">
        <v>570</v>
      </c>
      <c r="I20" s="4" t="s">
        <v>556</v>
      </c>
    </row>
    <row r="21" spans="2:12" x14ac:dyDescent="0.3">
      <c r="B21" s="44">
        <v>45920</v>
      </c>
      <c r="C21" s="3" t="s">
        <v>416</v>
      </c>
      <c r="D21" s="3" t="s">
        <v>592</v>
      </c>
      <c r="E21" s="101"/>
      <c r="F21" s="3" t="s">
        <v>634</v>
      </c>
      <c r="G21" s="74">
        <v>4023105</v>
      </c>
      <c r="H21" s="3" t="s">
        <v>636</v>
      </c>
      <c r="I21" s="74">
        <v>3195502</v>
      </c>
      <c r="K21" s="4"/>
      <c r="L21" s="4"/>
    </row>
    <row r="22" spans="2:12" x14ac:dyDescent="0.3">
      <c r="B22" s="44">
        <v>45920</v>
      </c>
      <c r="C22" s="3" t="s">
        <v>416</v>
      </c>
      <c r="D22" s="3" t="s">
        <v>592</v>
      </c>
      <c r="E22" s="101"/>
      <c r="F22" s="3" t="s">
        <v>635</v>
      </c>
      <c r="G22" s="74">
        <v>3969700</v>
      </c>
      <c r="H22" s="3" t="s">
        <v>405</v>
      </c>
      <c r="I22" s="74">
        <v>3901108</v>
      </c>
      <c r="K22" s="3"/>
      <c r="L22" s="4"/>
    </row>
    <row r="23" spans="2:12" x14ac:dyDescent="0.3">
      <c r="B23" s="44"/>
      <c r="E23" s="101"/>
      <c r="K23" s="3"/>
      <c r="L23" s="4"/>
    </row>
    <row r="24" spans="2:12" x14ac:dyDescent="0.3">
      <c r="B24" s="44">
        <v>45927</v>
      </c>
      <c r="C24" s="3" t="s">
        <v>416</v>
      </c>
      <c r="D24" s="3" t="s">
        <v>592</v>
      </c>
      <c r="E24" s="101"/>
      <c r="F24" s="3" t="s">
        <v>634</v>
      </c>
      <c r="G24" s="74">
        <v>4023105</v>
      </c>
      <c r="H24" s="3" t="s">
        <v>398</v>
      </c>
      <c r="I24" s="74">
        <v>3211601</v>
      </c>
    </row>
    <row r="25" spans="2:12" x14ac:dyDescent="0.3">
      <c r="B25" s="44">
        <v>45927</v>
      </c>
      <c r="C25" s="3" t="s">
        <v>416</v>
      </c>
      <c r="D25" s="3" t="s">
        <v>592</v>
      </c>
      <c r="E25" s="101"/>
      <c r="F25" s="3" t="s">
        <v>405</v>
      </c>
      <c r="G25" s="74">
        <v>3901108</v>
      </c>
      <c r="H25" s="3" t="s">
        <v>570</v>
      </c>
      <c r="I25" s="4" t="s">
        <v>556</v>
      </c>
    </row>
    <row r="26" spans="2:12" x14ac:dyDescent="0.3">
      <c r="B26" s="44">
        <v>45927</v>
      </c>
      <c r="C26" s="3" t="s">
        <v>416</v>
      </c>
      <c r="D26" s="3" t="s">
        <v>592</v>
      </c>
      <c r="E26" s="101"/>
      <c r="F26" s="3" t="s">
        <v>636</v>
      </c>
      <c r="G26" s="74">
        <v>3195502</v>
      </c>
      <c r="H26" s="3" t="s">
        <v>635</v>
      </c>
      <c r="I26" s="74">
        <v>3969700</v>
      </c>
    </row>
    <row r="27" spans="2:12" x14ac:dyDescent="0.3">
      <c r="B27" s="44"/>
      <c r="E27" s="101"/>
    </row>
    <row r="28" spans="2:12" x14ac:dyDescent="0.3">
      <c r="B28" s="44">
        <v>45934</v>
      </c>
      <c r="C28" s="3" t="s">
        <v>416</v>
      </c>
      <c r="D28" s="3" t="s">
        <v>592</v>
      </c>
      <c r="E28" s="101"/>
      <c r="F28" s="3" t="s">
        <v>398</v>
      </c>
      <c r="G28" s="74">
        <v>3211601</v>
      </c>
      <c r="H28" s="3" t="s">
        <v>635</v>
      </c>
      <c r="I28" s="74">
        <v>3969700</v>
      </c>
    </row>
    <row r="29" spans="2:12" x14ac:dyDescent="0.3">
      <c r="B29" s="44">
        <v>45934</v>
      </c>
      <c r="C29" s="3" t="s">
        <v>416</v>
      </c>
      <c r="D29" s="3" t="s">
        <v>592</v>
      </c>
      <c r="E29" s="101"/>
      <c r="F29" s="3" t="s">
        <v>570</v>
      </c>
      <c r="G29" s="4" t="s">
        <v>556</v>
      </c>
      <c r="H29" s="3" t="s">
        <v>634</v>
      </c>
      <c r="I29" s="74">
        <v>4023105</v>
      </c>
    </row>
    <row r="30" spans="2:12" x14ac:dyDescent="0.3">
      <c r="B30" s="44">
        <v>45934</v>
      </c>
      <c r="C30" s="3" t="s">
        <v>416</v>
      </c>
      <c r="D30" s="3" t="s">
        <v>592</v>
      </c>
      <c r="E30" s="101"/>
      <c r="F30" s="3" t="s">
        <v>405</v>
      </c>
      <c r="G30" s="74">
        <v>3901108</v>
      </c>
      <c r="H30" s="3" t="s">
        <v>636</v>
      </c>
      <c r="I30" s="74">
        <v>3195502</v>
      </c>
    </row>
    <row r="31" spans="2:12" x14ac:dyDescent="0.3">
      <c r="B31" s="44"/>
      <c r="E31" s="101"/>
    </row>
    <row r="32" spans="2:12" x14ac:dyDescent="0.3">
      <c r="B32" s="44">
        <v>45941</v>
      </c>
      <c r="C32" s="3" t="s">
        <v>416</v>
      </c>
      <c r="D32" s="3" t="s">
        <v>592</v>
      </c>
      <c r="E32" s="101"/>
      <c r="F32" s="3" t="s">
        <v>636</v>
      </c>
      <c r="G32" s="74">
        <v>3195502</v>
      </c>
      <c r="H32" s="3" t="s">
        <v>398</v>
      </c>
      <c r="I32" s="74">
        <v>3211601</v>
      </c>
    </row>
    <row r="33" spans="2:9" x14ac:dyDescent="0.3">
      <c r="B33" s="44">
        <v>45941</v>
      </c>
      <c r="C33" s="3" t="s">
        <v>416</v>
      </c>
      <c r="D33" s="3" t="s">
        <v>592</v>
      </c>
      <c r="E33" s="101"/>
      <c r="F33" s="3" t="s">
        <v>635</v>
      </c>
      <c r="G33" s="74">
        <v>3969700</v>
      </c>
      <c r="H33" s="3" t="s">
        <v>570</v>
      </c>
      <c r="I33" s="4" t="s">
        <v>556</v>
      </c>
    </row>
    <row r="34" spans="2:9" x14ac:dyDescent="0.3">
      <c r="B34" s="44">
        <v>45941</v>
      </c>
      <c r="C34" s="3" t="s">
        <v>416</v>
      </c>
      <c r="D34" s="3" t="s">
        <v>592</v>
      </c>
      <c r="E34" s="101"/>
      <c r="F34" s="3" t="s">
        <v>634</v>
      </c>
      <c r="G34" s="74">
        <v>4023105</v>
      </c>
      <c r="H34" s="3" t="s">
        <v>405</v>
      </c>
      <c r="I34" s="74">
        <v>3901108</v>
      </c>
    </row>
    <row r="35" spans="2:9" x14ac:dyDescent="0.3">
      <c r="B35" s="44"/>
      <c r="E35" s="101"/>
    </row>
    <row r="36" spans="2:9" x14ac:dyDescent="0.3">
      <c r="B36" s="44">
        <v>45948</v>
      </c>
      <c r="C36" s="3" t="s">
        <v>416</v>
      </c>
      <c r="D36" s="3" t="s">
        <v>592</v>
      </c>
      <c r="E36" s="101"/>
      <c r="F36" s="3" t="s">
        <v>398</v>
      </c>
      <c r="G36" s="74">
        <v>3211601</v>
      </c>
      <c r="H36" s="3" t="s">
        <v>405</v>
      </c>
      <c r="I36" s="74">
        <v>3901108</v>
      </c>
    </row>
    <row r="37" spans="2:9" x14ac:dyDescent="0.3">
      <c r="B37" s="44">
        <v>45948</v>
      </c>
      <c r="C37" s="3" t="s">
        <v>416</v>
      </c>
      <c r="D37" s="3" t="s">
        <v>592</v>
      </c>
      <c r="E37" s="101"/>
      <c r="F37" s="3" t="s">
        <v>570</v>
      </c>
      <c r="G37" s="4" t="s">
        <v>556</v>
      </c>
      <c r="H37" s="3" t="s">
        <v>636</v>
      </c>
      <c r="I37" s="74">
        <v>3195502</v>
      </c>
    </row>
    <row r="38" spans="2:9" x14ac:dyDescent="0.3">
      <c r="B38" s="44">
        <v>45948</v>
      </c>
      <c r="C38" s="3" t="s">
        <v>416</v>
      </c>
      <c r="D38" s="3" t="s">
        <v>592</v>
      </c>
      <c r="E38" s="101"/>
      <c r="F38" s="3" t="s">
        <v>634</v>
      </c>
      <c r="G38" s="74">
        <v>4023105</v>
      </c>
      <c r="H38" s="3" t="s">
        <v>635</v>
      </c>
      <c r="I38" s="74">
        <v>3969700</v>
      </c>
    </row>
    <row r="39" spans="2:9" x14ac:dyDescent="0.3">
      <c r="B39" s="44"/>
      <c r="E39" s="101"/>
    </row>
    <row r="40" spans="2:9" x14ac:dyDescent="0.3">
      <c r="B40" s="44">
        <v>45962</v>
      </c>
      <c r="C40" s="3" t="s">
        <v>416</v>
      </c>
      <c r="D40" s="3" t="s">
        <v>592</v>
      </c>
      <c r="E40" s="101"/>
      <c r="F40" s="3" t="s">
        <v>570</v>
      </c>
      <c r="G40" s="4" t="s">
        <v>556</v>
      </c>
      <c r="H40" s="3" t="s">
        <v>398</v>
      </c>
      <c r="I40" s="74">
        <v>3211601</v>
      </c>
    </row>
    <row r="41" spans="2:9" x14ac:dyDescent="0.3">
      <c r="B41" s="44">
        <v>45962</v>
      </c>
      <c r="C41" s="3" t="s">
        <v>416</v>
      </c>
      <c r="D41" s="3" t="s">
        <v>592</v>
      </c>
      <c r="E41" s="101"/>
      <c r="F41" s="3" t="s">
        <v>636</v>
      </c>
      <c r="G41" s="74">
        <v>3195502</v>
      </c>
      <c r="H41" s="3" t="s">
        <v>634</v>
      </c>
      <c r="I41" s="74">
        <v>4023105</v>
      </c>
    </row>
    <row r="42" spans="2:9" x14ac:dyDescent="0.3">
      <c r="B42" s="44">
        <v>45962</v>
      </c>
      <c r="C42" s="3" t="s">
        <v>416</v>
      </c>
      <c r="D42" s="3" t="s">
        <v>592</v>
      </c>
      <c r="E42" s="101"/>
      <c r="F42" s="3" t="s">
        <v>405</v>
      </c>
      <c r="G42" s="74">
        <v>3901108</v>
      </c>
      <c r="H42" s="3" t="s">
        <v>635</v>
      </c>
      <c r="I42" s="74">
        <v>3969700</v>
      </c>
    </row>
    <row r="43" spans="2:9" x14ac:dyDescent="0.3">
      <c r="B43" s="44"/>
      <c r="E43" s="101"/>
    </row>
    <row r="44" spans="2:9" x14ac:dyDescent="0.3">
      <c r="B44" s="44">
        <v>45969</v>
      </c>
      <c r="C44" s="3" t="s">
        <v>416</v>
      </c>
      <c r="D44" s="3" t="s">
        <v>592</v>
      </c>
      <c r="E44" s="101"/>
      <c r="F44" s="3" t="s">
        <v>398</v>
      </c>
      <c r="G44" s="74">
        <v>3211601</v>
      </c>
      <c r="H44" s="3" t="s">
        <v>634</v>
      </c>
      <c r="I44" s="74">
        <v>4023105</v>
      </c>
    </row>
    <row r="45" spans="2:9" x14ac:dyDescent="0.3">
      <c r="B45" s="44">
        <v>45969</v>
      </c>
      <c r="C45" s="3" t="s">
        <v>416</v>
      </c>
      <c r="D45" s="3" t="s">
        <v>592</v>
      </c>
      <c r="E45" s="101"/>
      <c r="F45" s="3" t="s">
        <v>570</v>
      </c>
      <c r="G45" s="4" t="s">
        <v>556</v>
      </c>
      <c r="H45" s="3" t="s">
        <v>405</v>
      </c>
      <c r="I45" s="74">
        <v>3901108</v>
      </c>
    </row>
    <row r="46" spans="2:9" x14ac:dyDescent="0.3">
      <c r="B46" s="44">
        <v>45969</v>
      </c>
      <c r="C46" s="3" t="s">
        <v>416</v>
      </c>
      <c r="D46" s="3" t="s">
        <v>592</v>
      </c>
      <c r="E46" s="101"/>
      <c r="F46" s="3" t="s">
        <v>635</v>
      </c>
      <c r="G46" s="74">
        <v>3969700</v>
      </c>
      <c r="H46" s="3" t="s">
        <v>636</v>
      </c>
      <c r="I46" s="74">
        <v>3195502</v>
      </c>
    </row>
    <row r="47" spans="2:9" x14ac:dyDescent="0.3">
      <c r="B47" s="44"/>
      <c r="E47" s="101"/>
    </row>
    <row r="48" spans="2:9" x14ac:dyDescent="0.3">
      <c r="B48" s="44">
        <v>45976</v>
      </c>
      <c r="C48" s="3" t="s">
        <v>416</v>
      </c>
      <c r="D48" s="3" t="s">
        <v>592</v>
      </c>
      <c r="E48" s="101"/>
      <c r="F48" s="3" t="s">
        <v>635</v>
      </c>
      <c r="G48" s="74">
        <v>3969700</v>
      </c>
      <c r="H48" s="3" t="s">
        <v>398</v>
      </c>
      <c r="I48" s="74">
        <v>3211601</v>
      </c>
    </row>
    <row r="49" spans="2:9" x14ac:dyDescent="0.3">
      <c r="B49" s="44">
        <v>45976</v>
      </c>
      <c r="C49" s="3" t="s">
        <v>416</v>
      </c>
      <c r="D49" s="3" t="s">
        <v>592</v>
      </c>
      <c r="E49" s="101"/>
      <c r="F49" s="3" t="s">
        <v>634</v>
      </c>
      <c r="G49" s="74">
        <v>4023105</v>
      </c>
      <c r="H49" s="3" t="s">
        <v>570</v>
      </c>
      <c r="I49" s="4" t="s">
        <v>556</v>
      </c>
    </row>
    <row r="50" spans="2:9" x14ac:dyDescent="0.3">
      <c r="B50" s="44">
        <v>45976</v>
      </c>
      <c r="C50" s="3" t="s">
        <v>416</v>
      </c>
      <c r="D50" s="3" t="s">
        <v>592</v>
      </c>
      <c r="E50" s="101"/>
      <c r="F50" s="3" t="s">
        <v>636</v>
      </c>
      <c r="G50" s="74">
        <v>3195502</v>
      </c>
      <c r="H50" s="3" t="s">
        <v>405</v>
      </c>
      <c r="I50" s="74">
        <v>3901108</v>
      </c>
    </row>
    <row r="51" spans="2:9" x14ac:dyDescent="0.3">
      <c r="B51" s="44"/>
      <c r="E51" s="101"/>
    </row>
    <row r="52" spans="2:9" x14ac:dyDescent="0.3">
      <c r="B52" s="44">
        <v>45983</v>
      </c>
      <c r="C52" s="3" t="s">
        <v>416</v>
      </c>
      <c r="D52" s="3" t="s">
        <v>592</v>
      </c>
      <c r="E52" s="101"/>
      <c r="F52" s="3" t="s">
        <v>398</v>
      </c>
      <c r="G52" s="74">
        <v>3211601</v>
      </c>
      <c r="H52" s="3" t="s">
        <v>636</v>
      </c>
      <c r="I52" s="74">
        <v>3195502</v>
      </c>
    </row>
    <row r="53" spans="2:9" x14ac:dyDescent="0.3">
      <c r="B53" s="44">
        <v>45983</v>
      </c>
      <c r="C53" s="3" t="s">
        <v>416</v>
      </c>
      <c r="D53" s="3" t="s">
        <v>592</v>
      </c>
      <c r="E53" s="101"/>
      <c r="F53" s="3" t="s">
        <v>570</v>
      </c>
      <c r="G53" s="4" t="s">
        <v>556</v>
      </c>
      <c r="H53" s="3" t="s">
        <v>635</v>
      </c>
      <c r="I53" s="74">
        <v>3969700</v>
      </c>
    </row>
    <row r="54" spans="2:9" x14ac:dyDescent="0.3">
      <c r="B54" s="44">
        <v>45983</v>
      </c>
      <c r="C54" s="3" t="s">
        <v>416</v>
      </c>
      <c r="D54" s="3" t="s">
        <v>592</v>
      </c>
      <c r="E54" s="101"/>
      <c r="F54" s="3" t="s">
        <v>405</v>
      </c>
      <c r="G54" s="74">
        <v>3901108</v>
      </c>
      <c r="H54" s="3" t="s">
        <v>634</v>
      </c>
      <c r="I54" s="74">
        <v>4023105</v>
      </c>
    </row>
    <row r="55" spans="2:9" x14ac:dyDescent="0.3">
      <c r="B55" s="44"/>
      <c r="E55" s="101"/>
    </row>
    <row r="56" spans="2:9" x14ac:dyDescent="0.3">
      <c r="B56" s="44">
        <v>45990</v>
      </c>
      <c r="C56" s="3" t="s">
        <v>416</v>
      </c>
      <c r="D56" s="3" t="s">
        <v>592</v>
      </c>
      <c r="E56" s="101"/>
      <c r="F56" s="3" t="s">
        <v>405</v>
      </c>
      <c r="G56" s="74">
        <v>3901108</v>
      </c>
      <c r="H56" s="3" t="s">
        <v>398</v>
      </c>
      <c r="I56" s="74">
        <v>3211601</v>
      </c>
    </row>
    <row r="57" spans="2:9" x14ac:dyDescent="0.3">
      <c r="B57" s="44">
        <v>45990</v>
      </c>
      <c r="C57" s="3" t="s">
        <v>416</v>
      </c>
      <c r="D57" s="3" t="s">
        <v>592</v>
      </c>
      <c r="E57" s="101"/>
      <c r="F57" s="3" t="s">
        <v>636</v>
      </c>
      <c r="G57" s="74">
        <v>3195502</v>
      </c>
      <c r="H57" s="3" t="s">
        <v>570</v>
      </c>
      <c r="I57" s="4" t="s">
        <v>556</v>
      </c>
    </row>
    <row r="58" spans="2:9" x14ac:dyDescent="0.3">
      <c r="B58" s="44">
        <v>45990</v>
      </c>
      <c r="C58" s="3" t="s">
        <v>416</v>
      </c>
      <c r="D58" s="3" t="s">
        <v>592</v>
      </c>
      <c r="E58" s="101"/>
      <c r="F58" s="3" t="s">
        <v>635</v>
      </c>
      <c r="G58" s="74">
        <v>3969700</v>
      </c>
      <c r="H58" s="3" t="s">
        <v>634</v>
      </c>
      <c r="I58" s="74">
        <v>4023105</v>
      </c>
    </row>
    <row r="59" spans="2:9" x14ac:dyDescent="0.3">
      <c r="B59" s="44"/>
      <c r="E59" s="101"/>
    </row>
    <row r="60" spans="2:9" x14ac:dyDescent="0.3">
      <c r="B60" s="44">
        <v>46032</v>
      </c>
      <c r="C60" s="3" t="s">
        <v>416</v>
      </c>
      <c r="D60" s="3" t="s">
        <v>592</v>
      </c>
      <c r="E60" s="101"/>
      <c r="F60" s="3" t="s">
        <v>398</v>
      </c>
      <c r="G60" s="74">
        <v>3211601</v>
      </c>
      <c r="H60" s="3" t="s">
        <v>570</v>
      </c>
      <c r="I60" s="4" t="s">
        <v>556</v>
      </c>
    </row>
    <row r="61" spans="2:9" x14ac:dyDescent="0.3">
      <c r="B61" s="44">
        <v>46032</v>
      </c>
      <c r="C61" s="3" t="s">
        <v>416</v>
      </c>
      <c r="D61" s="3" t="s">
        <v>592</v>
      </c>
      <c r="E61" s="101"/>
      <c r="F61" s="3" t="s">
        <v>634</v>
      </c>
      <c r="G61" s="74">
        <v>4023105</v>
      </c>
      <c r="H61" s="3" t="s">
        <v>636</v>
      </c>
      <c r="I61" s="74">
        <v>3195502</v>
      </c>
    </row>
    <row r="62" spans="2:9" x14ac:dyDescent="0.3">
      <c r="B62" s="44">
        <v>46032</v>
      </c>
      <c r="C62" s="3" t="s">
        <v>416</v>
      </c>
      <c r="D62" s="3" t="s">
        <v>592</v>
      </c>
      <c r="E62" s="101"/>
      <c r="F62" s="3" t="s">
        <v>635</v>
      </c>
      <c r="G62" s="74">
        <v>3969700</v>
      </c>
      <c r="H62" s="3" t="s">
        <v>405</v>
      </c>
      <c r="I62" s="74">
        <v>3901108</v>
      </c>
    </row>
    <row r="63" spans="2:9" x14ac:dyDescent="0.3">
      <c r="B63" s="44"/>
      <c r="E63" s="101"/>
    </row>
    <row r="64" spans="2:9" x14ac:dyDescent="0.3">
      <c r="B64" s="44">
        <v>46039</v>
      </c>
      <c r="C64" s="3" t="s">
        <v>416</v>
      </c>
      <c r="D64" s="3" t="s">
        <v>592</v>
      </c>
      <c r="E64" s="101"/>
      <c r="F64" s="3" t="s">
        <v>634</v>
      </c>
      <c r="G64" s="74">
        <v>4023105</v>
      </c>
      <c r="H64" s="3" t="s">
        <v>398</v>
      </c>
      <c r="I64" s="74">
        <v>3211601</v>
      </c>
    </row>
    <row r="65" spans="2:9" x14ac:dyDescent="0.3">
      <c r="B65" s="44">
        <v>46039</v>
      </c>
      <c r="C65" s="3" t="s">
        <v>416</v>
      </c>
      <c r="D65" s="3" t="s">
        <v>592</v>
      </c>
      <c r="E65" s="101"/>
      <c r="F65" s="3" t="s">
        <v>405</v>
      </c>
      <c r="G65" s="74">
        <v>3901108</v>
      </c>
      <c r="H65" s="3" t="s">
        <v>570</v>
      </c>
      <c r="I65" s="4" t="s">
        <v>556</v>
      </c>
    </row>
    <row r="66" spans="2:9" x14ac:dyDescent="0.3">
      <c r="B66" s="44">
        <v>46039</v>
      </c>
      <c r="C66" s="3" t="s">
        <v>416</v>
      </c>
      <c r="D66" s="3" t="s">
        <v>592</v>
      </c>
      <c r="E66" s="101"/>
      <c r="F66" s="3" t="s">
        <v>636</v>
      </c>
      <c r="G66" s="74">
        <v>3195502</v>
      </c>
      <c r="H66" s="3" t="s">
        <v>635</v>
      </c>
      <c r="I66" s="74">
        <v>3969700</v>
      </c>
    </row>
    <row r="67" spans="2:9" x14ac:dyDescent="0.3">
      <c r="B67" s="4"/>
      <c r="E67" s="101"/>
    </row>
    <row r="68" spans="2:9" x14ac:dyDescent="0.3">
      <c r="B68" s="44">
        <v>46046</v>
      </c>
      <c r="C68" s="3" t="s">
        <v>416</v>
      </c>
      <c r="D68" s="3" t="s">
        <v>592</v>
      </c>
      <c r="E68" s="101"/>
      <c r="F68" s="3" t="s">
        <v>398</v>
      </c>
      <c r="G68" s="74">
        <v>3211601</v>
      </c>
      <c r="H68" s="3" t="s">
        <v>635</v>
      </c>
      <c r="I68" s="74">
        <v>3969700</v>
      </c>
    </row>
    <row r="69" spans="2:9" x14ac:dyDescent="0.3">
      <c r="B69" s="44">
        <v>46046</v>
      </c>
      <c r="C69" s="3" t="s">
        <v>416</v>
      </c>
      <c r="D69" s="3" t="s">
        <v>592</v>
      </c>
      <c r="E69" s="101"/>
      <c r="F69" s="3" t="s">
        <v>570</v>
      </c>
      <c r="G69" s="4" t="s">
        <v>556</v>
      </c>
      <c r="H69" s="3" t="s">
        <v>634</v>
      </c>
      <c r="I69" s="74">
        <v>4023105</v>
      </c>
    </row>
    <row r="70" spans="2:9" x14ac:dyDescent="0.3">
      <c r="B70" s="44">
        <v>46046</v>
      </c>
      <c r="C70" s="3" t="s">
        <v>416</v>
      </c>
      <c r="D70" s="3" t="s">
        <v>592</v>
      </c>
      <c r="E70" s="101"/>
      <c r="F70" s="3" t="s">
        <v>405</v>
      </c>
      <c r="G70" s="74">
        <v>3901108</v>
      </c>
      <c r="H70" s="3" t="s">
        <v>636</v>
      </c>
      <c r="I70" s="74">
        <v>3195502</v>
      </c>
    </row>
    <row r="71" spans="2:9" x14ac:dyDescent="0.3">
      <c r="B71" s="44"/>
      <c r="E71" s="101"/>
    </row>
    <row r="72" spans="2:9" x14ac:dyDescent="0.3">
      <c r="B72" s="44">
        <v>46053</v>
      </c>
      <c r="C72" s="3" t="s">
        <v>416</v>
      </c>
      <c r="D72" s="3" t="s">
        <v>592</v>
      </c>
      <c r="E72" s="101"/>
      <c r="F72" s="3" t="s">
        <v>636</v>
      </c>
      <c r="G72" s="74">
        <v>3195502</v>
      </c>
      <c r="H72" s="3" t="s">
        <v>398</v>
      </c>
      <c r="I72" s="74">
        <v>3211601</v>
      </c>
    </row>
    <row r="73" spans="2:9" x14ac:dyDescent="0.3">
      <c r="B73" s="44">
        <v>46053</v>
      </c>
      <c r="C73" s="3" t="s">
        <v>416</v>
      </c>
      <c r="D73" s="3" t="s">
        <v>592</v>
      </c>
      <c r="E73" s="101"/>
      <c r="F73" s="3" t="s">
        <v>635</v>
      </c>
      <c r="G73" s="74">
        <v>3969700</v>
      </c>
      <c r="H73" s="3" t="s">
        <v>570</v>
      </c>
      <c r="I73" s="4" t="s">
        <v>556</v>
      </c>
    </row>
    <row r="74" spans="2:9" x14ac:dyDescent="0.3">
      <c r="B74" s="44">
        <v>46053</v>
      </c>
      <c r="C74" s="3" t="s">
        <v>416</v>
      </c>
      <c r="D74" s="3" t="s">
        <v>592</v>
      </c>
      <c r="E74" s="101"/>
      <c r="F74" s="3" t="s">
        <v>634</v>
      </c>
      <c r="G74" s="74">
        <v>4023105</v>
      </c>
      <c r="H74" s="3" t="s">
        <v>405</v>
      </c>
      <c r="I74" s="74">
        <v>3901108</v>
      </c>
    </row>
    <row r="75" spans="2:9" x14ac:dyDescent="0.3">
      <c r="B75" s="44"/>
      <c r="E75" s="101"/>
    </row>
    <row r="76" spans="2:9" x14ac:dyDescent="0.3">
      <c r="B76" s="44">
        <v>46060</v>
      </c>
      <c r="C76" s="3" t="s">
        <v>416</v>
      </c>
      <c r="D76" s="3" t="s">
        <v>592</v>
      </c>
      <c r="E76" s="101"/>
      <c r="F76" s="3" t="s">
        <v>398</v>
      </c>
      <c r="G76" s="74">
        <v>3211601</v>
      </c>
      <c r="H76" s="3" t="s">
        <v>405</v>
      </c>
      <c r="I76" s="74">
        <v>3901108</v>
      </c>
    </row>
    <row r="77" spans="2:9" x14ac:dyDescent="0.3">
      <c r="B77" s="44">
        <v>46060</v>
      </c>
      <c r="C77" s="3" t="s">
        <v>416</v>
      </c>
      <c r="D77" s="3" t="s">
        <v>592</v>
      </c>
      <c r="E77" s="101"/>
      <c r="F77" s="3" t="s">
        <v>570</v>
      </c>
      <c r="G77" s="4" t="s">
        <v>556</v>
      </c>
      <c r="H77" s="3" t="s">
        <v>636</v>
      </c>
      <c r="I77" s="74">
        <v>3195502</v>
      </c>
    </row>
    <row r="78" spans="2:9" x14ac:dyDescent="0.3">
      <c r="B78" s="44">
        <v>46060</v>
      </c>
      <c r="C78" s="3" t="s">
        <v>416</v>
      </c>
      <c r="D78" s="3" t="s">
        <v>592</v>
      </c>
      <c r="E78" s="101"/>
      <c r="F78" s="3" t="s">
        <v>634</v>
      </c>
      <c r="G78" s="74">
        <v>4023105</v>
      </c>
      <c r="H78" s="3" t="s">
        <v>635</v>
      </c>
      <c r="I78" s="74">
        <v>3969700</v>
      </c>
    </row>
    <row r="79" spans="2:9" x14ac:dyDescent="0.3">
      <c r="B79" s="44"/>
      <c r="E79" s="101"/>
    </row>
    <row r="80" spans="2:9" x14ac:dyDescent="0.3">
      <c r="B80" s="44">
        <v>46081</v>
      </c>
      <c r="C80" s="3" t="s">
        <v>416</v>
      </c>
      <c r="D80" s="3" t="s">
        <v>592</v>
      </c>
      <c r="E80" s="101"/>
      <c r="F80" s="3" t="s">
        <v>570</v>
      </c>
      <c r="G80" s="4" t="s">
        <v>556</v>
      </c>
      <c r="H80" s="3" t="s">
        <v>398</v>
      </c>
      <c r="I80" s="74">
        <v>3211601</v>
      </c>
    </row>
    <row r="81" spans="2:9" x14ac:dyDescent="0.3">
      <c r="B81" s="44">
        <v>46081</v>
      </c>
      <c r="C81" s="3" t="s">
        <v>416</v>
      </c>
      <c r="D81" s="3" t="s">
        <v>592</v>
      </c>
      <c r="E81" s="101"/>
      <c r="F81" s="3" t="s">
        <v>636</v>
      </c>
      <c r="G81" s="74">
        <v>3195502</v>
      </c>
      <c r="H81" s="3" t="s">
        <v>634</v>
      </c>
      <c r="I81" s="74">
        <v>4023105</v>
      </c>
    </row>
    <row r="82" spans="2:9" x14ac:dyDescent="0.3">
      <c r="B82" s="44">
        <v>46081</v>
      </c>
      <c r="C82" s="3" t="s">
        <v>416</v>
      </c>
      <c r="D82" s="3" t="s">
        <v>592</v>
      </c>
      <c r="E82" s="101"/>
      <c r="F82" s="3" t="s">
        <v>405</v>
      </c>
      <c r="G82" s="74">
        <v>3901108</v>
      </c>
      <c r="H82" s="3" t="s">
        <v>635</v>
      </c>
      <c r="I82" s="74">
        <v>3969700</v>
      </c>
    </row>
    <row r="83" spans="2:9" x14ac:dyDescent="0.3">
      <c r="B83" s="44"/>
      <c r="E83" s="101"/>
    </row>
    <row r="84" spans="2:9" x14ac:dyDescent="0.3">
      <c r="B84" s="44">
        <v>46088</v>
      </c>
      <c r="C84" s="3" t="s">
        <v>416</v>
      </c>
      <c r="D84" s="3" t="s">
        <v>592</v>
      </c>
      <c r="E84" s="101"/>
      <c r="F84" s="3" t="s">
        <v>398</v>
      </c>
      <c r="G84" s="74">
        <v>3211601</v>
      </c>
      <c r="H84" s="3" t="s">
        <v>634</v>
      </c>
      <c r="I84" s="74">
        <v>4023105</v>
      </c>
    </row>
    <row r="85" spans="2:9" x14ac:dyDescent="0.3">
      <c r="B85" s="44">
        <v>46088</v>
      </c>
      <c r="C85" s="3" t="s">
        <v>416</v>
      </c>
      <c r="D85" s="3" t="s">
        <v>592</v>
      </c>
      <c r="E85" s="101"/>
      <c r="F85" s="3" t="s">
        <v>570</v>
      </c>
      <c r="G85" s="4" t="s">
        <v>556</v>
      </c>
      <c r="H85" s="3" t="s">
        <v>405</v>
      </c>
      <c r="I85" s="74">
        <v>3901108</v>
      </c>
    </row>
    <row r="86" spans="2:9" x14ac:dyDescent="0.3">
      <c r="B86" s="44">
        <v>46088</v>
      </c>
      <c r="C86" s="3" t="s">
        <v>416</v>
      </c>
      <c r="D86" s="3" t="s">
        <v>592</v>
      </c>
      <c r="E86" s="101"/>
      <c r="F86" s="3" t="s">
        <v>635</v>
      </c>
      <c r="G86" s="74">
        <v>3969700</v>
      </c>
      <c r="H86" s="3" t="s">
        <v>636</v>
      </c>
      <c r="I86" s="74">
        <v>3195502</v>
      </c>
    </row>
    <row r="87" spans="2:9" x14ac:dyDescent="0.3">
      <c r="B87" s="44"/>
      <c r="E87" s="101"/>
    </row>
    <row r="88" spans="2:9" x14ac:dyDescent="0.3">
      <c r="B88" s="44">
        <v>46095</v>
      </c>
      <c r="C88" s="3" t="s">
        <v>416</v>
      </c>
      <c r="D88" s="3" t="s">
        <v>592</v>
      </c>
      <c r="E88" s="101"/>
      <c r="F88" s="3" t="s">
        <v>635</v>
      </c>
      <c r="G88" s="74">
        <v>3969700</v>
      </c>
      <c r="H88" s="3" t="s">
        <v>398</v>
      </c>
      <c r="I88" s="74">
        <v>3211601</v>
      </c>
    </row>
    <row r="89" spans="2:9" x14ac:dyDescent="0.3">
      <c r="B89" s="44">
        <v>46095</v>
      </c>
      <c r="C89" s="3" t="s">
        <v>416</v>
      </c>
      <c r="D89" s="3" t="s">
        <v>592</v>
      </c>
      <c r="E89" s="101"/>
      <c r="F89" s="3" t="s">
        <v>634</v>
      </c>
      <c r="G89" s="74">
        <v>4023105</v>
      </c>
      <c r="H89" s="3" t="s">
        <v>570</v>
      </c>
      <c r="I89" s="4" t="s">
        <v>556</v>
      </c>
    </row>
    <row r="90" spans="2:9" x14ac:dyDescent="0.3">
      <c r="B90" s="44">
        <v>46095</v>
      </c>
      <c r="C90" s="3" t="s">
        <v>416</v>
      </c>
      <c r="D90" s="3" t="s">
        <v>592</v>
      </c>
      <c r="E90" s="101"/>
      <c r="F90" s="3" t="s">
        <v>636</v>
      </c>
      <c r="G90" s="74">
        <v>3195502</v>
      </c>
      <c r="H90" s="3" t="s">
        <v>405</v>
      </c>
      <c r="I90" s="74">
        <v>3901108</v>
      </c>
    </row>
    <row r="91" spans="2:9" x14ac:dyDescent="0.3">
      <c r="B91" s="44"/>
      <c r="E91" s="101"/>
    </row>
    <row r="92" spans="2:9" x14ac:dyDescent="0.3">
      <c r="B92" s="44">
        <v>46102</v>
      </c>
      <c r="C92" s="3" t="s">
        <v>416</v>
      </c>
      <c r="D92" s="3" t="s">
        <v>592</v>
      </c>
      <c r="E92" s="101"/>
      <c r="F92" s="3" t="s">
        <v>398</v>
      </c>
      <c r="G92" s="74">
        <v>3211601</v>
      </c>
      <c r="H92" s="3" t="s">
        <v>636</v>
      </c>
      <c r="I92" s="74">
        <v>3195502</v>
      </c>
    </row>
    <row r="93" spans="2:9" x14ac:dyDescent="0.3">
      <c r="B93" s="44">
        <v>46102</v>
      </c>
      <c r="C93" s="3" t="s">
        <v>416</v>
      </c>
      <c r="D93" s="3" t="s">
        <v>592</v>
      </c>
      <c r="E93" s="101"/>
      <c r="F93" s="3" t="s">
        <v>570</v>
      </c>
      <c r="G93" s="4" t="s">
        <v>556</v>
      </c>
      <c r="H93" s="3" t="s">
        <v>635</v>
      </c>
      <c r="I93" s="74">
        <v>3969700</v>
      </c>
    </row>
    <row r="94" spans="2:9" x14ac:dyDescent="0.3">
      <c r="B94" s="44">
        <v>46102</v>
      </c>
      <c r="C94" s="3" t="s">
        <v>416</v>
      </c>
      <c r="D94" s="3" t="s">
        <v>592</v>
      </c>
      <c r="E94" s="101"/>
      <c r="F94" s="3" t="s">
        <v>405</v>
      </c>
      <c r="G94" s="74">
        <v>3901108</v>
      </c>
      <c r="H94" s="3" t="s">
        <v>634</v>
      </c>
      <c r="I94" s="74">
        <v>4023105</v>
      </c>
    </row>
    <row r="95" spans="2:9" x14ac:dyDescent="0.3">
      <c r="B95" s="44"/>
      <c r="E95" s="101"/>
    </row>
    <row r="96" spans="2:9" x14ac:dyDescent="0.3">
      <c r="B96" s="44">
        <v>46109</v>
      </c>
      <c r="C96" s="3" t="s">
        <v>416</v>
      </c>
      <c r="D96" s="3" t="s">
        <v>592</v>
      </c>
      <c r="E96" s="101"/>
      <c r="F96" s="3" t="s">
        <v>405</v>
      </c>
      <c r="G96" s="74">
        <v>3901108</v>
      </c>
      <c r="H96" s="3" t="s">
        <v>398</v>
      </c>
      <c r="I96" s="74">
        <v>3211601</v>
      </c>
    </row>
    <row r="97" spans="2:9" x14ac:dyDescent="0.3">
      <c r="B97" s="44">
        <v>46109</v>
      </c>
      <c r="C97" s="3" t="s">
        <v>416</v>
      </c>
      <c r="D97" s="3" t="s">
        <v>592</v>
      </c>
      <c r="E97" s="101"/>
      <c r="F97" s="3" t="s">
        <v>636</v>
      </c>
      <c r="G97" s="74">
        <v>3195502</v>
      </c>
      <c r="H97" s="3" t="s">
        <v>570</v>
      </c>
      <c r="I97" s="4" t="s">
        <v>556</v>
      </c>
    </row>
    <row r="98" spans="2:9" x14ac:dyDescent="0.3">
      <c r="B98" s="44">
        <v>46109</v>
      </c>
      <c r="C98" s="3" t="s">
        <v>416</v>
      </c>
      <c r="D98" s="3" t="s">
        <v>592</v>
      </c>
      <c r="E98" s="101"/>
      <c r="F98" s="3" t="s">
        <v>635</v>
      </c>
      <c r="G98" s="74">
        <v>3969700</v>
      </c>
      <c r="H98" s="3" t="s">
        <v>634</v>
      </c>
      <c r="I98" s="74">
        <v>4023105</v>
      </c>
    </row>
    <row r="99" spans="2:9" x14ac:dyDescent="0.3">
      <c r="B99" s="44"/>
      <c r="E99" s="42"/>
    </row>
    <row r="100" spans="2:9" x14ac:dyDescent="0.3">
      <c r="B100" s="44"/>
      <c r="E100" s="42"/>
    </row>
    <row r="101" spans="2:9" x14ac:dyDescent="0.3">
      <c r="B101" s="44"/>
      <c r="E101" s="42"/>
    </row>
    <row r="102" spans="2:9" x14ac:dyDescent="0.3">
      <c r="B102" s="44"/>
      <c r="E102" s="42"/>
    </row>
    <row r="103" spans="2:9" x14ac:dyDescent="0.3">
      <c r="B103" s="4"/>
      <c r="E103" s="42"/>
    </row>
    <row r="104" spans="2:9" x14ac:dyDescent="0.3">
      <c r="B104" s="44"/>
      <c r="E104" s="42"/>
    </row>
    <row r="105" spans="2:9" x14ac:dyDescent="0.3">
      <c r="B105" s="44"/>
      <c r="E105" s="42"/>
    </row>
    <row r="106" spans="2:9" x14ac:dyDescent="0.3">
      <c r="B106" s="44"/>
      <c r="E106" s="42"/>
    </row>
    <row r="107" spans="2:9" x14ac:dyDescent="0.3">
      <c r="B107" s="44"/>
      <c r="E107" s="42"/>
    </row>
    <row r="108" spans="2:9" x14ac:dyDescent="0.3">
      <c r="B108" s="44"/>
      <c r="E108" s="42"/>
    </row>
    <row r="109" spans="2:9" x14ac:dyDescent="0.3">
      <c r="B109" s="44"/>
      <c r="E109" s="42"/>
    </row>
    <row r="110" spans="2:9" x14ac:dyDescent="0.3">
      <c r="B110" s="44"/>
      <c r="E110" s="42"/>
    </row>
    <row r="111" spans="2:9" x14ac:dyDescent="0.3">
      <c r="B111" s="44"/>
      <c r="E111" s="42"/>
    </row>
    <row r="112" spans="2:9" x14ac:dyDescent="0.3">
      <c r="B112" s="44"/>
      <c r="E112" s="42"/>
    </row>
    <row r="113" spans="2:5" x14ac:dyDescent="0.3">
      <c r="B113" s="44"/>
      <c r="E113" s="42"/>
    </row>
    <row r="114" spans="2:5" x14ac:dyDescent="0.3">
      <c r="B114" s="44"/>
      <c r="E114" s="42"/>
    </row>
    <row r="115" spans="2:5" x14ac:dyDescent="0.3">
      <c r="B115" s="44"/>
      <c r="E115" s="42"/>
    </row>
    <row r="116" spans="2:5" x14ac:dyDescent="0.3">
      <c r="B116" s="44"/>
      <c r="E116" s="42"/>
    </row>
    <row r="117" spans="2:5" x14ac:dyDescent="0.3">
      <c r="B117" s="44"/>
      <c r="E117" s="42"/>
    </row>
    <row r="118" spans="2:5" x14ac:dyDescent="0.3">
      <c r="B118" s="44"/>
      <c r="E118" s="42"/>
    </row>
    <row r="119" spans="2:5" x14ac:dyDescent="0.3">
      <c r="B119" s="44"/>
      <c r="E119" s="42"/>
    </row>
    <row r="120" spans="2:5" x14ac:dyDescent="0.3">
      <c r="B120" s="44"/>
      <c r="E120" s="42"/>
    </row>
    <row r="121" spans="2:5" x14ac:dyDescent="0.3">
      <c r="B121" s="44"/>
      <c r="E121" s="42"/>
    </row>
    <row r="122" spans="2:5" x14ac:dyDescent="0.3">
      <c r="B122" s="44"/>
      <c r="E122" s="42"/>
    </row>
    <row r="123" spans="2:5" x14ac:dyDescent="0.3">
      <c r="B123" s="44"/>
      <c r="E123" s="42"/>
    </row>
    <row r="124" spans="2:5" x14ac:dyDescent="0.3">
      <c r="B124" s="44"/>
      <c r="E124" s="42"/>
    </row>
    <row r="125" spans="2:5" x14ac:dyDescent="0.3">
      <c r="B125" s="44"/>
      <c r="E125" s="42"/>
    </row>
    <row r="126" spans="2:5" x14ac:dyDescent="0.3">
      <c r="B126" s="44"/>
      <c r="E126" s="42"/>
    </row>
    <row r="127" spans="2:5" x14ac:dyDescent="0.3">
      <c r="B127" s="44"/>
      <c r="E127" s="42"/>
    </row>
    <row r="128" spans="2:5" x14ac:dyDescent="0.3">
      <c r="B128" s="44"/>
      <c r="E128" s="42"/>
    </row>
    <row r="129" spans="2:8" x14ac:dyDescent="0.3">
      <c r="B129" s="44"/>
      <c r="E129" s="42"/>
    </row>
    <row r="130" spans="2:8" x14ac:dyDescent="0.3">
      <c r="B130" s="44"/>
      <c r="E130" s="42"/>
    </row>
    <row r="131" spans="2:8" x14ac:dyDescent="0.3">
      <c r="B131" s="44"/>
      <c r="E131" s="42"/>
    </row>
    <row r="132" spans="2:8" x14ac:dyDescent="0.3">
      <c r="B132" s="44"/>
      <c r="E132" s="42"/>
    </row>
    <row r="133" spans="2:8" x14ac:dyDescent="0.3">
      <c r="B133" s="44"/>
      <c r="E133" s="42"/>
    </row>
    <row r="134" spans="2:8" x14ac:dyDescent="0.3">
      <c r="B134" s="44"/>
      <c r="E134" s="42"/>
    </row>
    <row r="135" spans="2:8" x14ac:dyDescent="0.3">
      <c r="B135" s="44"/>
      <c r="E135" s="42"/>
    </row>
    <row r="136" spans="2:8" x14ac:dyDescent="0.3">
      <c r="B136" s="44"/>
      <c r="E136" s="42"/>
    </row>
    <row r="137" spans="2:8" x14ac:dyDescent="0.3">
      <c r="B137" s="44"/>
      <c r="E137" s="42"/>
      <c r="H137" s="4"/>
    </row>
    <row r="138" spans="2:8" x14ac:dyDescent="0.3">
      <c r="B138" s="44"/>
      <c r="E138" s="42"/>
    </row>
    <row r="139" spans="2:8" x14ac:dyDescent="0.3">
      <c r="B139" s="44"/>
      <c r="E139" s="42"/>
      <c r="F139" s="4"/>
      <c r="H139" s="4"/>
    </row>
    <row r="140" spans="2:8" x14ac:dyDescent="0.3">
      <c r="B140" s="4"/>
      <c r="E140" s="42"/>
      <c r="F140" s="4"/>
    </row>
    <row r="141" spans="2:8" x14ac:dyDescent="0.3">
      <c r="B141" s="44"/>
      <c r="E141" s="42"/>
      <c r="H141" s="4"/>
    </row>
    <row r="142" spans="2:8" x14ac:dyDescent="0.3">
      <c r="B142" s="44"/>
      <c r="E142" s="42"/>
    </row>
    <row r="143" spans="2:8" x14ac:dyDescent="0.3">
      <c r="B143" s="44"/>
      <c r="E143" s="42"/>
    </row>
    <row r="144" spans="2:8" x14ac:dyDescent="0.3">
      <c r="B144" s="44"/>
      <c r="E144" s="42"/>
      <c r="F144" s="4"/>
      <c r="H144" s="4"/>
    </row>
    <row r="145" spans="2:8" x14ac:dyDescent="0.3">
      <c r="B145" s="44"/>
      <c r="E145" s="42"/>
      <c r="F145" s="4"/>
    </row>
    <row r="146" spans="2:8" x14ac:dyDescent="0.3">
      <c r="B146" s="44"/>
      <c r="E146" s="42"/>
      <c r="F146" s="4"/>
    </row>
    <row r="147" spans="2:8" x14ac:dyDescent="0.3">
      <c r="B147" s="4"/>
      <c r="E147" s="42"/>
      <c r="F147" s="4"/>
    </row>
    <row r="148" spans="2:8" x14ac:dyDescent="0.3">
      <c r="B148" s="44"/>
      <c r="E148" s="42"/>
      <c r="F148" s="4"/>
      <c r="H148" s="4"/>
    </row>
    <row r="149" spans="2:8" x14ac:dyDescent="0.3">
      <c r="B149" s="44"/>
      <c r="E149" s="42"/>
      <c r="F149" s="4"/>
      <c r="H149" s="4"/>
    </row>
    <row r="150" spans="2:8" x14ac:dyDescent="0.3">
      <c r="B150" s="44"/>
      <c r="E150" s="42"/>
      <c r="F150" s="4"/>
      <c r="H150" s="4"/>
    </row>
    <row r="151" spans="2:8" x14ac:dyDescent="0.3">
      <c r="B151" s="44"/>
      <c r="E151" s="42"/>
    </row>
    <row r="152" spans="2:8" x14ac:dyDescent="0.3">
      <c r="B152" s="44"/>
      <c r="E152" s="42"/>
      <c r="H152" s="4"/>
    </row>
    <row r="153" spans="2:8" x14ac:dyDescent="0.3">
      <c r="B153" s="44"/>
      <c r="E153" s="42"/>
    </row>
    <row r="154" spans="2:8" x14ac:dyDescent="0.3">
      <c r="B154" s="4"/>
      <c r="E154" s="42"/>
      <c r="F154" s="4"/>
    </row>
    <row r="155" spans="2:8" x14ac:dyDescent="0.3">
      <c r="B155" s="44"/>
      <c r="E155" s="42"/>
      <c r="H155" s="4"/>
    </row>
    <row r="156" spans="2:8" x14ac:dyDescent="0.3">
      <c r="B156" s="44"/>
      <c r="E156" s="42"/>
    </row>
    <row r="157" spans="2:8" x14ac:dyDescent="0.3">
      <c r="B157" s="44"/>
      <c r="E157" s="42"/>
    </row>
    <row r="158" spans="2:8" x14ac:dyDescent="0.3">
      <c r="B158" s="44"/>
      <c r="E158" s="42"/>
      <c r="F158" s="4"/>
      <c r="H158" s="4"/>
    </row>
    <row r="159" spans="2:8" x14ac:dyDescent="0.3">
      <c r="B159" s="44"/>
      <c r="E159" s="42"/>
      <c r="F159" s="4"/>
      <c r="H159" s="4"/>
    </row>
    <row r="160" spans="2:8" x14ac:dyDescent="0.3">
      <c r="B160" s="44"/>
      <c r="E160" s="42"/>
      <c r="F160" s="4"/>
    </row>
    <row r="161" spans="2:8" x14ac:dyDescent="0.3">
      <c r="B161" s="4"/>
      <c r="E161" s="42"/>
      <c r="F161" s="4"/>
    </row>
    <row r="162" spans="2:8" x14ac:dyDescent="0.3">
      <c r="B162" s="44"/>
      <c r="E162" s="42"/>
      <c r="F162" s="4"/>
      <c r="H162" s="4"/>
    </row>
    <row r="163" spans="2:8" x14ac:dyDescent="0.3">
      <c r="B163" s="44"/>
      <c r="E163" s="42"/>
      <c r="F163" s="4"/>
    </row>
    <row r="164" spans="2:8" x14ac:dyDescent="0.3">
      <c r="B164" s="44"/>
      <c r="E164" s="42"/>
      <c r="F164" s="4"/>
      <c r="H164" s="4"/>
    </row>
    <row r="165" spans="2:8" x14ac:dyDescent="0.3">
      <c r="B165" s="44"/>
      <c r="E165" s="42"/>
      <c r="F165" s="4"/>
      <c r="H165" s="4"/>
    </row>
    <row r="166" spans="2:8" x14ac:dyDescent="0.3">
      <c r="B166" s="44"/>
      <c r="E166" s="42"/>
    </row>
    <row r="167" spans="2:8" x14ac:dyDescent="0.3">
      <c r="B167" s="44"/>
      <c r="E167" s="42"/>
    </row>
    <row r="168" spans="2:8" x14ac:dyDescent="0.3">
      <c r="B168" s="4"/>
      <c r="E168" s="42"/>
      <c r="F168" s="4"/>
    </row>
    <row r="169" spans="2:8" x14ac:dyDescent="0.3">
      <c r="B169" s="44"/>
      <c r="E169" s="42"/>
      <c r="H169" s="4"/>
    </row>
    <row r="170" spans="2:8" x14ac:dyDescent="0.3">
      <c r="B170" s="44"/>
      <c r="E170" s="42"/>
      <c r="H170" s="4"/>
    </row>
    <row r="171" spans="2:8" x14ac:dyDescent="0.3">
      <c r="B171" s="44"/>
      <c r="E171" s="42"/>
      <c r="H171" s="4"/>
    </row>
    <row r="172" spans="2:8" x14ac:dyDescent="0.3">
      <c r="B172" s="44"/>
      <c r="E172" s="42"/>
      <c r="F172" s="4"/>
      <c r="H172" s="4"/>
    </row>
    <row r="173" spans="2:8" x14ac:dyDescent="0.3">
      <c r="B173" s="44"/>
      <c r="E173" s="42"/>
    </row>
    <row r="174" spans="2:8" x14ac:dyDescent="0.3">
      <c r="B174" s="44"/>
      <c r="E174" s="42"/>
      <c r="F174" s="4"/>
    </row>
    <row r="175" spans="2:8" x14ac:dyDescent="0.3">
      <c r="B175" s="4"/>
      <c r="E175" s="42"/>
      <c r="F175" s="4"/>
    </row>
    <row r="176" spans="2:8" x14ac:dyDescent="0.3">
      <c r="B176" s="44"/>
      <c r="E176" s="42"/>
      <c r="F176" s="4"/>
    </row>
    <row r="177" spans="2:8" x14ac:dyDescent="0.3">
      <c r="B177" s="44"/>
      <c r="E177" s="42"/>
      <c r="F177" s="4"/>
      <c r="H177" s="4"/>
    </row>
    <row r="178" spans="2:8" x14ac:dyDescent="0.3">
      <c r="B178" s="44"/>
      <c r="E178" s="42"/>
      <c r="F178" s="4"/>
    </row>
    <row r="179" spans="2:8" x14ac:dyDescent="0.3">
      <c r="B179" s="44"/>
      <c r="E179" s="42"/>
      <c r="F179" s="4"/>
    </row>
    <row r="180" spans="2:8" x14ac:dyDescent="0.3">
      <c r="B180" s="44"/>
      <c r="E180" s="42"/>
      <c r="F180" s="4"/>
      <c r="H180" s="4"/>
    </row>
    <row r="181" spans="2:8" x14ac:dyDescent="0.3">
      <c r="B181" s="44"/>
      <c r="E181" s="42"/>
    </row>
  </sheetData>
  <mergeCells count="1">
    <mergeCell ref="K5:K6"/>
  </mergeCells>
  <conditionalFormatting sqref="F1:I1048576">
    <cfRule type="containsText" dxfId="3015" priority="4" operator="containsText" text="Code">
      <formula>NOT(ISERROR(SEARCH("Code",F1)))</formula>
    </cfRule>
  </conditionalFormatting>
  <conditionalFormatting sqref="K10:K15">
    <cfRule type="containsText" dxfId="3014" priority="3" operator="containsText" text="Code">
      <formula>NOT(ISERROR(SEARCH("Code",K10)))</formula>
    </cfRule>
  </conditionalFormatting>
  <conditionalFormatting sqref="J10:J15">
    <cfRule type="containsText" dxfId="3013" priority="2" operator="containsText" text="Code">
      <formula>NOT(ISERROR(SEARCH("Code",J10)))</formula>
    </cfRule>
  </conditionalFormatting>
  <conditionalFormatting sqref="L10:L15">
    <cfRule type="containsText" dxfId="3012" priority="1" operator="containsText" text="Code">
      <formula>NOT(ISERROR(SEARCH("Code",L10)))</formula>
    </cfRule>
  </conditionalFormatting>
  <hyperlinks>
    <hyperlink ref="K3" location="Contents!A1" display="Back to Contents" xr:uid="{635B17DB-AE59-4999-B7FD-17DE11245287}"/>
    <hyperlink ref="K5:K6" location="'All Fixtures'!A1" display="See all NW Fixtures" xr:uid="{2D319DC1-25F2-49CA-8511-FA997257204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5FFB5-9240-43AF-9EDE-38F6A6CD7155}">
  <dimension ref="A2:AQ178"/>
  <sheetViews>
    <sheetView workbookViewId="0"/>
  </sheetViews>
  <sheetFormatPr defaultRowHeight="14.4" x14ac:dyDescent="0.3"/>
  <cols>
    <col min="1" max="1" width="3.77734375" style="46" customWidth="1"/>
    <col min="2" max="2" width="32.21875" style="3" customWidth="1"/>
    <col min="3" max="3" width="28.109375" style="3" customWidth="1"/>
    <col min="4" max="4" width="37.21875" style="3" customWidth="1"/>
    <col min="5" max="5" width="13.77734375" style="3" customWidth="1"/>
    <col min="6" max="6" width="32.33203125" style="3" customWidth="1"/>
    <col min="7" max="7" width="9.6640625" style="3" customWidth="1"/>
    <col min="8" max="8" width="29.77734375" style="3" customWidth="1"/>
    <col min="9" max="9" width="10.109375" style="3" customWidth="1"/>
    <col min="10" max="10" width="5.21875" style="3" customWidth="1"/>
    <col min="11" max="11" width="17.3320312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D3" s="16"/>
      <c r="E3" s="43" t="s">
        <v>504</v>
      </c>
      <c r="F3" s="43"/>
      <c r="I3" s="43"/>
      <c r="J3" s="43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D8" s="47"/>
      <c r="E8" s="47"/>
      <c r="F8" s="47"/>
      <c r="G8" s="47"/>
      <c r="H8" s="47"/>
      <c r="I8" s="47"/>
    </row>
    <row r="9" spans="1:12" ht="15" customHeight="1" x14ac:dyDescent="0.4">
      <c r="B9" s="21" t="s">
        <v>85</v>
      </c>
      <c r="D9" s="47"/>
      <c r="E9" s="47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COUNTIF(F$26:H$178,"Alderley Edge 1")</f>
        <v>22</v>
      </c>
      <c r="B10" s="3" t="s">
        <v>15</v>
      </c>
      <c r="C10" s="74">
        <v>3029601</v>
      </c>
      <c r="D10" s="57">
        <f>COUNTIF(F$26:I$178,"3029601")</f>
        <v>22</v>
      </c>
      <c r="E10" s="57"/>
      <c r="F10" s="57">
        <f>COUNTIF(F$26:F$178,"Alderley Edge 1")</f>
        <v>11</v>
      </c>
      <c r="G10" s="57"/>
      <c r="H10" s="57">
        <f>COUNTIF(H$26:H$178,"Alderley Edge 1")</f>
        <v>11</v>
      </c>
      <c r="I10" s="57">
        <f>COUNTIF(F$26:F$101,"Alderley Edge 1")</f>
        <v>5</v>
      </c>
      <c r="J10" s="57">
        <f>COUNTIF(F$102:F$178,"Alderley Edge 1")</f>
        <v>6</v>
      </c>
      <c r="K10" s="57">
        <f>COUNTIF(H$26:H$101,"Alderley Edge 1")</f>
        <v>6</v>
      </c>
      <c r="L10" s="57">
        <f>COUNTIF(H$102:H$178,"Alderley Edge 1")</f>
        <v>5</v>
      </c>
    </row>
    <row r="11" spans="1:12" ht="15" customHeight="1" x14ac:dyDescent="0.3">
      <c r="A11" s="47">
        <f>COUNTIF(F$26:H$178,"Bowdon 2")</f>
        <v>22</v>
      </c>
      <c r="B11" s="3" t="s">
        <v>9</v>
      </c>
      <c r="C11" s="74">
        <v>3033405</v>
      </c>
      <c r="D11" s="57">
        <f>COUNTIF(F$26:I$178,"3033405")</f>
        <v>22</v>
      </c>
      <c r="E11" s="57"/>
      <c r="F11" s="57">
        <f>COUNTIF(F$26:F$178,"Bowdon 2")</f>
        <v>11</v>
      </c>
      <c r="G11" s="57"/>
      <c r="H11" s="57">
        <f>COUNTIF(H$26:H$178,"Bowdon 2")</f>
        <v>11</v>
      </c>
      <c r="I11" s="57">
        <f>COUNTIF(F$26:F$101,"Bowdon 2")</f>
        <v>6</v>
      </c>
      <c r="J11" s="57">
        <f>COUNTIF(F$102:F$178,"Bowdon 2")</f>
        <v>5</v>
      </c>
      <c r="K11" s="57">
        <f>COUNTIF(H$26:H$101,"Bowdon 2")</f>
        <v>5</v>
      </c>
      <c r="L11" s="57">
        <f>COUNTIF(H$102:H$178,"Bowdon 2")</f>
        <v>6</v>
      </c>
    </row>
    <row r="12" spans="1:12" ht="15" customHeight="1" x14ac:dyDescent="0.3">
      <c r="A12" s="47">
        <f>COUNTIF(F$26:H$178,"Brooklands Manchester University 2")</f>
        <v>22</v>
      </c>
      <c r="B12" s="3" t="s">
        <v>505</v>
      </c>
      <c r="C12" s="74">
        <v>3033207</v>
      </c>
      <c r="D12" s="57">
        <f>COUNTIF(F$26:I$178,"3033207")</f>
        <v>22</v>
      </c>
      <c r="E12" s="57"/>
      <c r="F12" s="57">
        <f>COUNTIF(F$26:F$178,"Brooklands Manchester University 2")</f>
        <v>11</v>
      </c>
      <c r="G12" s="57"/>
      <c r="H12" s="57">
        <f>COUNTIF(H$26:H$178,"Brooklands Manchester University 2")</f>
        <v>11</v>
      </c>
      <c r="I12" s="57">
        <f>COUNTIF(F$26:F$101,"Brooklands Manchester University 2")</f>
        <v>6</v>
      </c>
      <c r="J12" s="57">
        <f>COUNTIF(F$102:F$178,"Brooklands Manchester University 2")</f>
        <v>5</v>
      </c>
      <c r="K12" s="57">
        <f>COUNTIF(H$26:H$101,"Brooklands Manchester University 2")</f>
        <v>5</v>
      </c>
      <c r="L12" s="57">
        <f>COUNTIF(H$102:H$178,"Brooklands Manchester University 2")</f>
        <v>6</v>
      </c>
    </row>
    <row r="13" spans="1:12" ht="15" customHeight="1" x14ac:dyDescent="0.3">
      <c r="A13" s="47">
        <f>COUNTIF(F$26:H$178,"Chester 1")</f>
        <v>22</v>
      </c>
      <c r="B13" s="3" t="s">
        <v>8</v>
      </c>
      <c r="C13" s="74">
        <v>3034008</v>
      </c>
      <c r="D13" s="57">
        <f>COUNTIF(F$26:I$178,"3034008")</f>
        <v>22</v>
      </c>
      <c r="E13" s="57"/>
      <c r="F13" s="57">
        <f>COUNTIF(F$26:F$178,"Chester 1")</f>
        <v>11</v>
      </c>
      <c r="G13" s="57"/>
      <c r="H13" s="57">
        <f>COUNTIF(H$26:H$178,"Chester 1")</f>
        <v>11</v>
      </c>
      <c r="I13" s="57">
        <f>COUNTIF(F$26:F$101,"Chester 1")</f>
        <v>6</v>
      </c>
      <c r="J13" s="57">
        <f>COUNTIF(F$102:F$178,"Chester 1")</f>
        <v>5</v>
      </c>
      <c r="K13" s="57">
        <f>COUNTIF(H$26:H$101,"Chester 1")</f>
        <v>5</v>
      </c>
      <c r="L13" s="57">
        <f>COUNTIF(H$102:H$178,"Chester 1")</f>
        <v>6</v>
      </c>
    </row>
    <row r="14" spans="1:12" ht="15" customHeight="1" x14ac:dyDescent="0.3">
      <c r="A14" s="47">
        <f>COUNTIF(F$26:H$178,"Crewe Vagrants 1")</f>
        <v>22</v>
      </c>
      <c r="B14" s="3" t="s">
        <v>99</v>
      </c>
      <c r="C14" s="74">
        <v>3125604</v>
      </c>
      <c r="D14" s="57">
        <f>COUNTIF(F$26:I$178,"3125604")</f>
        <v>22</v>
      </c>
      <c r="E14" s="57"/>
      <c r="F14" s="57">
        <f>COUNTIF(F$26:F$178,"Crewe Vagrants 1")</f>
        <v>11</v>
      </c>
      <c r="G14" s="57"/>
      <c r="H14" s="57">
        <f>COUNTIF(H$26:H$178,"Crewe Vagrants 1")</f>
        <v>11</v>
      </c>
      <c r="I14" s="57">
        <f>COUNTIF(F$26:F$101,"Crewe Vagrants 1")</f>
        <v>5</v>
      </c>
      <c r="J14" s="57">
        <f>COUNTIF(F$102:F$178,"Crewe Vagrants 1")</f>
        <v>6</v>
      </c>
      <c r="K14" s="57">
        <f>COUNTIF(H$26:H$101,"Crewe Vagrants 1")</f>
        <v>6</v>
      </c>
      <c r="L14" s="57">
        <f>COUNTIF(H$102:H$178,"Crewe Vagrants 1")</f>
        <v>5</v>
      </c>
    </row>
    <row r="15" spans="1:12" ht="15" customHeight="1" x14ac:dyDescent="0.3">
      <c r="A15" s="47">
        <f>COUNTIF(F$26:H$178,"Deeside Ramblers 2")</f>
        <v>22</v>
      </c>
      <c r="B15" s="3" t="s">
        <v>11</v>
      </c>
      <c r="C15" s="74">
        <v>3034800</v>
      </c>
      <c r="D15" s="57">
        <f>COUNTIF(F$26:I$178,"3034800")</f>
        <v>22</v>
      </c>
      <c r="E15" s="57"/>
      <c r="F15" s="57">
        <f>COUNTIF(F$26:F$178,"Deeside Ramblers 2")</f>
        <v>11</v>
      </c>
      <c r="G15" s="57"/>
      <c r="H15" s="57">
        <f>COUNTIF(H$26:H$178,"Deeside Ramblers 2")</f>
        <v>11</v>
      </c>
      <c r="I15" s="57">
        <f>COUNTIF(F$26:F$101,"Deeside Ramblers 2")</f>
        <v>5</v>
      </c>
      <c r="J15" s="57">
        <f>COUNTIF(F$102:F$178,"Deeside Ramblers 2")</f>
        <v>6</v>
      </c>
      <c r="K15" s="57">
        <f>COUNTIF(H$26:H$101,"Deeside Ramblers 2")</f>
        <v>6</v>
      </c>
      <c r="L15" s="57">
        <f>COUNTIF(H$102:H$178,"Deeside Ramblers 2")</f>
        <v>5</v>
      </c>
    </row>
    <row r="16" spans="1:12" x14ac:dyDescent="0.3">
      <c r="A16" s="47">
        <f>COUNTIF(F$26:H$178,"Didsbury Northern 2")</f>
        <v>22</v>
      </c>
      <c r="B16" s="3" t="s">
        <v>100</v>
      </c>
      <c r="C16" s="74">
        <v>3125302</v>
      </c>
      <c r="D16" s="57">
        <f>COUNTIF(F$26:I$178,"3125302")</f>
        <v>22</v>
      </c>
      <c r="E16" s="57"/>
      <c r="F16" s="57">
        <f>COUNTIF(F$26:F$178,"Didsbury Northern 2")</f>
        <v>11</v>
      </c>
      <c r="G16" s="57"/>
      <c r="H16" s="57">
        <f>COUNTIF(H$26:H$178,"Didsbury Northern 2")</f>
        <v>11</v>
      </c>
      <c r="I16" s="57">
        <f>COUNTIF(F$26:F$101,"Didsbury Northern 2")</f>
        <v>6</v>
      </c>
      <c r="J16" s="57">
        <f>COUNTIF(F$102:F$178,"Didsbury Northern 2")</f>
        <v>5</v>
      </c>
      <c r="K16" s="57">
        <f>COUNTIF(H$26:H$101,"Didsbury Northern 2")</f>
        <v>5</v>
      </c>
      <c r="L16" s="57">
        <f>COUNTIF(H$102:H$178,"Didsbury Northern 2")</f>
        <v>6</v>
      </c>
    </row>
    <row r="17" spans="1:43" x14ac:dyDescent="0.3">
      <c r="A17" s="47">
        <f>COUNTIF(F$26:H178,"Formby 1")</f>
        <v>22</v>
      </c>
      <c r="B17" s="3" t="s">
        <v>12</v>
      </c>
      <c r="C17" s="74">
        <v>3034206</v>
      </c>
      <c r="D17" s="57">
        <f>COUNTIF(F$26:I$178,"3034206")</f>
        <v>22</v>
      </c>
      <c r="E17" s="57"/>
      <c r="F17" s="57">
        <f>COUNTIF(F$26:F$178,"Formby 1")</f>
        <v>11</v>
      </c>
      <c r="G17" s="57"/>
      <c r="H17" s="57">
        <f>COUNTIF(H$26:H$178,"Formby 1")</f>
        <v>11</v>
      </c>
      <c r="I17" s="57">
        <f>COUNTIF(F$26:F$101,"Formby 1")</f>
        <v>5</v>
      </c>
      <c r="J17" s="57">
        <f>COUNTIF(F$102:F$178,"Formby 1")</f>
        <v>6</v>
      </c>
      <c r="K17" s="57">
        <f>COUNTIF(H$26:H$101,"Formby 1")</f>
        <v>6</v>
      </c>
      <c r="L17" s="57">
        <f>COUNTIF(H$102:H$178,"Formby 1")</f>
        <v>5</v>
      </c>
    </row>
    <row r="18" spans="1:43" x14ac:dyDescent="0.3">
      <c r="A18" s="47">
        <f>COUNTIF(F$26:H$178,"Macclesfield 1")</f>
        <v>22</v>
      </c>
      <c r="B18" s="3" t="s">
        <v>112</v>
      </c>
      <c r="C18" s="74">
        <v>3353602</v>
      </c>
      <c r="D18" s="57">
        <f>COUNTIF(F$26:I$178,"3353602")</f>
        <v>22</v>
      </c>
      <c r="E18" s="57"/>
      <c r="F18" s="57">
        <f>COUNTIF(F$26:F$178,"Macclesfield 1")</f>
        <v>11</v>
      </c>
      <c r="G18" s="57"/>
      <c r="H18" s="57">
        <f>COUNTIF(H$26:H$178,"Macclesfield 1")</f>
        <v>11</v>
      </c>
      <c r="I18" s="57">
        <f>COUNTIF(F$26:F$101,"Macclesfield 1")</f>
        <v>6</v>
      </c>
      <c r="J18" s="57">
        <f>COUNTIF(F$102:F$178,"Macclesfield 1")</f>
        <v>5</v>
      </c>
      <c r="K18" s="57">
        <f>COUNTIF(H$26:H$101,"Macclesfield 1")</f>
        <v>5</v>
      </c>
      <c r="L18" s="57">
        <f>COUNTIF(H$102:H$178,"Macclesfield 1")</f>
        <v>6</v>
      </c>
    </row>
    <row r="19" spans="1:43" x14ac:dyDescent="0.3">
      <c r="A19" s="47">
        <f>COUNTIF(F$26:H$178,"Preston 1")</f>
        <v>22</v>
      </c>
      <c r="B19" s="3" t="s">
        <v>37</v>
      </c>
      <c r="C19" s="74">
        <v>3029903</v>
      </c>
      <c r="D19" s="57">
        <f>COUNTIF(F$26:I$178,"3029903")</f>
        <v>22</v>
      </c>
      <c r="E19" s="57"/>
      <c r="F19" s="57">
        <f>COUNTIF(F$26:F$178,"Preston 1")</f>
        <v>11</v>
      </c>
      <c r="G19" s="57"/>
      <c r="H19" s="57">
        <f>COUNTIF(H$26:H$178,"Preston 1")</f>
        <v>11</v>
      </c>
      <c r="I19" s="57">
        <f>COUNTIF(F$26:F$101,"Preston 1")</f>
        <v>5</v>
      </c>
      <c r="J19" s="57">
        <f>COUNTIF(F$102:F$178,"Preston 1")</f>
        <v>6</v>
      </c>
      <c r="K19" s="57">
        <f>COUNTIF(H$26:H$101,"Preston 1")</f>
        <v>6</v>
      </c>
      <c r="L19" s="57">
        <f>COUNTIF(H$102:H$178,"Preston 1")</f>
        <v>5</v>
      </c>
    </row>
    <row r="20" spans="1:43" x14ac:dyDescent="0.3">
      <c r="A20" s="47">
        <f>COUNTIF(F$26:H$178,"Timperley 2")</f>
        <v>22</v>
      </c>
      <c r="B20" s="3" t="s">
        <v>14</v>
      </c>
      <c r="C20" s="74">
        <v>3348601</v>
      </c>
      <c r="D20" s="57">
        <f>COUNTIF(F$26:I$178,"3348601")</f>
        <v>22</v>
      </c>
      <c r="E20" s="57"/>
      <c r="F20" s="57">
        <f>COUNTIF(F$26:F$178,"Timperley 2")</f>
        <v>11</v>
      </c>
      <c r="G20" s="57"/>
      <c r="H20" s="57">
        <f>COUNTIF(H$26:H$178,"Timperley 2")</f>
        <v>11</v>
      </c>
      <c r="I20" s="57">
        <f>COUNTIF(F$26:F$101,"Timperley 2")</f>
        <v>5</v>
      </c>
      <c r="J20" s="57">
        <f>COUNTIF(F$102:F$178,"Timperley 2")</f>
        <v>6</v>
      </c>
      <c r="K20" s="57">
        <f>COUNTIF(H$26:H$101,"Timperley 2")</f>
        <v>6</v>
      </c>
      <c r="L20" s="57">
        <f>COUNTIF(H$102:H$178,"Timperley 2")</f>
        <v>5</v>
      </c>
    </row>
    <row r="21" spans="1:43" x14ac:dyDescent="0.3">
      <c r="A21" s="47">
        <f>COUNTIF(F$26:H$178,"Windermere 1")</f>
        <v>22</v>
      </c>
      <c r="B21" s="3" t="s">
        <v>13</v>
      </c>
      <c r="C21" s="74">
        <v>3125906</v>
      </c>
      <c r="D21" s="57">
        <f>COUNTIF(F$26:I$178,"3125906")</f>
        <v>22</v>
      </c>
      <c r="E21" s="57"/>
      <c r="F21" s="57">
        <f>COUNTIF(F$26:F$178,"Windermere 1")</f>
        <v>11</v>
      </c>
      <c r="G21" s="57"/>
      <c r="H21" s="57">
        <f>COUNTIF(H$26:H$178,"Windermere 1")</f>
        <v>11</v>
      </c>
      <c r="I21" s="57">
        <f>COUNTIF(F$26:F$101,"Windermere 1")</f>
        <v>6</v>
      </c>
      <c r="J21" s="57">
        <f>COUNTIF(F$102:F$178,"Windermere 1")</f>
        <v>5</v>
      </c>
      <c r="K21" s="57">
        <f>COUNTIF(H$26:H$101,"Windermere 1")</f>
        <v>5</v>
      </c>
      <c r="L21" s="57">
        <f>COUNTIF(H$102:H$178,"Windermere 1")</f>
        <v>6</v>
      </c>
    </row>
    <row r="22" spans="1:43" x14ac:dyDescent="0.3">
      <c r="D22" s="47"/>
      <c r="E22" s="47"/>
      <c r="F22" s="47"/>
      <c r="G22" s="47"/>
      <c r="H22" s="47"/>
      <c r="I22" s="47"/>
    </row>
    <row r="23" spans="1:43" ht="21" x14ac:dyDescent="0.4">
      <c r="B23" s="22" t="s">
        <v>93</v>
      </c>
    </row>
    <row r="24" spans="1:43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3" t="s">
        <v>414</v>
      </c>
      <c r="I24" s="14" t="s">
        <v>415</v>
      </c>
      <c r="J24" s="14"/>
    </row>
    <row r="25" spans="1:43" s="68" customFormat="1" x14ac:dyDescent="0.3">
      <c r="A25" s="62"/>
      <c r="B25" s="63"/>
      <c r="C25" s="64"/>
      <c r="D25" s="64"/>
      <c r="E25" s="64"/>
      <c r="F25" s="64"/>
      <c r="G25" s="64"/>
      <c r="H25" s="65"/>
      <c r="I25" s="64"/>
      <c r="J25" s="64"/>
      <c r="K25" s="6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</row>
    <row r="26" spans="1:43" x14ac:dyDescent="0.3">
      <c r="B26" s="44">
        <v>45913</v>
      </c>
      <c r="C26" s="3" t="s">
        <v>416</v>
      </c>
      <c r="D26" s="3" t="s">
        <v>504</v>
      </c>
      <c r="E26" s="101"/>
      <c r="F26" s="4" t="s">
        <v>12</v>
      </c>
      <c r="G26" s="4">
        <v>3034206</v>
      </c>
      <c r="H26" s="3" t="s">
        <v>15</v>
      </c>
      <c r="I26" s="4">
        <v>3029601</v>
      </c>
      <c r="J26" s="4"/>
      <c r="K26" s="4"/>
      <c r="L26" s="4"/>
    </row>
    <row r="27" spans="1:43" x14ac:dyDescent="0.3">
      <c r="B27" s="44">
        <v>45913</v>
      </c>
      <c r="C27" s="3" t="s">
        <v>416</v>
      </c>
      <c r="D27" s="3" t="s">
        <v>504</v>
      </c>
      <c r="E27" s="101"/>
      <c r="F27" s="4" t="s">
        <v>505</v>
      </c>
      <c r="G27" s="4">
        <v>3033207</v>
      </c>
      <c r="H27" s="3" t="s">
        <v>11</v>
      </c>
      <c r="I27" s="4">
        <v>3034800</v>
      </c>
      <c r="J27" s="4"/>
      <c r="K27" s="3"/>
      <c r="L27" s="4"/>
    </row>
    <row r="28" spans="1:43" x14ac:dyDescent="0.3">
      <c r="B28" s="44">
        <v>45913</v>
      </c>
      <c r="C28" s="3" t="s">
        <v>416</v>
      </c>
      <c r="D28" s="3" t="s">
        <v>504</v>
      </c>
      <c r="E28" s="101"/>
      <c r="F28" s="4" t="s">
        <v>8</v>
      </c>
      <c r="G28" s="4">
        <v>3034008</v>
      </c>
      <c r="H28" s="3" t="s">
        <v>37</v>
      </c>
      <c r="I28" s="4">
        <v>3029903</v>
      </c>
      <c r="J28" s="4"/>
    </row>
    <row r="29" spans="1:43" x14ac:dyDescent="0.3">
      <c r="B29" s="44">
        <v>45913</v>
      </c>
      <c r="C29" s="3" t="s">
        <v>416</v>
      </c>
      <c r="D29" s="3" t="s">
        <v>504</v>
      </c>
      <c r="E29" s="101"/>
      <c r="F29" s="4" t="s">
        <v>100</v>
      </c>
      <c r="G29" s="4">
        <v>3125302</v>
      </c>
      <c r="H29" s="3" t="s">
        <v>14</v>
      </c>
      <c r="I29" s="4">
        <v>3348601</v>
      </c>
      <c r="J29" s="4"/>
    </row>
    <row r="30" spans="1:43" x14ac:dyDescent="0.3">
      <c r="B30" s="44">
        <v>45913</v>
      </c>
      <c r="C30" s="3" t="s">
        <v>416</v>
      </c>
      <c r="D30" s="3" t="s">
        <v>504</v>
      </c>
      <c r="E30" s="101"/>
      <c r="F30" s="4" t="s">
        <v>112</v>
      </c>
      <c r="G30" s="4">
        <v>3353602</v>
      </c>
      <c r="H30" s="3" t="s">
        <v>99</v>
      </c>
      <c r="I30" s="4">
        <v>3125604</v>
      </c>
      <c r="J30" s="4"/>
    </row>
    <row r="31" spans="1:43" x14ac:dyDescent="0.3">
      <c r="B31" s="44">
        <v>45913</v>
      </c>
      <c r="C31" s="3" t="s">
        <v>416</v>
      </c>
      <c r="D31" s="3" t="s">
        <v>504</v>
      </c>
      <c r="E31" s="101"/>
      <c r="F31" s="4" t="s">
        <v>13</v>
      </c>
      <c r="G31" s="4">
        <v>3125906</v>
      </c>
      <c r="H31" s="3" t="s">
        <v>9</v>
      </c>
      <c r="I31" s="4">
        <v>3033405</v>
      </c>
      <c r="J31" s="4"/>
    </row>
    <row r="32" spans="1:43" x14ac:dyDescent="0.3">
      <c r="B32" s="4"/>
      <c r="E32" s="101"/>
      <c r="F32" s="4"/>
    </row>
    <row r="33" spans="2:10" x14ac:dyDescent="0.3">
      <c r="B33" s="44">
        <v>45920</v>
      </c>
      <c r="C33" s="3" t="s">
        <v>416</v>
      </c>
      <c r="D33" s="3" t="s">
        <v>504</v>
      </c>
      <c r="E33" s="101"/>
      <c r="F33" s="3" t="s">
        <v>9</v>
      </c>
      <c r="G33" s="4">
        <v>3033405</v>
      </c>
      <c r="H33" s="3" t="s">
        <v>12</v>
      </c>
      <c r="I33" s="4">
        <v>3034206</v>
      </c>
      <c r="J33" s="4"/>
    </row>
    <row r="34" spans="2:10" x14ac:dyDescent="0.3">
      <c r="B34" s="44">
        <v>45920</v>
      </c>
      <c r="C34" s="3" t="s">
        <v>416</v>
      </c>
      <c r="D34" s="3" t="s">
        <v>504</v>
      </c>
      <c r="E34" s="101"/>
      <c r="F34" s="3" t="s">
        <v>99</v>
      </c>
      <c r="G34" s="4">
        <v>3125604</v>
      </c>
      <c r="H34" s="4" t="s">
        <v>13</v>
      </c>
      <c r="I34" s="4">
        <v>3125906</v>
      </c>
      <c r="J34" s="4"/>
    </row>
    <row r="35" spans="2:10" x14ac:dyDescent="0.3">
      <c r="B35" s="44">
        <v>45920</v>
      </c>
      <c r="C35" s="3" t="s">
        <v>416</v>
      </c>
      <c r="D35" s="3" t="s">
        <v>504</v>
      </c>
      <c r="E35" s="101"/>
      <c r="F35" s="3" t="s">
        <v>14</v>
      </c>
      <c r="G35" s="4">
        <v>3348601</v>
      </c>
      <c r="H35" s="4" t="s">
        <v>112</v>
      </c>
      <c r="I35" s="4">
        <v>3353602</v>
      </c>
      <c r="J35" s="4"/>
    </row>
    <row r="36" spans="2:10" x14ac:dyDescent="0.3">
      <c r="B36" s="44">
        <v>45920</v>
      </c>
      <c r="C36" s="3" t="s">
        <v>416</v>
      </c>
      <c r="D36" s="3" t="s">
        <v>504</v>
      </c>
      <c r="E36" s="101"/>
      <c r="F36" s="3" t="s">
        <v>15</v>
      </c>
      <c r="G36" s="4">
        <v>3029601</v>
      </c>
      <c r="H36" s="4" t="s">
        <v>505</v>
      </c>
      <c r="I36" s="4">
        <v>3033207</v>
      </c>
      <c r="J36" s="4"/>
    </row>
    <row r="37" spans="2:10" x14ac:dyDescent="0.3">
      <c r="B37" s="44">
        <v>45920</v>
      </c>
      <c r="C37" s="3" t="s">
        <v>416</v>
      </c>
      <c r="D37" s="3" t="s">
        <v>504</v>
      </c>
      <c r="E37" s="101"/>
      <c r="F37" s="3" t="s">
        <v>37</v>
      </c>
      <c r="G37" s="4">
        <v>3029903</v>
      </c>
      <c r="H37" s="4" t="s">
        <v>100</v>
      </c>
      <c r="I37" s="4">
        <v>3125302</v>
      </c>
      <c r="J37" s="4"/>
    </row>
    <row r="38" spans="2:10" x14ac:dyDescent="0.3">
      <c r="B38" s="44">
        <v>45920</v>
      </c>
      <c r="C38" s="3" t="s">
        <v>416</v>
      </c>
      <c r="D38" s="3" t="s">
        <v>504</v>
      </c>
      <c r="E38" s="101"/>
      <c r="F38" s="3" t="s">
        <v>11</v>
      </c>
      <c r="G38" s="4">
        <v>3034800</v>
      </c>
      <c r="H38" s="4" t="s">
        <v>8</v>
      </c>
      <c r="I38" s="4">
        <v>3034008</v>
      </c>
      <c r="J38" s="4"/>
    </row>
    <row r="39" spans="2:10" x14ac:dyDescent="0.3">
      <c r="B39" s="4"/>
      <c r="E39" s="101"/>
      <c r="F39" s="4"/>
    </row>
    <row r="40" spans="2:10" x14ac:dyDescent="0.3">
      <c r="B40" s="44">
        <v>45927</v>
      </c>
      <c r="C40" s="3" t="s">
        <v>416</v>
      </c>
      <c r="D40" s="3" t="s">
        <v>504</v>
      </c>
      <c r="E40" s="101"/>
      <c r="F40" s="3" t="s">
        <v>9</v>
      </c>
      <c r="G40" s="4">
        <v>3033405</v>
      </c>
      <c r="H40" s="3" t="s">
        <v>99</v>
      </c>
      <c r="I40" s="4">
        <v>3125604</v>
      </c>
      <c r="J40" s="4"/>
    </row>
    <row r="41" spans="2:10" x14ac:dyDescent="0.3">
      <c r="B41" s="44">
        <v>45927</v>
      </c>
      <c r="C41" s="3" t="s">
        <v>416</v>
      </c>
      <c r="D41" s="3" t="s">
        <v>504</v>
      </c>
      <c r="E41" s="101"/>
      <c r="F41" s="4" t="s">
        <v>505</v>
      </c>
      <c r="G41" s="4">
        <v>3033207</v>
      </c>
      <c r="H41" s="3" t="s">
        <v>12</v>
      </c>
      <c r="I41" s="4">
        <v>3034206</v>
      </c>
      <c r="J41" s="4"/>
    </row>
    <row r="42" spans="2:10" x14ac:dyDescent="0.3">
      <c r="B42" s="44">
        <v>45927</v>
      </c>
      <c r="C42" s="3" t="s">
        <v>416</v>
      </c>
      <c r="D42" s="3" t="s">
        <v>504</v>
      </c>
      <c r="E42" s="101"/>
      <c r="F42" s="4" t="s">
        <v>8</v>
      </c>
      <c r="G42" s="4">
        <v>3034008</v>
      </c>
      <c r="H42" s="3" t="s">
        <v>15</v>
      </c>
      <c r="I42" s="4">
        <v>3029601</v>
      </c>
      <c r="J42" s="4"/>
    </row>
    <row r="43" spans="2:10" x14ac:dyDescent="0.3">
      <c r="B43" s="44">
        <v>45927</v>
      </c>
      <c r="C43" s="3" t="s">
        <v>416</v>
      </c>
      <c r="D43" s="3" t="s">
        <v>504</v>
      </c>
      <c r="E43" s="101"/>
      <c r="F43" s="4" t="s">
        <v>100</v>
      </c>
      <c r="G43" s="4">
        <v>3125302</v>
      </c>
      <c r="H43" s="3" t="s">
        <v>11</v>
      </c>
      <c r="I43" s="4">
        <v>3034800</v>
      </c>
      <c r="J43" s="4"/>
    </row>
    <row r="44" spans="2:10" x14ac:dyDescent="0.3">
      <c r="B44" s="44">
        <v>45927</v>
      </c>
      <c r="C44" s="3" t="s">
        <v>416</v>
      </c>
      <c r="D44" s="3" t="s">
        <v>504</v>
      </c>
      <c r="E44" s="101"/>
      <c r="F44" s="4" t="s">
        <v>112</v>
      </c>
      <c r="G44" s="4">
        <v>3353602</v>
      </c>
      <c r="H44" s="3" t="s">
        <v>37</v>
      </c>
      <c r="I44" s="4">
        <v>3029903</v>
      </c>
      <c r="J44" s="4"/>
    </row>
    <row r="45" spans="2:10" x14ac:dyDescent="0.3">
      <c r="B45" s="44">
        <v>45927</v>
      </c>
      <c r="C45" s="3" t="s">
        <v>416</v>
      </c>
      <c r="D45" s="3" t="s">
        <v>504</v>
      </c>
      <c r="E45" s="101"/>
      <c r="F45" s="4" t="s">
        <v>13</v>
      </c>
      <c r="G45" s="4">
        <v>3125906</v>
      </c>
      <c r="H45" s="3" t="s">
        <v>14</v>
      </c>
      <c r="I45" s="4">
        <v>3348601</v>
      </c>
      <c r="J45" s="4"/>
    </row>
    <row r="46" spans="2:10" x14ac:dyDescent="0.3">
      <c r="B46" s="4"/>
      <c r="E46" s="101"/>
      <c r="F46" s="4"/>
    </row>
    <row r="47" spans="2:10" x14ac:dyDescent="0.3">
      <c r="B47" s="44">
        <v>45934</v>
      </c>
      <c r="C47" s="3" t="s">
        <v>416</v>
      </c>
      <c r="D47" s="3" t="s">
        <v>504</v>
      </c>
      <c r="E47" s="101"/>
      <c r="F47" s="4" t="s">
        <v>12</v>
      </c>
      <c r="G47" s="4">
        <v>3034206</v>
      </c>
      <c r="H47" s="4" t="s">
        <v>8</v>
      </c>
      <c r="I47" s="4">
        <v>3034008</v>
      </c>
      <c r="J47" s="4"/>
    </row>
    <row r="48" spans="2:10" x14ac:dyDescent="0.3">
      <c r="B48" s="44">
        <v>45934</v>
      </c>
      <c r="C48" s="3" t="s">
        <v>416</v>
      </c>
      <c r="D48" s="3" t="s">
        <v>504</v>
      </c>
      <c r="E48" s="101"/>
      <c r="F48" s="4" t="s">
        <v>505</v>
      </c>
      <c r="G48" s="4">
        <v>3033207</v>
      </c>
      <c r="H48" s="3" t="s">
        <v>9</v>
      </c>
      <c r="I48" s="4">
        <v>3033405</v>
      </c>
      <c r="J48" s="4"/>
    </row>
    <row r="49" spans="2:12" x14ac:dyDescent="0.3">
      <c r="B49" s="44">
        <v>45934</v>
      </c>
      <c r="C49" s="3" t="s">
        <v>416</v>
      </c>
      <c r="D49" s="3" t="s">
        <v>504</v>
      </c>
      <c r="E49" s="101"/>
      <c r="F49" s="3" t="s">
        <v>14</v>
      </c>
      <c r="G49" s="4">
        <v>3348601</v>
      </c>
      <c r="H49" s="3" t="s">
        <v>99</v>
      </c>
      <c r="I49" s="4">
        <v>3125604</v>
      </c>
      <c r="J49" s="4"/>
    </row>
    <row r="50" spans="2:12" x14ac:dyDescent="0.3">
      <c r="B50" s="44">
        <v>45934</v>
      </c>
      <c r="C50" s="3" t="s">
        <v>416</v>
      </c>
      <c r="D50" s="3" t="s">
        <v>504</v>
      </c>
      <c r="E50" s="101"/>
      <c r="F50" s="3" t="s">
        <v>15</v>
      </c>
      <c r="G50" s="4">
        <v>3029601</v>
      </c>
      <c r="H50" s="4" t="s">
        <v>100</v>
      </c>
      <c r="I50" s="4">
        <v>3125302</v>
      </c>
      <c r="J50" s="4"/>
    </row>
    <row r="51" spans="2:12" x14ac:dyDescent="0.3">
      <c r="B51" s="44">
        <v>45934</v>
      </c>
      <c r="C51" s="3" t="s">
        <v>416</v>
      </c>
      <c r="D51" s="3" t="s">
        <v>504</v>
      </c>
      <c r="E51" s="101"/>
      <c r="F51" s="3" t="s">
        <v>37</v>
      </c>
      <c r="G51" s="4">
        <v>3029903</v>
      </c>
      <c r="H51" s="4" t="s">
        <v>13</v>
      </c>
      <c r="I51" s="4">
        <v>3125906</v>
      </c>
      <c r="J51" s="4"/>
      <c r="K51" s="4"/>
      <c r="L51" s="4"/>
    </row>
    <row r="52" spans="2:12" x14ac:dyDescent="0.3">
      <c r="B52" s="44">
        <v>45934</v>
      </c>
      <c r="C52" s="3" t="s">
        <v>416</v>
      </c>
      <c r="D52" s="3" t="s">
        <v>504</v>
      </c>
      <c r="E52" s="101"/>
      <c r="F52" s="3" t="s">
        <v>11</v>
      </c>
      <c r="G52" s="4">
        <v>3034800</v>
      </c>
      <c r="H52" s="4" t="s">
        <v>112</v>
      </c>
      <c r="I52" s="4">
        <v>3353602</v>
      </c>
      <c r="J52" s="4"/>
      <c r="K52" s="3"/>
      <c r="L52" s="4"/>
    </row>
    <row r="53" spans="2:12" x14ac:dyDescent="0.3">
      <c r="B53" s="4"/>
      <c r="E53" s="101"/>
      <c r="F53" s="4"/>
    </row>
    <row r="54" spans="2:12" x14ac:dyDescent="0.3">
      <c r="B54" s="44">
        <v>45941</v>
      </c>
      <c r="C54" s="3" t="s">
        <v>416</v>
      </c>
      <c r="D54" s="3" t="s">
        <v>504</v>
      </c>
      <c r="E54" s="101"/>
      <c r="F54" s="3" t="s">
        <v>9</v>
      </c>
      <c r="G54" s="4">
        <v>3033405</v>
      </c>
      <c r="H54" s="3" t="s">
        <v>14</v>
      </c>
      <c r="I54" s="4">
        <v>3348601</v>
      </c>
      <c r="J54" s="4"/>
    </row>
    <row r="55" spans="2:12" x14ac:dyDescent="0.3">
      <c r="B55" s="44">
        <v>45941</v>
      </c>
      <c r="C55" s="3" t="s">
        <v>416</v>
      </c>
      <c r="D55" s="3" t="s">
        <v>504</v>
      </c>
      <c r="E55" s="101"/>
      <c r="F55" s="3" t="s">
        <v>99</v>
      </c>
      <c r="G55" s="4">
        <v>3125604</v>
      </c>
      <c r="H55" s="3" t="s">
        <v>37</v>
      </c>
      <c r="I55" s="4">
        <v>3029903</v>
      </c>
      <c r="J55" s="4"/>
    </row>
    <row r="56" spans="2:12" x14ac:dyDescent="0.3">
      <c r="B56" s="44">
        <v>45941</v>
      </c>
      <c r="C56" s="3" t="s">
        <v>416</v>
      </c>
      <c r="D56" s="3" t="s">
        <v>504</v>
      </c>
      <c r="E56" s="101"/>
      <c r="F56" s="4" t="s">
        <v>8</v>
      </c>
      <c r="G56" s="4">
        <v>3034008</v>
      </c>
      <c r="H56" s="4" t="s">
        <v>505</v>
      </c>
      <c r="I56" s="4">
        <v>3033207</v>
      </c>
      <c r="J56" s="4"/>
    </row>
    <row r="57" spans="2:12" x14ac:dyDescent="0.3">
      <c r="B57" s="44">
        <v>45941</v>
      </c>
      <c r="C57" s="3" t="s">
        <v>416</v>
      </c>
      <c r="D57" s="3" t="s">
        <v>504</v>
      </c>
      <c r="E57" s="101"/>
      <c r="F57" s="4" t="s">
        <v>100</v>
      </c>
      <c r="G57" s="4">
        <v>3125302</v>
      </c>
      <c r="H57" s="3" t="s">
        <v>12</v>
      </c>
      <c r="I57" s="4">
        <v>3034206</v>
      </c>
      <c r="J57" s="4"/>
    </row>
    <row r="58" spans="2:12" x14ac:dyDescent="0.3">
      <c r="B58" s="44">
        <v>45941</v>
      </c>
      <c r="C58" s="3" t="s">
        <v>416</v>
      </c>
      <c r="D58" s="3" t="s">
        <v>504</v>
      </c>
      <c r="E58" s="101"/>
      <c r="F58" s="4" t="s">
        <v>112</v>
      </c>
      <c r="G58" s="4">
        <v>3353602</v>
      </c>
      <c r="H58" s="3" t="s">
        <v>15</v>
      </c>
      <c r="I58" s="4">
        <v>3029601</v>
      </c>
      <c r="J58" s="4"/>
    </row>
    <row r="59" spans="2:12" x14ac:dyDescent="0.3">
      <c r="B59" s="44">
        <v>45941</v>
      </c>
      <c r="C59" s="3" t="s">
        <v>416</v>
      </c>
      <c r="D59" s="3" t="s">
        <v>504</v>
      </c>
      <c r="E59" s="101"/>
      <c r="F59" s="4" t="s">
        <v>13</v>
      </c>
      <c r="G59" s="4">
        <v>3125906</v>
      </c>
      <c r="H59" s="3" t="s">
        <v>11</v>
      </c>
      <c r="I59" s="4">
        <v>3034800</v>
      </c>
      <c r="J59" s="4"/>
    </row>
    <row r="60" spans="2:12" x14ac:dyDescent="0.3">
      <c r="B60" s="4"/>
      <c r="E60" s="101"/>
      <c r="F60" s="4"/>
    </row>
    <row r="61" spans="2:12" x14ac:dyDescent="0.3">
      <c r="B61" s="44">
        <v>45948</v>
      </c>
      <c r="C61" s="3" t="s">
        <v>416</v>
      </c>
      <c r="D61" s="3" t="s">
        <v>504</v>
      </c>
      <c r="E61" s="101"/>
      <c r="F61" s="4" t="s">
        <v>12</v>
      </c>
      <c r="G61" s="4">
        <v>3034206</v>
      </c>
      <c r="H61" s="4" t="s">
        <v>112</v>
      </c>
      <c r="I61" s="4">
        <v>3353602</v>
      </c>
      <c r="J61" s="4"/>
    </row>
    <row r="62" spans="2:12" x14ac:dyDescent="0.3">
      <c r="B62" s="44">
        <v>45948</v>
      </c>
      <c r="C62" s="3" t="s">
        <v>416</v>
      </c>
      <c r="D62" s="3" t="s">
        <v>504</v>
      </c>
      <c r="E62" s="101"/>
      <c r="F62" s="4" t="s">
        <v>505</v>
      </c>
      <c r="G62" s="4">
        <v>3033207</v>
      </c>
      <c r="H62" s="4" t="s">
        <v>100</v>
      </c>
      <c r="I62" s="4">
        <v>3125302</v>
      </c>
      <c r="J62" s="4"/>
    </row>
    <row r="63" spans="2:12" x14ac:dyDescent="0.3">
      <c r="B63" s="44">
        <v>45948</v>
      </c>
      <c r="C63" s="3" t="s">
        <v>416</v>
      </c>
      <c r="D63" s="3" t="s">
        <v>504</v>
      </c>
      <c r="E63" s="101"/>
      <c r="F63" s="4" t="s">
        <v>8</v>
      </c>
      <c r="G63" s="4">
        <v>3034008</v>
      </c>
      <c r="H63" s="3" t="s">
        <v>9</v>
      </c>
      <c r="I63" s="4">
        <v>3033405</v>
      </c>
      <c r="J63" s="4"/>
    </row>
    <row r="64" spans="2:12" x14ac:dyDescent="0.3">
      <c r="B64" s="44">
        <v>45948</v>
      </c>
      <c r="C64" s="3" t="s">
        <v>416</v>
      </c>
      <c r="D64" s="3" t="s">
        <v>504</v>
      </c>
      <c r="E64" s="101"/>
      <c r="F64" s="3" t="s">
        <v>15</v>
      </c>
      <c r="G64" s="4">
        <v>3029601</v>
      </c>
      <c r="H64" s="4" t="s">
        <v>13</v>
      </c>
      <c r="I64" s="4">
        <v>3125906</v>
      </c>
      <c r="J64" s="4"/>
    </row>
    <row r="65" spans="2:10" x14ac:dyDescent="0.3">
      <c r="B65" s="44">
        <v>45948</v>
      </c>
      <c r="C65" s="3" t="s">
        <v>416</v>
      </c>
      <c r="D65" s="3" t="s">
        <v>504</v>
      </c>
      <c r="E65" s="101"/>
      <c r="F65" s="3" t="s">
        <v>37</v>
      </c>
      <c r="G65" s="4">
        <v>3029903</v>
      </c>
      <c r="H65" s="3" t="s">
        <v>14</v>
      </c>
      <c r="I65" s="4">
        <v>3348601</v>
      </c>
      <c r="J65" s="4"/>
    </row>
    <row r="66" spans="2:10" x14ac:dyDescent="0.3">
      <c r="B66" s="44">
        <v>45948</v>
      </c>
      <c r="C66" s="3" t="s">
        <v>416</v>
      </c>
      <c r="D66" s="3" t="s">
        <v>504</v>
      </c>
      <c r="E66" s="101"/>
      <c r="F66" s="3" t="s">
        <v>11</v>
      </c>
      <c r="G66" s="4">
        <v>3034800</v>
      </c>
      <c r="H66" s="3" t="s">
        <v>99</v>
      </c>
      <c r="I66" s="4">
        <v>3125604</v>
      </c>
      <c r="J66" s="4"/>
    </row>
    <row r="67" spans="2:10" x14ac:dyDescent="0.3">
      <c r="B67" s="4"/>
      <c r="E67" s="101"/>
      <c r="F67" s="4"/>
    </row>
    <row r="68" spans="2:10" x14ac:dyDescent="0.3">
      <c r="B68" s="44">
        <v>45962</v>
      </c>
      <c r="C68" s="3" t="s">
        <v>416</v>
      </c>
      <c r="D68" s="3" t="s">
        <v>504</v>
      </c>
      <c r="E68" s="101"/>
      <c r="F68" s="3" t="s">
        <v>9</v>
      </c>
      <c r="G68" s="4">
        <v>3033405</v>
      </c>
      <c r="H68" s="3" t="s">
        <v>37</v>
      </c>
      <c r="I68" s="4">
        <v>3029903</v>
      </c>
      <c r="J68" s="4"/>
    </row>
    <row r="69" spans="2:10" x14ac:dyDescent="0.3">
      <c r="B69" s="44">
        <v>45962</v>
      </c>
      <c r="C69" s="3" t="s">
        <v>416</v>
      </c>
      <c r="D69" s="3" t="s">
        <v>504</v>
      </c>
      <c r="E69" s="101"/>
      <c r="F69" s="3" t="s">
        <v>99</v>
      </c>
      <c r="G69" s="4">
        <v>3125604</v>
      </c>
      <c r="H69" s="3" t="s">
        <v>15</v>
      </c>
      <c r="I69" s="4">
        <v>3029601</v>
      </c>
      <c r="J69" s="4"/>
    </row>
    <row r="70" spans="2:10" x14ac:dyDescent="0.3">
      <c r="B70" s="44">
        <v>45962</v>
      </c>
      <c r="C70" s="3" t="s">
        <v>416</v>
      </c>
      <c r="D70" s="3" t="s">
        <v>504</v>
      </c>
      <c r="E70" s="101"/>
      <c r="F70" s="3" t="s">
        <v>14</v>
      </c>
      <c r="G70" s="4">
        <v>3348601</v>
      </c>
      <c r="H70" s="3" t="s">
        <v>11</v>
      </c>
      <c r="I70" s="4">
        <v>3034800</v>
      </c>
      <c r="J70" s="4"/>
    </row>
    <row r="71" spans="2:10" x14ac:dyDescent="0.3">
      <c r="B71" s="44">
        <v>45962</v>
      </c>
      <c r="C71" s="3" t="s">
        <v>416</v>
      </c>
      <c r="D71" s="3" t="s">
        <v>504</v>
      </c>
      <c r="E71" s="101"/>
      <c r="F71" s="4" t="s">
        <v>100</v>
      </c>
      <c r="G71" s="4">
        <v>3125302</v>
      </c>
      <c r="H71" s="4" t="s">
        <v>8</v>
      </c>
      <c r="I71" s="4">
        <v>3034008</v>
      </c>
      <c r="J71" s="4"/>
    </row>
    <row r="72" spans="2:10" x14ac:dyDescent="0.3">
      <c r="B72" s="44">
        <v>45962</v>
      </c>
      <c r="C72" s="3" t="s">
        <v>416</v>
      </c>
      <c r="D72" s="3" t="s">
        <v>504</v>
      </c>
      <c r="E72" s="101"/>
      <c r="F72" s="4" t="s">
        <v>112</v>
      </c>
      <c r="G72" s="4">
        <v>3353602</v>
      </c>
      <c r="H72" s="4" t="s">
        <v>505</v>
      </c>
      <c r="I72" s="4">
        <v>3033207</v>
      </c>
      <c r="J72" s="4"/>
    </row>
    <row r="73" spans="2:10" x14ac:dyDescent="0.3">
      <c r="B73" s="44">
        <v>45962</v>
      </c>
      <c r="C73" s="3" t="s">
        <v>416</v>
      </c>
      <c r="D73" s="3" t="s">
        <v>504</v>
      </c>
      <c r="E73" s="101"/>
      <c r="F73" s="4" t="s">
        <v>13</v>
      </c>
      <c r="G73" s="4">
        <v>3125906</v>
      </c>
      <c r="H73" s="3" t="s">
        <v>12</v>
      </c>
      <c r="I73" s="4">
        <v>3034206</v>
      </c>
      <c r="J73" s="4"/>
    </row>
    <row r="74" spans="2:10" x14ac:dyDescent="0.3">
      <c r="B74" s="4"/>
      <c r="E74" s="101"/>
      <c r="F74" s="4"/>
    </row>
    <row r="75" spans="2:10" x14ac:dyDescent="0.3">
      <c r="B75" s="44">
        <v>45969</v>
      </c>
      <c r="C75" s="3" t="s">
        <v>416</v>
      </c>
      <c r="D75" s="3" t="s">
        <v>504</v>
      </c>
      <c r="E75" s="101"/>
      <c r="F75" s="4" t="s">
        <v>12</v>
      </c>
      <c r="G75" s="4">
        <v>3034206</v>
      </c>
      <c r="H75" s="3" t="s">
        <v>99</v>
      </c>
      <c r="I75" s="4">
        <v>3125604</v>
      </c>
      <c r="J75" s="4"/>
    </row>
    <row r="76" spans="2:10" x14ac:dyDescent="0.3">
      <c r="B76" s="44">
        <v>45969</v>
      </c>
      <c r="C76" s="3" t="s">
        <v>416</v>
      </c>
      <c r="D76" s="3" t="s">
        <v>504</v>
      </c>
      <c r="E76" s="101"/>
      <c r="F76" s="4" t="s">
        <v>505</v>
      </c>
      <c r="G76" s="4">
        <v>3033207</v>
      </c>
      <c r="H76" s="4" t="s">
        <v>13</v>
      </c>
      <c r="I76" s="4">
        <v>3125906</v>
      </c>
      <c r="J76" s="4"/>
    </row>
    <row r="77" spans="2:10" x14ac:dyDescent="0.3">
      <c r="B77" s="44">
        <v>45969</v>
      </c>
      <c r="C77" s="3" t="s">
        <v>416</v>
      </c>
      <c r="D77" s="3" t="s">
        <v>504</v>
      </c>
      <c r="E77" s="101"/>
      <c r="F77" s="4" t="s">
        <v>8</v>
      </c>
      <c r="G77" s="4">
        <v>3034008</v>
      </c>
      <c r="H77" s="4" t="s">
        <v>112</v>
      </c>
      <c r="I77" s="4">
        <v>3353602</v>
      </c>
      <c r="J77" s="4"/>
    </row>
    <row r="78" spans="2:10" x14ac:dyDescent="0.3">
      <c r="B78" s="44">
        <v>45969</v>
      </c>
      <c r="C78" s="3" t="s">
        <v>416</v>
      </c>
      <c r="D78" s="3" t="s">
        <v>504</v>
      </c>
      <c r="E78" s="101"/>
      <c r="F78" s="4" t="s">
        <v>100</v>
      </c>
      <c r="G78" s="4">
        <v>3125302</v>
      </c>
      <c r="H78" s="3" t="s">
        <v>9</v>
      </c>
      <c r="I78" s="4">
        <v>3033405</v>
      </c>
      <c r="J78" s="4"/>
    </row>
    <row r="79" spans="2:10" x14ac:dyDescent="0.3">
      <c r="B79" s="44">
        <v>45969</v>
      </c>
      <c r="C79" s="3" t="s">
        <v>416</v>
      </c>
      <c r="D79" s="3" t="s">
        <v>504</v>
      </c>
      <c r="E79" s="101"/>
      <c r="F79" s="3" t="s">
        <v>15</v>
      </c>
      <c r="G79" s="4">
        <v>3029601</v>
      </c>
      <c r="H79" s="3" t="s">
        <v>14</v>
      </c>
      <c r="I79" s="4">
        <v>3348601</v>
      </c>
      <c r="J79" s="4"/>
    </row>
    <row r="80" spans="2:10" x14ac:dyDescent="0.3">
      <c r="B80" s="44">
        <v>45969</v>
      </c>
      <c r="C80" s="3" t="s">
        <v>416</v>
      </c>
      <c r="D80" s="3" t="s">
        <v>504</v>
      </c>
      <c r="E80" s="101"/>
      <c r="F80" s="3" t="s">
        <v>11</v>
      </c>
      <c r="G80" s="4">
        <v>3034800</v>
      </c>
      <c r="H80" s="3" t="s">
        <v>37</v>
      </c>
      <c r="I80" s="4">
        <v>3029903</v>
      </c>
      <c r="J80" s="4"/>
    </row>
    <row r="81" spans="2:10" x14ac:dyDescent="0.3">
      <c r="B81" s="4"/>
      <c r="E81" s="101"/>
      <c r="F81" s="4"/>
    </row>
    <row r="82" spans="2:10" x14ac:dyDescent="0.3">
      <c r="B82" s="44">
        <v>45976</v>
      </c>
      <c r="C82" s="3" t="s">
        <v>416</v>
      </c>
      <c r="D82" s="3" t="s">
        <v>504</v>
      </c>
      <c r="E82" s="101"/>
      <c r="F82" s="3" t="s">
        <v>9</v>
      </c>
      <c r="G82" s="4">
        <v>3033405</v>
      </c>
      <c r="H82" s="3" t="s">
        <v>11</v>
      </c>
      <c r="I82" s="4">
        <v>3034800</v>
      </c>
      <c r="J82" s="4"/>
    </row>
    <row r="83" spans="2:10" x14ac:dyDescent="0.3">
      <c r="B83" s="44">
        <v>45976</v>
      </c>
      <c r="C83" s="3" t="s">
        <v>416</v>
      </c>
      <c r="D83" s="3" t="s">
        <v>504</v>
      </c>
      <c r="E83" s="101"/>
      <c r="F83" s="3" t="s">
        <v>99</v>
      </c>
      <c r="G83" s="4">
        <v>3125604</v>
      </c>
      <c r="H83" s="4" t="s">
        <v>505</v>
      </c>
      <c r="I83" s="4">
        <v>3033207</v>
      </c>
      <c r="J83" s="4"/>
    </row>
    <row r="84" spans="2:10" x14ac:dyDescent="0.3">
      <c r="B84" s="44">
        <v>45976</v>
      </c>
      <c r="C84" s="3" t="s">
        <v>416</v>
      </c>
      <c r="D84" s="3" t="s">
        <v>504</v>
      </c>
      <c r="E84" s="101"/>
      <c r="F84" s="3" t="s">
        <v>14</v>
      </c>
      <c r="G84" s="4">
        <v>3348601</v>
      </c>
      <c r="H84" s="3" t="s">
        <v>12</v>
      </c>
      <c r="I84" s="4">
        <v>3034206</v>
      </c>
      <c r="J84" s="4"/>
    </row>
    <row r="85" spans="2:10" x14ac:dyDescent="0.3">
      <c r="B85" s="44">
        <v>45976</v>
      </c>
      <c r="C85" s="3" t="s">
        <v>416</v>
      </c>
      <c r="D85" s="3" t="s">
        <v>504</v>
      </c>
      <c r="E85" s="101"/>
      <c r="F85" s="4" t="s">
        <v>112</v>
      </c>
      <c r="G85" s="4">
        <v>3353602</v>
      </c>
      <c r="H85" s="4" t="s">
        <v>100</v>
      </c>
      <c r="I85" s="4">
        <v>3125302</v>
      </c>
      <c r="J85" s="4"/>
    </row>
    <row r="86" spans="2:10" x14ac:dyDescent="0.3">
      <c r="B86" s="44">
        <v>45976</v>
      </c>
      <c r="C86" s="3" t="s">
        <v>416</v>
      </c>
      <c r="D86" s="3" t="s">
        <v>504</v>
      </c>
      <c r="E86" s="101"/>
      <c r="F86" s="4" t="s">
        <v>13</v>
      </c>
      <c r="G86" s="4">
        <v>3125906</v>
      </c>
      <c r="H86" s="4" t="s">
        <v>8</v>
      </c>
      <c r="I86" s="4">
        <v>3034008</v>
      </c>
      <c r="J86" s="4"/>
    </row>
    <row r="87" spans="2:10" x14ac:dyDescent="0.3">
      <c r="B87" s="44">
        <v>45976</v>
      </c>
      <c r="C87" s="3" t="s">
        <v>416</v>
      </c>
      <c r="D87" s="3" t="s">
        <v>504</v>
      </c>
      <c r="E87" s="101"/>
      <c r="F87" s="3" t="s">
        <v>37</v>
      </c>
      <c r="G87" s="4">
        <v>3029903</v>
      </c>
      <c r="H87" s="3" t="s">
        <v>15</v>
      </c>
      <c r="I87" s="4">
        <v>3029601</v>
      </c>
      <c r="J87" s="4"/>
    </row>
    <row r="88" spans="2:10" x14ac:dyDescent="0.3">
      <c r="B88" s="4"/>
      <c r="E88" s="101"/>
      <c r="F88" s="4"/>
    </row>
    <row r="89" spans="2:10" x14ac:dyDescent="0.3">
      <c r="B89" s="44">
        <v>45983</v>
      </c>
      <c r="C89" s="3" t="s">
        <v>416</v>
      </c>
      <c r="D89" s="3" t="s">
        <v>504</v>
      </c>
      <c r="E89" s="101"/>
      <c r="F89" s="4" t="s">
        <v>12</v>
      </c>
      <c r="G89" s="4">
        <v>3034206</v>
      </c>
      <c r="H89" s="3" t="s">
        <v>37</v>
      </c>
      <c r="I89" s="4">
        <v>3029903</v>
      </c>
      <c r="J89" s="4"/>
    </row>
    <row r="90" spans="2:10" x14ac:dyDescent="0.3">
      <c r="B90" s="44">
        <v>45983</v>
      </c>
      <c r="C90" s="3" t="s">
        <v>416</v>
      </c>
      <c r="D90" s="3" t="s">
        <v>504</v>
      </c>
      <c r="E90" s="101"/>
      <c r="F90" s="4" t="s">
        <v>505</v>
      </c>
      <c r="G90" s="4">
        <v>3033207</v>
      </c>
      <c r="H90" s="3" t="s">
        <v>14</v>
      </c>
      <c r="I90" s="4">
        <v>3348601</v>
      </c>
      <c r="J90" s="4"/>
    </row>
    <row r="91" spans="2:10" x14ac:dyDescent="0.3">
      <c r="B91" s="44">
        <v>45983</v>
      </c>
      <c r="C91" s="3" t="s">
        <v>416</v>
      </c>
      <c r="D91" s="3" t="s">
        <v>504</v>
      </c>
      <c r="E91" s="101"/>
      <c r="F91" s="4" t="s">
        <v>8</v>
      </c>
      <c r="G91" s="4">
        <v>3034008</v>
      </c>
      <c r="H91" s="3" t="s">
        <v>99</v>
      </c>
      <c r="I91" s="4">
        <v>3125604</v>
      </c>
      <c r="J91" s="4"/>
    </row>
    <row r="92" spans="2:10" x14ac:dyDescent="0.3">
      <c r="B92" s="44">
        <v>45983</v>
      </c>
      <c r="C92" s="3" t="s">
        <v>416</v>
      </c>
      <c r="D92" s="3" t="s">
        <v>504</v>
      </c>
      <c r="E92" s="101"/>
      <c r="F92" s="4" t="s">
        <v>100</v>
      </c>
      <c r="G92" s="4">
        <v>3125302</v>
      </c>
      <c r="H92" s="4" t="s">
        <v>13</v>
      </c>
      <c r="I92" s="4">
        <v>3125906</v>
      </c>
      <c r="J92" s="4"/>
    </row>
    <row r="93" spans="2:10" x14ac:dyDescent="0.3">
      <c r="B93" s="44">
        <v>45983</v>
      </c>
      <c r="C93" s="3" t="s">
        <v>416</v>
      </c>
      <c r="D93" s="3" t="s">
        <v>504</v>
      </c>
      <c r="E93" s="101"/>
      <c r="F93" s="4" t="s">
        <v>112</v>
      </c>
      <c r="G93" s="4">
        <v>3353602</v>
      </c>
      <c r="H93" s="3" t="s">
        <v>9</v>
      </c>
      <c r="I93" s="4">
        <v>3033405</v>
      </c>
      <c r="J93" s="4"/>
    </row>
    <row r="94" spans="2:10" x14ac:dyDescent="0.3">
      <c r="B94" s="44">
        <v>45983</v>
      </c>
      <c r="C94" s="3" t="s">
        <v>416</v>
      </c>
      <c r="D94" s="3" t="s">
        <v>504</v>
      </c>
      <c r="E94" s="101"/>
      <c r="F94" s="3" t="s">
        <v>15</v>
      </c>
      <c r="G94" s="4">
        <v>3029601</v>
      </c>
      <c r="H94" s="3" t="s">
        <v>11</v>
      </c>
      <c r="I94" s="4">
        <v>3034800</v>
      </c>
      <c r="J94" s="4"/>
    </row>
    <row r="95" spans="2:10" x14ac:dyDescent="0.3">
      <c r="B95" s="4"/>
      <c r="E95" s="101"/>
      <c r="F95" s="4"/>
    </row>
    <row r="96" spans="2:10" x14ac:dyDescent="0.3">
      <c r="B96" s="44">
        <v>45990</v>
      </c>
      <c r="C96" s="3" t="s">
        <v>416</v>
      </c>
      <c r="D96" s="3" t="s">
        <v>504</v>
      </c>
      <c r="E96" s="101"/>
      <c r="F96" s="3" t="s">
        <v>9</v>
      </c>
      <c r="G96" s="4">
        <v>3033405</v>
      </c>
      <c r="H96" s="3" t="s">
        <v>15</v>
      </c>
      <c r="I96" s="4">
        <v>3029601</v>
      </c>
      <c r="J96" s="4"/>
    </row>
    <row r="97" spans="1:11" x14ac:dyDescent="0.3">
      <c r="B97" s="44">
        <v>45990</v>
      </c>
      <c r="C97" s="3" t="s">
        <v>416</v>
      </c>
      <c r="D97" s="3" t="s">
        <v>504</v>
      </c>
      <c r="E97" s="101"/>
      <c r="F97" s="3" t="s">
        <v>99</v>
      </c>
      <c r="G97" s="4">
        <v>3125604</v>
      </c>
      <c r="H97" s="4" t="s">
        <v>100</v>
      </c>
      <c r="I97" s="4">
        <v>3125302</v>
      </c>
      <c r="J97" s="4"/>
    </row>
    <row r="98" spans="1:11" x14ac:dyDescent="0.3">
      <c r="B98" s="44">
        <v>45990</v>
      </c>
      <c r="C98" s="3" t="s">
        <v>416</v>
      </c>
      <c r="D98" s="3" t="s">
        <v>504</v>
      </c>
      <c r="E98" s="101"/>
      <c r="F98" s="3" t="s">
        <v>14</v>
      </c>
      <c r="G98" s="4">
        <v>3348601</v>
      </c>
      <c r="H98" s="4" t="s">
        <v>8</v>
      </c>
      <c r="I98" s="4">
        <v>3034008</v>
      </c>
      <c r="J98" s="4"/>
    </row>
    <row r="99" spans="1:11" x14ac:dyDescent="0.3">
      <c r="B99" s="44">
        <v>45990</v>
      </c>
      <c r="C99" s="3" t="s">
        <v>416</v>
      </c>
      <c r="D99" s="3" t="s">
        <v>504</v>
      </c>
      <c r="E99" s="101"/>
      <c r="F99" s="4" t="s">
        <v>13</v>
      </c>
      <c r="G99" s="4">
        <v>3125906</v>
      </c>
      <c r="H99" s="4" t="s">
        <v>112</v>
      </c>
      <c r="I99" s="4">
        <v>3353602</v>
      </c>
      <c r="J99" s="4"/>
    </row>
    <row r="100" spans="1:11" x14ac:dyDescent="0.3">
      <c r="B100" s="44">
        <v>45990</v>
      </c>
      <c r="C100" s="3" t="s">
        <v>416</v>
      </c>
      <c r="D100" s="3" t="s">
        <v>504</v>
      </c>
      <c r="E100" s="101"/>
      <c r="F100" s="3" t="s">
        <v>37</v>
      </c>
      <c r="G100" s="4">
        <v>3029903</v>
      </c>
      <c r="H100" s="4" t="s">
        <v>505</v>
      </c>
      <c r="I100" s="4">
        <v>3033207</v>
      </c>
      <c r="J100" s="4"/>
    </row>
    <row r="101" spans="1:11" x14ac:dyDescent="0.3">
      <c r="B101" s="44">
        <v>45990</v>
      </c>
      <c r="C101" s="3" t="s">
        <v>416</v>
      </c>
      <c r="D101" s="3" t="s">
        <v>504</v>
      </c>
      <c r="E101" s="101"/>
      <c r="F101" s="3" t="s">
        <v>11</v>
      </c>
      <c r="G101" s="4">
        <v>3034800</v>
      </c>
      <c r="H101" s="4" t="s">
        <v>12</v>
      </c>
      <c r="I101" s="4">
        <v>3034206</v>
      </c>
      <c r="J101" s="4"/>
    </row>
    <row r="102" spans="1:11" s="3" customFormat="1" x14ac:dyDescent="0.3">
      <c r="A102" s="46"/>
      <c r="B102" s="4"/>
      <c r="E102" s="42"/>
      <c r="F102" s="4"/>
      <c r="K102" s="51"/>
    </row>
    <row r="103" spans="1:11" x14ac:dyDescent="0.3">
      <c r="B103" s="44">
        <v>46032</v>
      </c>
      <c r="C103" s="3" t="s">
        <v>416</v>
      </c>
      <c r="D103" s="3" t="s">
        <v>504</v>
      </c>
      <c r="E103" s="101"/>
      <c r="F103" s="3" t="s">
        <v>9</v>
      </c>
      <c r="G103" s="4">
        <v>3033405</v>
      </c>
      <c r="H103" s="4" t="s">
        <v>13</v>
      </c>
      <c r="I103" s="4">
        <v>3125906</v>
      </c>
      <c r="J103" s="4"/>
    </row>
    <row r="104" spans="1:11" x14ac:dyDescent="0.3">
      <c r="B104" s="44">
        <v>46032</v>
      </c>
      <c r="C104" s="3" t="s">
        <v>416</v>
      </c>
      <c r="D104" s="3" t="s">
        <v>504</v>
      </c>
      <c r="E104" s="101"/>
      <c r="F104" s="3" t="s">
        <v>99</v>
      </c>
      <c r="G104" s="4">
        <v>3125604</v>
      </c>
      <c r="H104" s="4" t="s">
        <v>112</v>
      </c>
      <c r="I104" s="4">
        <v>3353602</v>
      </c>
      <c r="J104" s="4"/>
    </row>
    <row r="105" spans="1:11" x14ac:dyDescent="0.3">
      <c r="B105" s="44">
        <v>46032</v>
      </c>
      <c r="C105" s="3" t="s">
        <v>416</v>
      </c>
      <c r="D105" s="3" t="s">
        <v>504</v>
      </c>
      <c r="E105" s="101"/>
      <c r="F105" s="3" t="s">
        <v>14</v>
      </c>
      <c r="G105" s="4">
        <v>3348601</v>
      </c>
      <c r="H105" s="4" t="s">
        <v>100</v>
      </c>
      <c r="I105" s="4">
        <v>3125302</v>
      </c>
      <c r="J105" s="4"/>
    </row>
    <row r="106" spans="1:11" x14ac:dyDescent="0.3">
      <c r="B106" s="44">
        <v>46032</v>
      </c>
      <c r="C106" s="3" t="s">
        <v>416</v>
      </c>
      <c r="D106" s="3" t="s">
        <v>504</v>
      </c>
      <c r="E106" s="101"/>
      <c r="F106" s="3" t="s">
        <v>15</v>
      </c>
      <c r="G106" s="4">
        <v>3029601</v>
      </c>
      <c r="H106" s="3" t="s">
        <v>12</v>
      </c>
      <c r="I106" s="4">
        <v>3034206</v>
      </c>
      <c r="J106" s="4"/>
    </row>
    <row r="107" spans="1:11" x14ac:dyDescent="0.3">
      <c r="B107" s="44">
        <v>46032</v>
      </c>
      <c r="C107" s="3" t="s">
        <v>416</v>
      </c>
      <c r="D107" s="3" t="s">
        <v>504</v>
      </c>
      <c r="E107" s="101"/>
      <c r="F107" s="3" t="s">
        <v>37</v>
      </c>
      <c r="G107" s="4">
        <v>3029903</v>
      </c>
      <c r="H107" s="4" t="s">
        <v>8</v>
      </c>
      <c r="I107" s="4">
        <v>3034008</v>
      </c>
      <c r="J107" s="4"/>
    </row>
    <row r="108" spans="1:11" x14ac:dyDescent="0.3">
      <c r="B108" s="44">
        <v>46032</v>
      </c>
      <c r="C108" s="3" t="s">
        <v>416</v>
      </c>
      <c r="D108" s="3" t="s">
        <v>504</v>
      </c>
      <c r="E108" s="101"/>
      <c r="F108" s="3" t="s">
        <v>11</v>
      </c>
      <c r="G108" s="4">
        <v>3034800</v>
      </c>
      <c r="H108" s="4" t="s">
        <v>505</v>
      </c>
      <c r="I108" s="4">
        <v>3033207</v>
      </c>
      <c r="J108" s="4"/>
    </row>
    <row r="109" spans="1:11" x14ac:dyDescent="0.3">
      <c r="B109" s="4"/>
      <c r="E109" s="101"/>
      <c r="F109" s="4"/>
    </row>
    <row r="110" spans="1:11" x14ac:dyDescent="0.3">
      <c r="B110" s="44">
        <v>46039</v>
      </c>
      <c r="C110" s="3" t="s">
        <v>416</v>
      </c>
      <c r="D110" s="3" t="s">
        <v>504</v>
      </c>
      <c r="E110" s="101"/>
      <c r="F110" s="4" t="s">
        <v>12</v>
      </c>
      <c r="G110" s="4">
        <v>3034206</v>
      </c>
      <c r="H110" s="3" t="s">
        <v>9</v>
      </c>
      <c r="I110" s="4">
        <v>3033405</v>
      </c>
      <c r="J110" s="4"/>
    </row>
    <row r="111" spans="1:11" x14ac:dyDescent="0.3">
      <c r="B111" s="44">
        <v>46039</v>
      </c>
      <c r="C111" s="3" t="s">
        <v>416</v>
      </c>
      <c r="D111" s="3" t="s">
        <v>504</v>
      </c>
      <c r="E111" s="101"/>
      <c r="F111" s="4" t="s">
        <v>505</v>
      </c>
      <c r="G111" s="4">
        <v>3033207</v>
      </c>
      <c r="H111" s="3" t="s">
        <v>15</v>
      </c>
      <c r="I111" s="4">
        <v>3029601</v>
      </c>
      <c r="J111" s="4"/>
    </row>
    <row r="112" spans="1:11" x14ac:dyDescent="0.3">
      <c r="B112" s="44">
        <v>46039</v>
      </c>
      <c r="C112" s="3" t="s">
        <v>416</v>
      </c>
      <c r="D112" s="3" t="s">
        <v>504</v>
      </c>
      <c r="E112" s="101"/>
      <c r="F112" s="4" t="s">
        <v>8</v>
      </c>
      <c r="G112" s="4">
        <v>3034008</v>
      </c>
      <c r="H112" s="3" t="s">
        <v>11</v>
      </c>
      <c r="I112" s="4">
        <v>3034800</v>
      </c>
      <c r="J112" s="4"/>
    </row>
    <row r="113" spans="2:10" x14ac:dyDescent="0.3">
      <c r="B113" s="44">
        <v>46039</v>
      </c>
      <c r="C113" s="3" t="s">
        <v>416</v>
      </c>
      <c r="D113" s="3" t="s">
        <v>504</v>
      </c>
      <c r="E113" s="101"/>
      <c r="F113" s="4" t="s">
        <v>100</v>
      </c>
      <c r="G113" s="4">
        <v>3125302</v>
      </c>
      <c r="H113" s="3" t="s">
        <v>37</v>
      </c>
      <c r="I113" s="4">
        <v>3029903</v>
      </c>
      <c r="J113" s="4"/>
    </row>
    <row r="114" spans="2:10" x14ac:dyDescent="0.3">
      <c r="B114" s="44">
        <v>46039</v>
      </c>
      <c r="C114" s="3" t="s">
        <v>416</v>
      </c>
      <c r="D114" s="3" t="s">
        <v>504</v>
      </c>
      <c r="E114" s="101"/>
      <c r="F114" s="4" t="s">
        <v>112</v>
      </c>
      <c r="G114" s="4">
        <v>3353602</v>
      </c>
      <c r="H114" s="3" t="s">
        <v>14</v>
      </c>
      <c r="I114" s="4">
        <v>3348601</v>
      </c>
      <c r="J114" s="4"/>
    </row>
    <row r="115" spans="2:10" x14ac:dyDescent="0.3">
      <c r="B115" s="44">
        <v>46039</v>
      </c>
      <c r="C115" s="3" t="s">
        <v>416</v>
      </c>
      <c r="D115" s="3" t="s">
        <v>504</v>
      </c>
      <c r="E115" s="101"/>
      <c r="F115" s="4" t="s">
        <v>13</v>
      </c>
      <c r="G115" s="4">
        <v>3125906</v>
      </c>
      <c r="H115" s="3" t="s">
        <v>99</v>
      </c>
      <c r="I115" s="4">
        <v>3125604</v>
      </c>
      <c r="J115" s="4"/>
    </row>
    <row r="116" spans="2:10" x14ac:dyDescent="0.3">
      <c r="B116" s="4"/>
      <c r="E116" s="101"/>
      <c r="F116" s="4"/>
    </row>
    <row r="117" spans="2:10" x14ac:dyDescent="0.3">
      <c r="B117" s="44">
        <v>46046</v>
      </c>
      <c r="C117" s="3" t="s">
        <v>416</v>
      </c>
      <c r="D117" s="3" t="s">
        <v>504</v>
      </c>
      <c r="E117" s="101"/>
      <c r="F117" s="4" t="s">
        <v>12</v>
      </c>
      <c r="G117" s="4">
        <v>3034206</v>
      </c>
      <c r="H117" s="4" t="s">
        <v>505</v>
      </c>
      <c r="I117" s="4">
        <v>3033207</v>
      </c>
      <c r="J117" s="4"/>
    </row>
    <row r="118" spans="2:10" x14ac:dyDescent="0.3">
      <c r="B118" s="44">
        <v>46046</v>
      </c>
      <c r="C118" s="3" t="s">
        <v>416</v>
      </c>
      <c r="D118" s="3" t="s">
        <v>504</v>
      </c>
      <c r="E118" s="101"/>
      <c r="F118" s="3" t="s">
        <v>99</v>
      </c>
      <c r="G118" s="4">
        <v>3125604</v>
      </c>
      <c r="H118" s="3" t="s">
        <v>9</v>
      </c>
      <c r="I118" s="4">
        <v>3033405</v>
      </c>
      <c r="J118" s="4"/>
    </row>
    <row r="119" spans="2:10" x14ac:dyDescent="0.3">
      <c r="B119" s="44">
        <v>46046</v>
      </c>
      <c r="C119" s="3" t="s">
        <v>416</v>
      </c>
      <c r="D119" s="3" t="s">
        <v>504</v>
      </c>
      <c r="E119" s="101"/>
      <c r="F119" s="3" t="s">
        <v>14</v>
      </c>
      <c r="G119" s="4">
        <v>3348601</v>
      </c>
      <c r="H119" s="4" t="s">
        <v>13</v>
      </c>
      <c r="I119" s="4">
        <v>3125906</v>
      </c>
      <c r="J119" s="4"/>
    </row>
    <row r="120" spans="2:10" x14ac:dyDescent="0.3">
      <c r="B120" s="44">
        <v>46046</v>
      </c>
      <c r="C120" s="3" t="s">
        <v>416</v>
      </c>
      <c r="D120" s="3" t="s">
        <v>504</v>
      </c>
      <c r="E120" s="101"/>
      <c r="F120" s="3" t="s">
        <v>15</v>
      </c>
      <c r="G120" s="4">
        <v>3029601</v>
      </c>
      <c r="H120" s="4" t="s">
        <v>8</v>
      </c>
      <c r="I120" s="4">
        <v>3034008</v>
      </c>
      <c r="J120" s="4"/>
    </row>
    <row r="121" spans="2:10" x14ac:dyDescent="0.3">
      <c r="B121" s="44">
        <v>46046</v>
      </c>
      <c r="C121" s="3" t="s">
        <v>416</v>
      </c>
      <c r="D121" s="3" t="s">
        <v>504</v>
      </c>
      <c r="E121" s="101"/>
      <c r="F121" s="3" t="s">
        <v>37</v>
      </c>
      <c r="G121" s="4">
        <v>3029903</v>
      </c>
      <c r="H121" s="4" t="s">
        <v>112</v>
      </c>
      <c r="I121" s="4">
        <v>3353602</v>
      </c>
      <c r="J121" s="4"/>
    </row>
    <row r="122" spans="2:10" x14ac:dyDescent="0.3">
      <c r="B122" s="44">
        <v>46046</v>
      </c>
      <c r="C122" s="3" t="s">
        <v>416</v>
      </c>
      <c r="D122" s="3" t="s">
        <v>504</v>
      </c>
      <c r="E122" s="101"/>
      <c r="F122" s="3" t="s">
        <v>11</v>
      </c>
      <c r="G122" s="4">
        <v>3034800</v>
      </c>
      <c r="H122" s="4" t="s">
        <v>100</v>
      </c>
      <c r="I122" s="4">
        <v>3125302</v>
      </c>
      <c r="J122" s="4"/>
    </row>
    <row r="123" spans="2:10" x14ac:dyDescent="0.3">
      <c r="B123" s="4"/>
      <c r="E123" s="101"/>
      <c r="F123" s="4"/>
    </row>
    <row r="124" spans="2:10" x14ac:dyDescent="0.3">
      <c r="B124" s="44">
        <v>46053</v>
      </c>
      <c r="C124" s="3" t="s">
        <v>416</v>
      </c>
      <c r="D124" s="3" t="s">
        <v>504</v>
      </c>
      <c r="E124" s="101"/>
      <c r="F124" s="3" t="s">
        <v>9</v>
      </c>
      <c r="G124" s="4">
        <v>3033405</v>
      </c>
      <c r="H124" s="4" t="s">
        <v>505</v>
      </c>
      <c r="I124" s="4">
        <v>3033207</v>
      </c>
      <c r="J124" s="4"/>
    </row>
    <row r="125" spans="2:10" x14ac:dyDescent="0.3">
      <c r="B125" s="44">
        <v>46053</v>
      </c>
      <c r="C125" s="3" t="s">
        <v>416</v>
      </c>
      <c r="D125" s="3" t="s">
        <v>504</v>
      </c>
      <c r="E125" s="101"/>
      <c r="F125" s="3" t="s">
        <v>99</v>
      </c>
      <c r="G125" s="4">
        <v>3125604</v>
      </c>
      <c r="H125" s="3" t="s">
        <v>14</v>
      </c>
      <c r="I125" s="4">
        <v>3348601</v>
      </c>
      <c r="J125" s="4"/>
    </row>
    <row r="126" spans="2:10" x14ac:dyDescent="0.3">
      <c r="B126" s="44">
        <v>46053</v>
      </c>
      <c r="C126" s="3" t="s">
        <v>416</v>
      </c>
      <c r="D126" s="3" t="s">
        <v>504</v>
      </c>
      <c r="E126" s="101"/>
      <c r="F126" s="4" t="s">
        <v>8</v>
      </c>
      <c r="G126" s="4">
        <v>3034008</v>
      </c>
      <c r="H126" s="3" t="s">
        <v>12</v>
      </c>
      <c r="I126" s="4">
        <v>3034206</v>
      </c>
      <c r="J126" s="4"/>
    </row>
    <row r="127" spans="2:10" x14ac:dyDescent="0.3">
      <c r="B127" s="44">
        <v>46053</v>
      </c>
      <c r="C127" s="3" t="s">
        <v>416</v>
      </c>
      <c r="D127" s="3" t="s">
        <v>504</v>
      </c>
      <c r="E127" s="101"/>
      <c r="F127" s="4" t="s">
        <v>100</v>
      </c>
      <c r="G127" s="4">
        <v>3125302</v>
      </c>
      <c r="H127" s="3" t="s">
        <v>15</v>
      </c>
      <c r="I127" s="4">
        <v>3029601</v>
      </c>
      <c r="J127" s="4"/>
    </row>
    <row r="128" spans="2:10" x14ac:dyDescent="0.3">
      <c r="B128" s="44">
        <v>46053</v>
      </c>
      <c r="C128" s="3" t="s">
        <v>416</v>
      </c>
      <c r="D128" s="3" t="s">
        <v>504</v>
      </c>
      <c r="E128" s="101"/>
      <c r="F128" s="4" t="s">
        <v>112</v>
      </c>
      <c r="G128" s="4">
        <v>3353602</v>
      </c>
      <c r="H128" s="3" t="s">
        <v>11</v>
      </c>
      <c r="I128" s="4">
        <v>3034800</v>
      </c>
      <c r="J128" s="4"/>
    </row>
    <row r="129" spans="2:10" x14ac:dyDescent="0.3">
      <c r="B129" s="44">
        <v>46053</v>
      </c>
      <c r="C129" s="3" t="s">
        <v>416</v>
      </c>
      <c r="D129" s="3" t="s">
        <v>504</v>
      </c>
      <c r="E129" s="101"/>
      <c r="F129" s="4" t="s">
        <v>13</v>
      </c>
      <c r="G129" s="4">
        <v>3125906</v>
      </c>
      <c r="H129" s="3" t="s">
        <v>37</v>
      </c>
      <c r="I129" s="4">
        <v>3029903</v>
      </c>
      <c r="J129" s="4"/>
    </row>
    <row r="130" spans="2:10" x14ac:dyDescent="0.3">
      <c r="B130" s="4"/>
      <c r="E130" s="101"/>
      <c r="F130" s="4"/>
    </row>
    <row r="131" spans="2:10" x14ac:dyDescent="0.3">
      <c r="B131" s="44">
        <v>46060</v>
      </c>
      <c r="C131" s="3" t="s">
        <v>416</v>
      </c>
      <c r="D131" s="3" t="s">
        <v>504</v>
      </c>
      <c r="E131" s="101"/>
      <c r="F131" s="4" t="s">
        <v>12</v>
      </c>
      <c r="G131" s="4">
        <v>3034206</v>
      </c>
      <c r="H131" s="4" t="s">
        <v>100</v>
      </c>
      <c r="I131" s="4">
        <v>3125302</v>
      </c>
      <c r="J131" s="4"/>
    </row>
    <row r="132" spans="2:10" x14ac:dyDescent="0.3">
      <c r="B132" s="44">
        <v>46060</v>
      </c>
      <c r="C132" s="3" t="s">
        <v>416</v>
      </c>
      <c r="D132" s="3" t="s">
        <v>504</v>
      </c>
      <c r="E132" s="101"/>
      <c r="F132" s="4" t="s">
        <v>505</v>
      </c>
      <c r="G132" s="4">
        <v>3033207</v>
      </c>
      <c r="H132" s="4" t="s">
        <v>8</v>
      </c>
      <c r="I132" s="4">
        <v>3034008</v>
      </c>
      <c r="J132" s="4"/>
    </row>
    <row r="133" spans="2:10" x14ac:dyDescent="0.3">
      <c r="B133" s="44">
        <v>46060</v>
      </c>
      <c r="C133" s="3" t="s">
        <v>416</v>
      </c>
      <c r="D133" s="3" t="s">
        <v>504</v>
      </c>
      <c r="E133" s="101"/>
      <c r="F133" s="3" t="s">
        <v>14</v>
      </c>
      <c r="G133" s="4">
        <v>3348601</v>
      </c>
      <c r="H133" s="3" t="s">
        <v>9</v>
      </c>
      <c r="I133" s="4">
        <v>3033405</v>
      </c>
      <c r="J133" s="4"/>
    </row>
    <row r="134" spans="2:10" x14ac:dyDescent="0.3">
      <c r="B134" s="44">
        <v>46060</v>
      </c>
      <c r="C134" s="3" t="s">
        <v>416</v>
      </c>
      <c r="D134" s="3" t="s">
        <v>504</v>
      </c>
      <c r="E134" s="101"/>
      <c r="F134" s="3" t="s">
        <v>15</v>
      </c>
      <c r="G134" s="4">
        <v>3029601</v>
      </c>
      <c r="H134" s="4" t="s">
        <v>112</v>
      </c>
      <c r="I134" s="4">
        <v>3353602</v>
      </c>
      <c r="J134" s="4"/>
    </row>
    <row r="135" spans="2:10" x14ac:dyDescent="0.3">
      <c r="B135" s="44">
        <v>46060</v>
      </c>
      <c r="C135" s="3" t="s">
        <v>416</v>
      </c>
      <c r="D135" s="3" t="s">
        <v>504</v>
      </c>
      <c r="E135" s="101"/>
      <c r="F135" s="3" t="s">
        <v>37</v>
      </c>
      <c r="G135" s="4">
        <v>3029903</v>
      </c>
      <c r="H135" s="3" t="s">
        <v>99</v>
      </c>
      <c r="I135" s="4">
        <v>3125604</v>
      </c>
      <c r="J135" s="4"/>
    </row>
    <row r="136" spans="2:10" x14ac:dyDescent="0.3">
      <c r="B136" s="44">
        <v>46060</v>
      </c>
      <c r="C136" s="3" t="s">
        <v>416</v>
      </c>
      <c r="D136" s="3" t="s">
        <v>504</v>
      </c>
      <c r="E136" s="101"/>
      <c r="F136" s="3" t="s">
        <v>11</v>
      </c>
      <c r="G136" s="4">
        <v>3034800</v>
      </c>
      <c r="H136" s="4" t="s">
        <v>13</v>
      </c>
      <c r="I136" s="4">
        <v>3125906</v>
      </c>
      <c r="J136" s="4"/>
    </row>
    <row r="137" spans="2:10" x14ac:dyDescent="0.3">
      <c r="B137" s="4"/>
      <c r="E137" s="101"/>
      <c r="F137" s="4"/>
    </row>
    <row r="138" spans="2:10" x14ac:dyDescent="0.3">
      <c r="B138" s="44">
        <v>46074</v>
      </c>
      <c r="C138" s="3" t="s">
        <v>416</v>
      </c>
      <c r="D138" s="3" t="s">
        <v>504</v>
      </c>
      <c r="E138" s="101"/>
      <c r="F138" s="3" t="s">
        <v>9</v>
      </c>
      <c r="G138" s="4">
        <v>3033405</v>
      </c>
      <c r="H138" s="4" t="s">
        <v>8</v>
      </c>
      <c r="I138" s="4">
        <v>3034008</v>
      </c>
      <c r="J138" s="4"/>
    </row>
    <row r="139" spans="2:10" x14ac:dyDescent="0.3">
      <c r="B139" s="44">
        <v>46074</v>
      </c>
      <c r="C139" s="3" t="s">
        <v>416</v>
      </c>
      <c r="D139" s="3" t="s">
        <v>504</v>
      </c>
      <c r="E139" s="101"/>
      <c r="F139" s="3" t="s">
        <v>99</v>
      </c>
      <c r="G139" s="4">
        <v>3125604</v>
      </c>
      <c r="H139" s="3" t="s">
        <v>11</v>
      </c>
      <c r="I139" s="4">
        <v>3034800</v>
      </c>
      <c r="J139" s="4"/>
    </row>
    <row r="140" spans="2:10" x14ac:dyDescent="0.3">
      <c r="B140" s="44">
        <v>46074</v>
      </c>
      <c r="C140" s="3" t="s">
        <v>416</v>
      </c>
      <c r="D140" s="3" t="s">
        <v>504</v>
      </c>
      <c r="E140" s="101"/>
      <c r="F140" s="3" t="s">
        <v>14</v>
      </c>
      <c r="G140" s="4">
        <v>3348601</v>
      </c>
      <c r="H140" s="3" t="s">
        <v>37</v>
      </c>
      <c r="I140" s="4">
        <v>3029903</v>
      </c>
      <c r="J140" s="4"/>
    </row>
    <row r="141" spans="2:10" x14ac:dyDescent="0.3">
      <c r="B141" s="44">
        <v>46074</v>
      </c>
      <c r="C141" s="3" t="s">
        <v>416</v>
      </c>
      <c r="D141" s="3" t="s">
        <v>504</v>
      </c>
      <c r="E141" s="101"/>
      <c r="F141" s="4" t="s">
        <v>100</v>
      </c>
      <c r="G141" s="4">
        <v>3125302</v>
      </c>
      <c r="H141" s="4" t="s">
        <v>505</v>
      </c>
      <c r="I141" s="4">
        <v>3033207</v>
      </c>
      <c r="J141" s="4"/>
    </row>
    <row r="142" spans="2:10" x14ac:dyDescent="0.3">
      <c r="B142" s="44">
        <v>46074</v>
      </c>
      <c r="C142" s="3" t="s">
        <v>416</v>
      </c>
      <c r="D142" s="3" t="s">
        <v>504</v>
      </c>
      <c r="E142" s="101"/>
      <c r="F142" s="4" t="s">
        <v>112</v>
      </c>
      <c r="G142" s="4">
        <v>3353602</v>
      </c>
      <c r="H142" s="3" t="s">
        <v>12</v>
      </c>
      <c r="I142" s="4">
        <v>3034206</v>
      </c>
      <c r="J142" s="4"/>
    </row>
    <row r="143" spans="2:10" x14ac:dyDescent="0.3">
      <c r="B143" s="44">
        <v>46074</v>
      </c>
      <c r="C143" s="3" t="s">
        <v>416</v>
      </c>
      <c r="D143" s="3" t="s">
        <v>504</v>
      </c>
      <c r="E143" s="101"/>
      <c r="F143" s="4" t="s">
        <v>13</v>
      </c>
      <c r="G143" s="4">
        <v>3125906</v>
      </c>
      <c r="H143" s="3" t="s">
        <v>15</v>
      </c>
      <c r="I143" s="4">
        <v>3029601</v>
      </c>
      <c r="J143" s="4"/>
    </row>
    <row r="144" spans="2:10" x14ac:dyDescent="0.3">
      <c r="B144" s="4"/>
      <c r="E144" s="101"/>
      <c r="F144" s="4"/>
    </row>
    <row r="145" spans="2:10" x14ac:dyDescent="0.3">
      <c r="B145" s="44">
        <v>46081</v>
      </c>
      <c r="C145" s="3" t="s">
        <v>416</v>
      </c>
      <c r="D145" s="3" t="s">
        <v>504</v>
      </c>
      <c r="E145" s="101"/>
      <c r="F145" s="4" t="s">
        <v>12</v>
      </c>
      <c r="G145" s="4">
        <v>3034206</v>
      </c>
      <c r="H145" s="4" t="s">
        <v>13</v>
      </c>
      <c r="I145" s="4">
        <v>3125906</v>
      </c>
      <c r="J145" s="4"/>
    </row>
    <row r="146" spans="2:10" x14ac:dyDescent="0.3">
      <c r="B146" s="44">
        <v>46081</v>
      </c>
      <c r="C146" s="3" t="s">
        <v>416</v>
      </c>
      <c r="D146" s="3" t="s">
        <v>504</v>
      </c>
      <c r="E146" s="101"/>
      <c r="F146" s="4" t="s">
        <v>505</v>
      </c>
      <c r="G146" s="4">
        <v>3033207</v>
      </c>
      <c r="H146" s="4" t="s">
        <v>112</v>
      </c>
      <c r="I146" s="4">
        <v>3353602</v>
      </c>
      <c r="J146" s="4"/>
    </row>
    <row r="147" spans="2:10" x14ac:dyDescent="0.3">
      <c r="B147" s="44">
        <v>46081</v>
      </c>
      <c r="C147" s="3" t="s">
        <v>416</v>
      </c>
      <c r="D147" s="3" t="s">
        <v>504</v>
      </c>
      <c r="E147" s="101"/>
      <c r="F147" s="4" t="s">
        <v>8</v>
      </c>
      <c r="G147" s="4">
        <v>3034008</v>
      </c>
      <c r="H147" s="4" t="s">
        <v>100</v>
      </c>
      <c r="I147" s="4">
        <v>3125302</v>
      </c>
      <c r="J147" s="4"/>
    </row>
    <row r="148" spans="2:10" x14ac:dyDescent="0.3">
      <c r="B148" s="44">
        <v>46081</v>
      </c>
      <c r="C148" s="3" t="s">
        <v>416</v>
      </c>
      <c r="D148" s="3" t="s">
        <v>504</v>
      </c>
      <c r="E148" s="101"/>
      <c r="F148" s="3" t="s">
        <v>15</v>
      </c>
      <c r="G148" s="4">
        <v>3029601</v>
      </c>
      <c r="H148" s="3" t="s">
        <v>99</v>
      </c>
      <c r="I148" s="4">
        <v>3125604</v>
      </c>
      <c r="J148" s="4"/>
    </row>
    <row r="149" spans="2:10" x14ac:dyDescent="0.3">
      <c r="B149" s="44">
        <v>46081</v>
      </c>
      <c r="C149" s="3" t="s">
        <v>416</v>
      </c>
      <c r="D149" s="3" t="s">
        <v>504</v>
      </c>
      <c r="E149" s="101"/>
      <c r="F149" s="3" t="s">
        <v>37</v>
      </c>
      <c r="G149" s="4">
        <v>3029903</v>
      </c>
      <c r="H149" s="3" t="s">
        <v>9</v>
      </c>
      <c r="I149" s="4">
        <v>3033405</v>
      </c>
      <c r="J149" s="4"/>
    </row>
    <row r="150" spans="2:10" x14ac:dyDescent="0.3">
      <c r="B150" s="44">
        <v>46081</v>
      </c>
      <c r="C150" s="3" t="s">
        <v>416</v>
      </c>
      <c r="D150" s="3" t="s">
        <v>504</v>
      </c>
      <c r="E150" s="101"/>
      <c r="F150" s="3" t="s">
        <v>11</v>
      </c>
      <c r="G150" s="4">
        <v>3034800</v>
      </c>
      <c r="H150" s="3" t="s">
        <v>14</v>
      </c>
      <c r="I150" s="4">
        <v>3348601</v>
      </c>
      <c r="J150" s="4"/>
    </row>
    <row r="151" spans="2:10" x14ac:dyDescent="0.3">
      <c r="B151" s="4"/>
      <c r="E151" s="101"/>
      <c r="F151" s="4"/>
    </row>
    <row r="152" spans="2:10" x14ac:dyDescent="0.3">
      <c r="B152" s="44">
        <v>46088</v>
      </c>
      <c r="C152" s="3" t="s">
        <v>416</v>
      </c>
      <c r="D152" s="3" t="s">
        <v>504</v>
      </c>
      <c r="E152" s="101"/>
      <c r="F152" s="3" t="s">
        <v>9</v>
      </c>
      <c r="G152" s="4">
        <v>3033405</v>
      </c>
      <c r="H152" s="4" t="s">
        <v>100</v>
      </c>
      <c r="I152" s="4">
        <v>3125302</v>
      </c>
      <c r="J152" s="4"/>
    </row>
    <row r="153" spans="2:10" x14ac:dyDescent="0.3">
      <c r="B153" s="44">
        <v>46088</v>
      </c>
      <c r="C153" s="3" t="s">
        <v>416</v>
      </c>
      <c r="D153" s="3" t="s">
        <v>504</v>
      </c>
      <c r="E153" s="101"/>
      <c r="F153" s="3" t="s">
        <v>99</v>
      </c>
      <c r="G153" s="4">
        <v>3125604</v>
      </c>
      <c r="H153" s="3" t="s">
        <v>12</v>
      </c>
      <c r="I153" s="4">
        <v>3034206</v>
      </c>
      <c r="J153" s="4"/>
    </row>
    <row r="154" spans="2:10" x14ac:dyDescent="0.3">
      <c r="B154" s="44">
        <v>46088</v>
      </c>
      <c r="C154" s="3" t="s">
        <v>416</v>
      </c>
      <c r="D154" s="3" t="s">
        <v>504</v>
      </c>
      <c r="E154" s="101"/>
      <c r="F154" s="3" t="s">
        <v>14</v>
      </c>
      <c r="G154" s="4">
        <v>3348601</v>
      </c>
      <c r="H154" s="3" t="s">
        <v>15</v>
      </c>
      <c r="I154" s="4">
        <v>3029601</v>
      </c>
      <c r="J154" s="4"/>
    </row>
    <row r="155" spans="2:10" x14ac:dyDescent="0.3">
      <c r="B155" s="44">
        <v>46088</v>
      </c>
      <c r="C155" s="3" t="s">
        <v>416</v>
      </c>
      <c r="D155" s="3" t="s">
        <v>504</v>
      </c>
      <c r="E155" s="101"/>
      <c r="F155" s="4" t="s">
        <v>112</v>
      </c>
      <c r="G155" s="4">
        <v>3353602</v>
      </c>
      <c r="H155" s="4" t="s">
        <v>8</v>
      </c>
      <c r="I155" s="4">
        <v>3034008</v>
      </c>
      <c r="J155" s="4"/>
    </row>
    <row r="156" spans="2:10" x14ac:dyDescent="0.3">
      <c r="B156" s="44">
        <v>46088</v>
      </c>
      <c r="C156" s="3" t="s">
        <v>416</v>
      </c>
      <c r="D156" s="3" t="s">
        <v>504</v>
      </c>
      <c r="E156" s="101"/>
      <c r="F156" s="4" t="s">
        <v>13</v>
      </c>
      <c r="G156" s="4">
        <v>3125906</v>
      </c>
      <c r="H156" s="4" t="s">
        <v>505</v>
      </c>
      <c r="I156" s="4">
        <v>3033207</v>
      </c>
      <c r="J156" s="4"/>
    </row>
    <row r="157" spans="2:10" x14ac:dyDescent="0.3">
      <c r="B157" s="44">
        <v>46088</v>
      </c>
      <c r="C157" s="3" t="s">
        <v>416</v>
      </c>
      <c r="D157" s="3" t="s">
        <v>504</v>
      </c>
      <c r="E157" s="101"/>
      <c r="F157" s="3" t="s">
        <v>37</v>
      </c>
      <c r="G157" s="4">
        <v>3029903</v>
      </c>
      <c r="H157" s="3" t="s">
        <v>11</v>
      </c>
      <c r="I157" s="4">
        <v>3034800</v>
      </c>
      <c r="J157" s="4"/>
    </row>
    <row r="158" spans="2:10" x14ac:dyDescent="0.3">
      <c r="B158" s="4"/>
      <c r="E158" s="101"/>
      <c r="F158" s="4"/>
    </row>
    <row r="159" spans="2:10" x14ac:dyDescent="0.3">
      <c r="B159" s="44">
        <v>46095</v>
      </c>
      <c r="C159" s="3" t="s">
        <v>416</v>
      </c>
      <c r="D159" s="3" t="s">
        <v>504</v>
      </c>
      <c r="E159" s="101"/>
      <c r="F159" s="4" t="s">
        <v>12</v>
      </c>
      <c r="G159" s="4">
        <v>3034206</v>
      </c>
      <c r="H159" s="3" t="s">
        <v>14</v>
      </c>
      <c r="I159" s="4">
        <v>3348601</v>
      </c>
      <c r="J159" s="4"/>
    </row>
    <row r="160" spans="2:10" x14ac:dyDescent="0.3">
      <c r="B160" s="44">
        <v>46095</v>
      </c>
      <c r="C160" s="3" t="s">
        <v>416</v>
      </c>
      <c r="D160" s="3" t="s">
        <v>504</v>
      </c>
      <c r="E160" s="101"/>
      <c r="F160" s="4" t="s">
        <v>505</v>
      </c>
      <c r="G160" s="4">
        <v>3033207</v>
      </c>
      <c r="H160" s="3" t="s">
        <v>99</v>
      </c>
      <c r="I160" s="4">
        <v>3125604</v>
      </c>
      <c r="J160" s="4"/>
    </row>
    <row r="161" spans="2:10" x14ac:dyDescent="0.3">
      <c r="B161" s="44">
        <v>46095</v>
      </c>
      <c r="C161" s="3" t="s">
        <v>416</v>
      </c>
      <c r="D161" s="3" t="s">
        <v>504</v>
      </c>
      <c r="E161" s="101"/>
      <c r="F161" s="4" t="s">
        <v>8</v>
      </c>
      <c r="G161" s="4">
        <v>3034008</v>
      </c>
      <c r="H161" s="4" t="s">
        <v>13</v>
      </c>
      <c r="I161" s="4">
        <v>3125906</v>
      </c>
      <c r="J161" s="4"/>
    </row>
    <row r="162" spans="2:10" x14ac:dyDescent="0.3">
      <c r="B162" s="44">
        <v>46095</v>
      </c>
      <c r="C162" s="3" t="s">
        <v>416</v>
      </c>
      <c r="D162" s="3" t="s">
        <v>504</v>
      </c>
      <c r="E162" s="101"/>
      <c r="F162" s="4" t="s">
        <v>100</v>
      </c>
      <c r="G162" s="4">
        <v>3125302</v>
      </c>
      <c r="H162" s="4" t="s">
        <v>112</v>
      </c>
      <c r="I162" s="4">
        <v>3353602</v>
      </c>
      <c r="J162" s="4"/>
    </row>
    <row r="163" spans="2:10" x14ac:dyDescent="0.3">
      <c r="B163" s="44">
        <v>46095</v>
      </c>
      <c r="C163" s="3" t="s">
        <v>416</v>
      </c>
      <c r="D163" s="3" t="s">
        <v>504</v>
      </c>
      <c r="E163" s="101"/>
      <c r="F163" s="3" t="s">
        <v>15</v>
      </c>
      <c r="G163" s="4">
        <v>3029601</v>
      </c>
      <c r="H163" s="3" t="s">
        <v>37</v>
      </c>
      <c r="I163" s="4">
        <v>3029903</v>
      </c>
      <c r="J163" s="4"/>
    </row>
    <row r="164" spans="2:10" x14ac:dyDescent="0.3">
      <c r="B164" s="44">
        <v>46095</v>
      </c>
      <c r="C164" s="3" t="s">
        <v>416</v>
      </c>
      <c r="D164" s="3" t="s">
        <v>504</v>
      </c>
      <c r="E164" s="101"/>
      <c r="F164" s="3" t="s">
        <v>11</v>
      </c>
      <c r="G164" s="4">
        <v>3034800</v>
      </c>
      <c r="H164" s="3" t="s">
        <v>9</v>
      </c>
      <c r="I164" s="4">
        <v>3033405</v>
      </c>
      <c r="J164" s="4"/>
    </row>
    <row r="165" spans="2:10" x14ac:dyDescent="0.3">
      <c r="B165" s="4"/>
      <c r="E165" s="101"/>
      <c r="F165" s="4"/>
    </row>
    <row r="166" spans="2:10" x14ac:dyDescent="0.3">
      <c r="B166" s="44">
        <v>46102</v>
      </c>
      <c r="C166" s="3" t="s">
        <v>416</v>
      </c>
      <c r="D166" s="3" t="s">
        <v>504</v>
      </c>
      <c r="E166" s="101"/>
      <c r="F166" s="3" t="s">
        <v>9</v>
      </c>
      <c r="G166" s="4">
        <v>3033405</v>
      </c>
      <c r="H166" s="4" t="s">
        <v>112</v>
      </c>
      <c r="I166" s="4">
        <v>3353602</v>
      </c>
      <c r="J166" s="4"/>
    </row>
    <row r="167" spans="2:10" x14ac:dyDescent="0.3">
      <c r="B167" s="44">
        <v>46102</v>
      </c>
      <c r="C167" s="3" t="s">
        <v>416</v>
      </c>
      <c r="D167" s="3" t="s">
        <v>504</v>
      </c>
      <c r="E167" s="101"/>
      <c r="F167" s="3" t="s">
        <v>99</v>
      </c>
      <c r="G167" s="4">
        <v>3125604</v>
      </c>
      <c r="H167" s="4" t="s">
        <v>8</v>
      </c>
      <c r="I167" s="4">
        <v>3034008</v>
      </c>
      <c r="J167" s="4"/>
    </row>
    <row r="168" spans="2:10" x14ac:dyDescent="0.3">
      <c r="B168" s="44">
        <v>46102</v>
      </c>
      <c r="C168" s="3" t="s">
        <v>416</v>
      </c>
      <c r="D168" s="3" t="s">
        <v>504</v>
      </c>
      <c r="E168" s="101"/>
      <c r="F168" s="3" t="s">
        <v>14</v>
      </c>
      <c r="G168" s="4">
        <v>3348601</v>
      </c>
      <c r="H168" s="4" t="s">
        <v>505</v>
      </c>
      <c r="I168" s="4">
        <v>3033207</v>
      </c>
      <c r="J168" s="4"/>
    </row>
    <row r="169" spans="2:10" x14ac:dyDescent="0.3">
      <c r="B169" s="44">
        <v>46102</v>
      </c>
      <c r="C169" s="3" t="s">
        <v>416</v>
      </c>
      <c r="D169" s="3" t="s">
        <v>504</v>
      </c>
      <c r="E169" s="101"/>
      <c r="F169" s="4" t="s">
        <v>13</v>
      </c>
      <c r="G169" s="4">
        <v>3125906</v>
      </c>
      <c r="H169" s="4" t="s">
        <v>100</v>
      </c>
      <c r="I169" s="4">
        <v>3125302</v>
      </c>
      <c r="J169" s="4"/>
    </row>
    <row r="170" spans="2:10" x14ac:dyDescent="0.3">
      <c r="B170" s="44">
        <v>46102</v>
      </c>
      <c r="C170" s="3" t="s">
        <v>416</v>
      </c>
      <c r="D170" s="3" t="s">
        <v>504</v>
      </c>
      <c r="E170" s="101"/>
      <c r="F170" s="3" t="s">
        <v>37</v>
      </c>
      <c r="G170" s="4">
        <v>3029903</v>
      </c>
      <c r="H170" s="3" t="s">
        <v>12</v>
      </c>
      <c r="I170" s="4">
        <v>3034206</v>
      </c>
      <c r="J170" s="4"/>
    </row>
    <row r="171" spans="2:10" x14ac:dyDescent="0.3">
      <c r="B171" s="44">
        <v>46102</v>
      </c>
      <c r="C171" s="3" t="s">
        <v>416</v>
      </c>
      <c r="D171" s="3" t="s">
        <v>504</v>
      </c>
      <c r="E171" s="101"/>
      <c r="F171" s="3" t="s">
        <v>11</v>
      </c>
      <c r="G171" s="4">
        <v>3034800</v>
      </c>
      <c r="H171" s="3" t="s">
        <v>15</v>
      </c>
      <c r="I171" s="4">
        <v>3029601</v>
      </c>
      <c r="J171" s="4"/>
    </row>
    <row r="172" spans="2:10" x14ac:dyDescent="0.3">
      <c r="B172" s="4"/>
      <c r="E172" s="101"/>
      <c r="F172" s="4"/>
    </row>
    <row r="173" spans="2:10" x14ac:dyDescent="0.3">
      <c r="B173" s="44">
        <v>46109</v>
      </c>
      <c r="C173" s="3" t="s">
        <v>416</v>
      </c>
      <c r="D173" s="3" t="s">
        <v>504</v>
      </c>
      <c r="E173" s="101"/>
      <c r="F173" s="4" t="s">
        <v>12</v>
      </c>
      <c r="G173" s="4">
        <v>3034206</v>
      </c>
      <c r="H173" s="3" t="s">
        <v>11</v>
      </c>
      <c r="I173" s="4">
        <v>3034800</v>
      </c>
      <c r="J173" s="4"/>
    </row>
    <row r="174" spans="2:10" x14ac:dyDescent="0.3">
      <c r="B174" s="44">
        <v>46109</v>
      </c>
      <c r="C174" s="3" t="s">
        <v>416</v>
      </c>
      <c r="D174" s="3" t="s">
        <v>504</v>
      </c>
      <c r="E174" s="101"/>
      <c r="F174" s="4" t="s">
        <v>505</v>
      </c>
      <c r="G174" s="4">
        <v>3033207</v>
      </c>
      <c r="H174" s="3" t="s">
        <v>37</v>
      </c>
      <c r="I174" s="4">
        <v>3029903</v>
      </c>
      <c r="J174" s="4"/>
    </row>
    <row r="175" spans="2:10" x14ac:dyDescent="0.3">
      <c r="B175" s="44">
        <v>46109</v>
      </c>
      <c r="C175" s="3" t="s">
        <v>416</v>
      </c>
      <c r="D175" s="3" t="s">
        <v>504</v>
      </c>
      <c r="E175" s="101"/>
      <c r="F175" s="4" t="s">
        <v>8</v>
      </c>
      <c r="G175" s="4">
        <v>3034008</v>
      </c>
      <c r="H175" s="3" t="s">
        <v>14</v>
      </c>
      <c r="I175" s="4">
        <v>3348601</v>
      </c>
      <c r="J175" s="4"/>
    </row>
    <row r="176" spans="2:10" x14ac:dyDescent="0.3">
      <c r="B176" s="44">
        <v>46109</v>
      </c>
      <c r="C176" s="3" t="s">
        <v>416</v>
      </c>
      <c r="D176" s="3" t="s">
        <v>504</v>
      </c>
      <c r="E176" s="101"/>
      <c r="F176" s="4" t="s">
        <v>100</v>
      </c>
      <c r="G176" s="4">
        <v>3125302</v>
      </c>
      <c r="H176" s="3" t="s">
        <v>99</v>
      </c>
      <c r="I176" s="4">
        <v>3125604</v>
      </c>
      <c r="J176" s="4"/>
    </row>
    <row r="177" spans="2:10" x14ac:dyDescent="0.3">
      <c r="B177" s="44">
        <v>46109</v>
      </c>
      <c r="C177" s="3" t="s">
        <v>416</v>
      </c>
      <c r="D177" s="3" t="s">
        <v>504</v>
      </c>
      <c r="E177" s="101"/>
      <c r="F177" s="4" t="s">
        <v>112</v>
      </c>
      <c r="G177" s="4">
        <v>3353602</v>
      </c>
      <c r="H177" s="4" t="s">
        <v>13</v>
      </c>
      <c r="I177" s="4">
        <v>3125906</v>
      </c>
      <c r="J177" s="4"/>
    </row>
    <row r="178" spans="2:10" x14ac:dyDescent="0.3">
      <c r="B178" s="44">
        <v>46109</v>
      </c>
      <c r="C178" s="3" t="s">
        <v>416</v>
      </c>
      <c r="D178" s="3" t="s">
        <v>504</v>
      </c>
      <c r="E178" s="101"/>
      <c r="F178" s="3" t="s">
        <v>15</v>
      </c>
      <c r="G178" s="4">
        <v>3029601</v>
      </c>
      <c r="H178" s="3" t="s">
        <v>9</v>
      </c>
      <c r="I178" s="4">
        <v>3033405</v>
      </c>
      <c r="J178" s="4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6069" priority="293"/>
  </conditionalFormatting>
  <conditionalFormatting sqref="B10:B13 B15:B21">
    <cfRule type="duplicateValues" dxfId="6068" priority="2482"/>
  </conditionalFormatting>
  <conditionalFormatting sqref="D5:D9">
    <cfRule type="duplicateValues" dxfId="6067" priority="296"/>
  </conditionalFormatting>
  <conditionalFormatting sqref="E10:J21">
    <cfRule type="containsText" dxfId="6066" priority="1" operator="containsText" text="c'[Fixtures All.xlsx]Women Filtered'!$F$2">
      <formula>NOT(ISERROR(SEARCH("c'[Fixtures All.xlsx]Women Filtered'!$F$2",E10)))</formula>
    </cfRule>
  </conditionalFormatting>
  <conditionalFormatting sqref="F1:I9 F22:I1048576">
    <cfRule type="containsText" dxfId="6065" priority="13" operator="containsText" text="c'[Fixtures All.xlsx]Women Filtered'!$F$2">
      <formula>NOT(ISERROR(SEARCH("c'[Fixtures All.xlsx]Women Filtered'!$F$2",F1)))</formula>
    </cfRule>
  </conditionalFormatting>
  <conditionalFormatting sqref="F1:I1048576">
    <cfRule type="containsText" dxfId="6064" priority="5" operator="containsText" text="Code">
      <formula>NOT(ISERROR(SEARCH("Code",F1)))</formula>
    </cfRule>
  </conditionalFormatting>
  <conditionalFormatting sqref="I10:L21">
    <cfRule type="cellIs" dxfId="6063" priority="3" operator="lessThan">
      <formula>5</formula>
    </cfRule>
    <cfRule type="cellIs" dxfId="6062" priority="4" operator="greaterThan">
      <formula>6</formula>
    </cfRule>
  </conditionalFormatting>
  <conditionalFormatting sqref="J26:J31">
    <cfRule type="duplicateValues" dxfId="6061" priority="284"/>
  </conditionalFormatting>
  <conditionalFormatting sqref="J33">
    <cfRule type="duplicateValues" dxfId="6060" priority="280"/>
  </conditionalFormatting>
  <conditionalFormatting sqref="J34">
    <cfRule type="duplicateValues" dxfId="6059" priority="157"/>
  </conditionalFormatting>
  <conditionalFormatting sqref="J35">
    <cfRule type="duplicateValues" dxfId="6058" priority="178"/>
  </conditionalFormatting>
  <conditionalFormatting sqref="J36">
    <cfRule type="duplicateValues" dxfId="6057" priority="240"/>
  </conditionalFormatting>
  <conditionalFormatting sqref="J37">
    <cfRule type="duplicateValues" dxfId="6056" priority="199"/>
  </conditionalFormatting>
  <conditionalFormatting sqref="J38">
    <cfRule type="duplicateValues" dxfId="6055" priority="219"/>
  </conditionalFormatting>
  <conditionalFormatting sqref="J40">
    <cfRule type="duplicateValues" dxfId="6054" priority="135"/>
  </conditionalFormatting>
  <conditionalFormatting sqref="J41">
    <cfRule type="duplicateValues" dxfId="6053" priority="279"/>
  </conditionalFormatting>
  <conditionalFormatting sqref="J42">
    <cfRule type="duplicateValues" dxfId="6052" priority="92"/>
  </conditionalFormatting>
  <conditionalFormatting sqref="J43">
    <cfRule type="duplicateValues" dxfId="6051" priority="71"/>
  </conditionalFormatting>
  <conditionalFormatting sqref="J44">
    <cfRule type="duplicateValues" dxfId="6050" priority="50"/>
  </conditionalFormatting>
  <conditionalFormatting sqref="J45">
    <cfRule type="duplicateValues" dxfId="6049" priority="113"/>
  </conditionalFormatting>
  <conditionalFormatting sqref="J47">
    <cfRule type="duplicateValues" dxfId="6048" priority="217"/>
  </conditionalFormatting>
  <conditionalFormatting sqref="J48">
    <cfRule type="duplicateValues" dxfId="6047" priority="133"/>
  </conditionalFormatting>
  <conditionalFormatting sqref="J49">
    <cfRule type="duplicateValues" dxfId="6046" priority="134"/>
  </conditionalFormatting>
  <conditionalFormatting sqref="J50">
    <cfRule type="duplicateValues" dxfId="6045" priority="197"/>
  </conditionalFormatting>
  <conditionalFormatting sqref="J51">
    <cfRule type="duplicateValues" dxfId="6044" priority="155"/>
  </conditionalFormatting>
  <conditionalFormatting sqref="J52">
    <cfRule type="duplicateValues" dxfId="6043" priority="176"/>
  </conditionalFormatting>
  <conditionalFormatting sqref="J54">
    <cfRule type="duplicateValues" dxfId="6042" priority="111"/>
  </conditionalFormatting>
  <conditionalFormatting sqref="J55">
    <cfRule type="duplicateValues" dxfId="6041" priority="48"/>
  </conditionalFormatting>
  <conditionalFormatting sqref="J56">
    <cfRule type="duplicateValues" dxfId="6040" priority="237"/>
  </conditionalFormatting>
  <conditionalFormatting sqref="J57">
    <cfRule type="duplicateValues" dxfId="6039" priority="277"/>
  </conditionalFormatting>
  <conditionalFormatting sqref="J58">
    <cfRule type="duplicateValues" dxfId="6038" priority="90"/>
  </conditionalFormatting>
  <conditionalFormatting sqref="J59">
    <cfRule type="duplicateValues" dxfId="6037" priority="69"/>
  </conditionalFormatting>
  <conditionalFormatting sqref="J61">
    <cfRule type="duplicateValues" dxfId="6036" priority="174"/>
  </conditionalFormatting>
  <conditionalFormatting sqref="J62">
    <cfRule type="duplicateValues" dxfId="6035" priority="195"/>
  </conditionalFormatting>
  <conditionalFormatting sqref="J63">
    <cfRule type="duplicateValues" dxfId="6034" priority="255"/>
  </conditionalFormatting>
  <conditionalFormatting sqref="J64">
    <cfRule type="duplicateValues" dxfId="6033" priority="153"/>
  </conditionalFormatting>
  <conditionalFormatting sqref="J65">
    <cfRule type="duplicateValues" dxfId="6032" priority="110"/>
  </conditionalFormatting>
  <conditionalFormatting sqref="J66">
    <cfRule type="duplicateValues" dxfId="6031" priority="131"/>
  </conditionalFormatting>
  <conditionalFormatting sqref="J68">
    <cfRule type="duplicateValues" dxfId="6030" priority="46"/>
  </conditionalFormatting>
  <conditionalFormatting sqref="J69">
    <cfRule type="duplicateValues" dxfId="6029" priority="88"/>
  </conditionalFormatting>
  <conditionalFormatting sqref="J70">
    <cfRule type="duplicateValues" dxfId="6028" priority="67"/>
  </conditionalFormatting>
  <conditionalFormatting sqref="J71">
    <cfRule type="duplicateValues" dxfId="6027" priority="214"/>
  </conditionalFormatting>
  <conditionalFormatting sqref="J72">
    <cfRule type="duplicateValues" dxfId="6026" priority="235"/>
  </conditionalFormatting>
  <conditionalFormatting sqref="J73">
    <cfRule type="duplicateValues" dxfId="6025" priority="275"/>
  </conditionalFormatting>
  <conditionalFormatting sqref="J75">
    <cfRule type="duplicateValues" dxfId="6024" priority="129"/>
  </conditionalFormatting>
  <conditionalFormatting sqref="J76">
    <cfRule type="duplicateValues" dxfId="6023" priority="151"/>
  </conditionalFormatting>
  <conditionalFormatting sqref="J77">
    <cfRule type="duplicateValues" dxfId="6022" priority="172"/>
  </conditionalFormatting>
  <conditionalFormatting sqref="J78">
    <cfRule type="duplicateValues" dxfId="6021" priority="253"/>
  </conditionalFormatting>
  <conditionalFormatting sqref="J79">
    <cfRule type="duplicateValues" dxfId="6020" priority="108"/>
  </conditionalFormatting>
  <conditionalFormatting sqref="J80">
    <cfRule type="duplicateValues" dxfId="6019" priority="45"/>
  </conditionalFormatting>
  <conditionalFormatting sqref="J82">
    <cfRule type="duplicateValues" dxfId="6018" priority="65"/>
  </conditionalFormatting>
  <conditionalFormatting sqref="J83">
    <cfRule type="duplicateValues" dxfId="6017" priority="233"/>
  </conditionalFormatting>
  <conditionalFormatting sqref="J84">
    <cfRule type="duplicateValues" dxfId="6016" priority="273"/>
  </conditionalFormatting>
  <conditionalFormatting sqref="J85">
    <cfRule type="duplicateValues" dxfId="6015" priority="192"/>
  </conditionalFormatting>
  <conditionalFormatting sqref="J86">
    <cfRule type="duplicateValues" dxfId="6014" priority="212"/>
  </conditionalFormatting>
  <conditionalFormatting sqref="J87">
    <cfRule type="duplicateValues" dxfId="6013" priority="86"/>
  </conditionalFormatting>
  <conditionalFormatting sqref="J89">
    <cfRule type="duplicateValues" dxfId="6012" priority="43"/>
  </conditionalFormatting>
  <conditionalFormatting sqref="J90">
    <cfRule type="duplicateValues" dxfId="6011" priority="106"/>
  </conditionalFormatting>
  <conditionalFormatting sqref="J91">
    <cfRule type="duplicateValues" dxfId="6010" priority="127"/>
  </conditionalFormatting>
  <conditionalFormatting sqref="J92">
    <cfRule type="duplicateValues" dxfId="6009" priority="149"/>
  </conditionalFormatting>
  <conditionalFormatting sqref="J93">
    <cfRule type="duplicateValues" dxfId="6008" priority="251"/>
  </conditionalFormatting>
  <conditionalFormatting sqref="J94">
    <cfRule type="duplicateValues" dxfId="6007" priority="64"/>
  </conditionalFormatting>
  <conditionalFormatting sqref="J96">
    <cfRule type="duplicateValues" dxfId="6006" priority="84"/>
  </conditionalFormatting>
  <conditionalFormatting sqref="J97">
    <cfRule type="duplicateValues" dxfId="6005" priority="190"/>
  </conditionalFormatting>
  <conditionalFormatting sqref="J98">
    <cfRule type="duplicateValues" dxfId="6004" priority="211"/>
  </conditionalFormatting>
  <conditionalFormatting sqref="J99">
    <cfRule type="duplicateValues" dxfId="6003" priority="169"/>
  </conditionalFormatting>
  <conditionalFormatting sqref="J100">
    <cfRule type="duplicateValues" dxfId="6002" priority="231"/>
  </conditionalFormatting>
  <conditionalFormatting sqref="J101">
    <cfRule type="duplicateValues" dxfId="6001" priority="29"/>
  </conditionalFormatting>
  <conditionalFormatting sqref="J103">
    <cfRule type="duplicateValues" dxfId="6000" priority="147"/>
  </conditionalFormatting>
  <conditionalFormatting sqref="J104">
    <cfRule type="duplicateValues" dxfId="5999" priority="168"/>
  </conditionalFormatting>
  <conditionalFormatting sqref="J105">
    <cfRule type="duplicateValues" dxfId="5998" priority="189"/>
  </conditionalFormatting>
  <conditionalFormatting sqref="J106">
    <cfRule type="duplicateValues" dxfId="5997" priority="270"/>
  </conditionalFormatting>
  <conditionalFormatting sqref="J107">
    <cfRule type="duplicateValues" dxfId="5996" priority="210"/>
  </conditionalFormatting>
  <conditionalFormatting sqref="J108">
    <cfRule type="duplicateValues" dxfId="5995" priority="230"/>
  </conditionalFormatting>
  <conditionalFormatting sqref="J110">
    <cfRule type="duplicateValues" dxfId="5994" priority="248"/>
  </conditionalFormatting>
  <conditionalFormatting sqref="J111">
    <cfRule type="duplicateValues" dxfId="5993" priority="82"/>
  </conditionalFormatting>
  <conditionalFormatting sqref="J112">
    <cfRule type="duplicateValues" dxfId="5992" priority="61"/>
  </conditionalFormatting>
  <conditionalFormatting sqref="J113">
    <cfRule type="duplicateValues" dxfId="5991" priority="40"/>
  </conditionalFormatting>
  <conditionalFormatting sqref="J114">
    <cfRule type="duplicateValues" dxfId="5990" priority="103"/>
  </conditionalFormatting>
  <conditionalFormatting sqref="J115">
    <cfRule type="duplicateValues" dxfId="5989" priority="124"/>
  </conditionalFormatting>
  <conditionalFormatting sqref="J117">
    <cfRule type="duplicateValues" dxfId="5988" priority="229"/>
  </conditionalFormatting>
  <conditionalFormatting sqref="J118">
    <cfRule type="duplicateValues" dxfId="5987" priority="28"/>
  </conditionalFormatting>
  <conditionalFormatting sqref="J119">
    <cfRule type="duplicateValues" dxfId="5986" priority="145"/>
  </conditionalFormatting>
  <conditionalFormatting sqref="J120">
    <cfRule type="duplicateValues" dxfId="5985" priority="208"/>
  </conditionalFormatting>
  <conditionalFormatting sqref="J121">
    <cfRule type="duplicateValues" dxfId="5984" priority="166"/>
  </conditionalFormatting>
  <conditionalFormatting sqref="J122">
    <cfRule type="duplicateValues" dxfId="5983" priority="187"/>
  </conditionalFormatting>
  <conditionalFormatting sqref="J124">
    <cfRule type="duplicateValues" dxfId="5982" priority="227"/>
  </conditionalFormatting>
  <conditionalFormatting sqref="J125">
    <cfRule type="duplicateValues" dxfId="5981" priority="101"/>
  </conditionalFormatting>
  <conditionalFormatting sqref="J126">
    <cfRule type="duplicateValues" dxfId="5980" priority="268"/>
  </conditionalFormatting>
  <conditionalFormatting sqref="J127">
    <cfRule type="duplicateValues" dxfId="5979" priority="80"/>
  </conditionalFormatting>
  <conditionalFormatting sqref="J128">
    <cfRule type="duplicateValues" dxfId="5978" priority="59"/>
  </conditionalFormatting>
  <conditionalFormatting sqref="J129">
    <cfRule type="duplicateValues" dxfId="5977" priority="38"/>
  </conditionalFormatting>
  <conditionalFormatting sqref="J131">
    <cfRule type="duplicateValues" dxfId="5976" priority="185"/>
  </conditionalFormatting>
  <conditionalFormatting sqref="J132">
    <cfRule type="duplicateValues" dxfId="5975" priority="206"/>
  </conditionalFormatting>
  <conditionalFormatting sqref="J133">
    <cfRule type="duplicateValues" dxfId="5974" priority="27"/>
  </conditionalFormatting>
  <conditionalFormatting sqref="J134">
    <cfRule type="duplicateValues" dxfId="5973" priority="164"/>
  </conditionalFormatting>
  <conditionalFormatting sqref="J135">
    <cfRule type="duplicateValues" dxfId="5972" priority="121"/>
  </conditionalFormatting>
  <conditionalFormatting sqref="J136">
    <cfRule type="duplicateValues" dxfId="5971" priority="144"/>
  </conditionalFormatting>
  <conditionalFormatting sqref="J138">
    <cfRule type="duplicateValues" dxfId="5970" priority="205"/>
  </conditionalFormatting>
  <conditionalFormatting sqref="J139">
    <cfRule type="duplicateValues" dxfId="5969" priority="57"/>
  </conditionalFormatting>
  <conditionalFormatting sqref="J140">
    <cfRule type="duplicateValues" dxfId="5968" priority="36"/>
  </conditionalFormatting>
  <conditionalFormatting sqref="J141">
    <cfRule type="duplicateValues" dxfId="5967" priority="225"/>
  </conditionalFormatting>
  <conditionalFormatting sqref="J142">
    <cfRule type="duplicateValues" dxfId="5966" priority="266"/>
  </conditionalFormatting>
  <conditionalFormatting sqref="J143">
    <cfRule type="duplicateValues" dxfId="5965" priority="78"/>
  </conditionalFormatting>
  <conditionalFormatting sqref="J145">
    <cfRule type="duplicateValues" dxfId="5964" priority="141"/>
  </conditionalFormatting>
  <conditionalFormatting sqref="J146">
    <cfRule type="duplicateValues" dxfId="5963" priority="162"/>
  </conditionalFormatting>
  <conditionalFormatting sqref="J147">
    <cfRule type="duplicateValues" dxfId="5962" priority="183"/>
  </conditionalFormatting>
  <conditionalFormatting sqref="J148">
    <cfRule type="duplicateValues" dxfId="5961" priority="119"/>
  </conditionalFormatting>
  <conditionalFormatting sqref="J149">
    <cfRule type="duplicateValues" dxfId="5960" priority="244"/>
  </conditionalFormatting>
  <conditionalFormatting sqref="J150">
    <cfRule type="duplicateValues" dxfId="5959" priority="98"/>
  </conditionalFormatting>
  <conditionalFormatting sqref="J152">
    <cfRule type="duplicateValues" dxfId="5958" priority="182"/>
  </conditionalFormatting>
  <conditionalFormatting sqref="J153">
    <cfRule type="duplicateValues" dxfId="5957" priority="264"/>
  </conditionalFormatting>
  <conditionalFormatting sqref="J154">
    <cfRule type="duplicateValues" dxfId="5956" priority="76"/>
  </conditionalFormatting>
  <conditionalFormatting sqref="J155">
    <cfRule type="duplicateValues" dxfId="5955" priority="203"/>
  </conditionalFormatting>
  <conditionalFormatting sqref="J156">
    <cfRule type="duplicateValues" dxfId="5954" priority="223"/>
  </conditionalFormatting>
  <conditionalFormatting sqref="J157">
    <cfRule type="duplicateValues" dxfId="5953" priority="55"/>
  </conditionalFormatting>
  <conditionalFormatting sqref="J159">
    <cfRule type="duplicateValues" dxfId="5952" priority="96"/>
  </conditionalFormatting>
  <conditionalFormatting sqref="J160">
    <cfRule type="duplicateValues" dxfId="5951" priority="117"/>
  </conditionalFormatting>
  <conditionalFormatting sqref="J161">
    <cfRule type="duplicateValues" dxfId="5950" priority="139"/>
  </conditionalFormatting>
  <conditionalFormatting sqref="J162">
    <cfRule type="duplicateValues" dxfId="5949" priority="160"/>
  </conditionalFormatting>
  <conditionalFormatting sqref="J163">
    <cfRule type="duplicateValues" dxfId="5948" priority="33"/>
  </conditionalFormatting>
  <conditionalFormatting sqref="J164">
    <cfRule type="duplicateValues" dxfId="5947" priority="242"/>
  </conditionalFormatting>
  <conditionalFormatting sqref="J166">
    <cfRule type="duplicateValues" dxfId="5946" priority="159"/>
  </conditionalFormatting>
  <conditionalFormatting sqref="J167">
    <cfRule type="duplicateValues" dxfId="5945" priority="201"/>
  </conditionalFormatting>
  <conditionalFormatting sqref="J168">
    <cfRule type="duplicateValues" dxfId="5944" priority="221"/>
  </conditionalFormatting>
  <conditionalFormatting sqref="J169">
    <cfRule type="duplicateValues" dxfId="5943" priority="180"/>
  </conditionalFormatting>
  <conditionalFormatting sqref="J170">
    <cfRule type="duplicateValues" dxfId="5942" priority="262"/>
  </conditionalFormatting>
  <conditionalFormatting sqref="J171">
    <cfRule type="duplicateValues" dxfId="5941" priority="74"/>
  </conditionalFormatting>
  <conditionalFormatting sqref="J173">
    <cfRule type="duplicateValues" dxfId="5940" priority="52"/>
  </conditionalFormatting>
  <conditionalFormatting sqref="J174">
    <cfRule type="duplicateValues" dxfId="5939" priority="31"/>
  </conditionalFormatting>
  <conditionalFormatting sqref="J175">
    <cfRule type="duplicateValues" dxfId="5938" priority="94"/>
  </conditionalFormatting>
  <conditionalFormatting sqref="J176">
    <cfRule type="duplicateValues" dxfId="5937" priority="115"/>
  </conditionalFormatting>
  <conditionalFormatting sqref="J177">
    <cfRule type="duplicateValues" dxfId="5936" priority="137"/>
  </conditionalFormatting>
  <conditionalFormatting sqref="J178">
    <cfRule type="duplicateValues" dxfId="5935" priority="241"/>
  </conditionalFormatting>
  <conditionalFormatting sqref="K3:K5 K7:K8">
    <cfRule type="duplicateValues" dxfId="5934" priority="2481"/>
  </conditionalFormatting>
  <conditionalFormatting sqref="K9:K21">
    <cfRule type="containsText" dxfId="5933" priority="2" operator="containsText" text="c'[Fixtures All.xlsx]Women Filtered'!$F$2">
      <formula>NOT(ISERROR(SEARCH("c'[Fixtures All.xlsx]Women Filtered'!$F$2",K9)))</formula>
    </cfRule>
  </conditionalFormatting>
  <conditionalFormatting sqref="K51:L51">
    <cfRule type="duplicateValues" dxfId="5932" priority="16"/>
  </conditionalFormatting>
  <conditionalFormatting sqref="K52:L52">
    <cfRule type="duplicateValues" dxfId="5931" priority="17"/>
  </conditionalFormatting>
  <conditionalFormatting sqref="L10:L21">
    <cfRule type="containsText" dxfId="5930" priority="6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4282FCE6-FB8A-4ED2-BBE8-955ED1C40DC1}"/>
    <hyperlink ref="K5:K6" location="'All Fixtures'!A1" display="See all NW Fixtures" xr:uid="{02C9616B-B281-4BB0-810E-1E6F7A3F64DB}"/>
  </hyperlinks>
  <pageMargins left="0.7" right="0.7" top="0.75" bottom="0.75" header="0.3" footer="0.3"/>
  <pageSetup paperSize="9" orientation="portrait" r:id="rId1"/>
  <ignoredErrors>
    <ignoredError sqref="J10:J21 K10:K21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59608-2554-4BFB-A59D-EF7BE6880E4E}">
  <dimension ref="A2:AQ178"/>
  <sheetViews>
    <sheetView workbookViewId="0"/>
  </sheetViews>
  <sheetFormatPr defaultRowHeight="14.4" x14ac:dyDescent="0.3"/>
  <cols>
    <col min="1" max="1" width="3.88671875" style="47" customWidth="1"/>
    <col min="2" max="2" width="32.21875" style="3" customWidth="1"/>
    <col min="3" max="3" width="27.21875" style="3" customWidth="1"/>
    <col min="4" max="4" width="33.6640625" style="3" customWidth="1"/>
    <col min="5" max="5" width="14.77734375" style="3" customWidth="1"/>
    <col min="6" max="6" width="31.109375" style="3" customWidth="1"/>
    <col min="7" max="7" width="13.109375" style="3" customWidth="1"/>
    <col min="8" max="8" width="32.6640625" style="3" customWidth="1"/>
    <col min="9" max="9" width="11.5546875" style="3" customWidth="1"/>
    <col min="10" max="10" width="4.6640625" style="3" customWidth="1"/>
    <col min="11" max="11" width="17.777343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43" t="s">
        <v>486</v>
      </c>
      <c r="F3" s="43"/>
      <c r="H3" s="43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D9" s="47"/>
      <c r="E9" s="47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COUNTIF(F$26:H$178,"Bebington 1")</f>
        <v>22</v>
      </c>
      <c r="B10" s="102" t="s">
        <v>97</v>
      </c>
      <c r="C10" s="74">
        <v>3362005</v>
      </c>
      <c r="D10" s="57">
        <f>COUNTIF(F$26:I$178,"3362005")</f>
        <v>22</v>
      </c>
      <c r="E10" s="47"/>
      <c r="F10" s="57">
        <f>COUNTIF(F$26:F$178,"Bebington 1")</f>
        <v>11</v>
      </c>
      <c r="G10" s="57"/>
      <c r="H10" s="57">
        <f>COUNTIF(H$26:H$178,"Bebington 1")</f>
        <v>11</v>
      </c>
      <c r="I10" s="57">
        <f>COUNTIF(F$26:F$101,"Bebington 1")</f>
        <v>6</v>
      </c>
      <c r="J10" s="57">
        <f>COUNTIF(F$102:F$178,"Bebington 1")</f>
        <v>5</v>
      </c>
      <c r="K10" s="57">
        <f>COUNTIF(H$26:H$101,"Bebington 1")</f>
        <v>5</v>
      </c>
      <c r="L10" s="57">
        <f>COUNTIF(H$102:H$178,"Bebington 1")</f>
        <v>6</v>
      </c>
    </row>
    <row r="11" spans="1:12" ht="15" customHeight="1" x14ac:dyDescent="0.3">
      <c r="A11" s="47">
        <f>COUNTIF(F$26:H$178,"Brooklands Manchester University 3")</f>
        <v>22</v>
      </c>
      <c r="B11" s="74" t="s">
        <v>406</v>
      </c>
      <c r="C11" s="74">
        <v>3124501</v>
      </c>
      <c r="D11" s="57">
        <f>COUNTIF(F$26:I$178,"3124501")</f>
        <v>22</v>
      </c>
      <c r="E11" s="47"/>
      <c r="F11" s="57">
        <f>COUNTIF(F$26:F$178,"Brooklands Manchester University 3")</f>
        <v>11</v>
      </c>
      <c r="G11" s="57"/>
      <c r="H11" s="57">
        <f>COUNTIF(H$26:H$178,"Brooklands Manchester University 3")</f>
        <v>11</v>
      </c>
      <c r="I11" s="57">
        <f>COUNTIF(F$26:F$101,"Brooklands Manchester University 3")</f>
        <v>6</v>
      </c>
      <c r="J11" s="57">
        <f>COUNTIF(F$102:F$178,"Brooklands Manchester University 3")</f>
        <v>5</v>
      </c>
      <c r="K11" s="57">
        <f>COUNTIF(H$26:H$101,"Brooklands Manchester University 3")</f>
        <v>5</v>
      </c>
      <c r="L11" s="57">
        <f>COUNTIF(H$102:H$178,"Brooklands Manchester University 3")</f>
        <v>6</v>
      </c>
    </row>
    <row r="12" spans="1:12" ht="15" customHeight="1" x14ac:dyDescent="0.3">
      <c r="A12" s="47">
        <f>COUNTIF(F$26:H$178,"Chester 2")</f>
        <v>22</v>
      </c>
      <c r="B12" s="102" t="s">
        <v>108</v>
      </c>
      <c r="C12" s="53">
        <v>3359700</v>
      </c>
      <c r="D12" s="57">
        <f>COUNTIF(F$26:I$178,"3359700")</f>
        <v>22</v>
      </c>
      <c r="E12" s="47"/>
      <c r="F12" s="57">
        <f>COUNTIF(F$26:F$178,"Chester 2")</f>
        <v>11</v>
      </c>
      <c r="G12" s="57"/>
      <c r="H12" s="57">
        <f>COUNTIF(H$26:H$178,"Chester 2")</f>
        <v>11</v>
      </c>
      <c r="I12" s="57">
        <f>COUNTIF(F$26:F$101,"Chester 2")</f>
        <v>5</v>
      </c>
      <c r="J12" s="57">
        <f>COUNTIF(F$102:F$178,"Chester 2")</f>
        <v>6</v>
      </c>
      <c r="K12" s="57">
        <f>COUNTIF(H$26:H$101,"Chester 2")</f>
        <v>6</v>
      </c>
      <c r="L12" s="57">
        <f>COUNTIF(H$102:H$178,"Chester 2")</f>
        <v>5</v>
      </c>
    </row>
    <row r="13" spans="1:12" ht="15" customHeight="1" x14ac:dyDescent="0.3">
      <c r="A13" s="47">
        <f>COUNTIF(F$26:H$178,"City of Manchester 1")</f>
        <v>22</v>
      </c>
      <c r="B13" s="3" t="s">
        <v>109</v>
      </c>
      <c r="C13" s="74">
        <v>3067701</v>
      </c>
      <c r="D13" s="57">
        <f>COUNTIF(F$26:I$178,"3067701")</f>
        <v>22</v>
      </c>
      <c r="E13" s="47"/>
      <c r="F13" s="57">
        <f>COUNTIF(F$26:F$178,"City of Manchester 1")</f>
        <v>11</v>
      </c>
      <c r="G13" s="57"/>
      <c r="H13" s="57">
        <f>COUNTIF(H$26:H$178,"City of Manchester 1")</f>
        <v>11</v>
      </c>
      <c r="I13" s="57">
        <f>COUNTIF(F$26:F$101,"City of Manchester 1")</f>
        <v>5</v>
      </c>
      <c r="J13" s="57">
        <f>COUNTIF(F$102:F$178,"City of Manchester 1")</f>
        <v>6</v>
      </c>
      <c r="K13" s="57">
        <f>COUNTIF(H$26:H$101,"City of Manchester 1")</f>
        <v>6</v>
      </c>
      <c r="L13" s="57">
        <f>COUNTIF(H$102:H$178,"City of Manchester 1")</f>
        <v>5</v>
      </c>
    </row>
    <row r="14" spans="1:12" ht="15" customHeight="1" x14ac:dyDescent="0.3">
      <c r="A14" s="47">
        <f>COUNTIF(F$26:H$178,"Clitheroe Blackburn Northern 1")</f>
        <v>22</v>
      </c>
      <c r="B14" s="102" t="s">
        <v>98</v>
      </c>
      <c r="C14" s="74">
        <v>3358909</v>
      </c>
      <c r="D14" s="57">
        <f>COUNTIF(F$26:I$178,"3358909")</f>
        <v>22</v>
      </c>
      <c r="E14" s="47"/>
      <c r="F14" s="57">
        <f>COUNTIF(F$26:F$178,"Clitheroe Blackburn Northern 1")</f>
        <v>11</v>
      </c>
      <c r="G14" s="57"/>
      <c r="H14" s="57">
        <f>COUNTIF(H$26:H$178,"Clitheroe Blackburn Northern 1")</f>
        <v>11</v>
      </c>
      <c r="I14" s="57">
        <f>COUNTIF(F$26:F$101,"Clitheroe Blackburn Northern 1")</f>
        <v>6</v>
      </c>
      <c r="J14" s="57">
        <f>COUNTIF(F$102:F$178,"Clitheroe Blackburn Northern 1")</f>
        <v>5</v>
      </c>
      <c r="K14" s="57">
        <f>COUNTIF(H$26:H$101,"Clitheroe Blackburn Northern 1")</f>
        <v>5</v>
      </c>
      <c r="L14" s="57">
        <f>COUNTIF(H$102:H$178,"Clitheroe Blackburn Northern 1")</f>
        <v>6</v>
      </c>
    </row>
    <row r="15" spans="1:12" ht="15" customHeight="1" x14ac:dyDescent="0.3">
      <c r="A15" s="47">
        <f>COUNTIF(F$26:H$178,"Clwb Hoci Eirias 1")</f>
        <v>22</v>
      </c>
      <c r="B15" s="74" t="s">
        <v>110</v>
      </c>
      <c r="C15" s="53">
        <v>3359106</v>
      </c>
      <c r="D15" s="57">
        <f>COUNTIF(F$26:I$178,"3359106")</f>
        <v>22</v>
      </c>
      <c r="E15" s="47"/>
      <c r="F15" s="57">
        <f>COUNTIF(F$26:F$178,"Clwb Hoci Eirias 1")</f>
        <v>11</v>
      </c>
      <c r="G15" s="57"/>
      <c r="H15" s="57">
        <f>COUNTIF(H$26:H$178,"Clwb Hoci Eirias 1")</f>
        <v>11</v>
      </c>
      <c r="I15" s="57">
        <f>COUNTIF(F$26:F$101,"Clwb Hoci Eirias 1")</f>
        <v>6</v>
      </c>
      <c r="J15" s="57">
        <f>COUNTIF(F$102:F$178,"Clwb Hoci Eirias 1")</f>
        <v>5</v>
      </c>
      <c r="K15" s="57">
        <f>COUNTIF(H$26:H$101,"Clwb Hoci Eirias 1")</f>
        <v>5</v>
      </c>
      <c r="L15" s="57">
        <f>COUNTIF(H$102:H$178,"Clwb Hoci Eirias 1")</f>
        <v>6</v>
      </c>
    </row>
    <row r="16" spans="1:12" x14ac:dyDescent="0.3">
      <c r="A16" s="47">
        <f>COUNTIF(F$26:H$178,"Golborne &amp; Prescot 1")</f>
        <v>22</v>
      </c>
      <c r="B16" s="53" t="s">
        <v>559</v>
      </c>
      <c r="C16" s="74">
        <v>3969200</v>
      </c>
      <c r="D16" s="57">
        <f>COUNTIF(F$26:I$178,"3969200")</f>
        <v>22</v>
      </c>
      <c r="E16" s="47"/>
      <c r="F16" s="57">
        <f>COUNTIF(F$26:F$178,"Golborne &amp; Prescot 1")</f>
        <v>11</v>
      </c>
      <c r="G16" s="57"/>
      <c r="H16" s="57">
        <f>COUNTIF(H$26:H$178,"Golborne &amp; Prescot 1")</f>
        <v>11</v>
      </c>
      <c r="I16" s="57">
        <f>COUNTIF(F$26:F$101,"Golborne &amp; Prescot 1")</f>
        <v>5</v>
      </c>
      <c r="J16" s="57">
        <f>COUNTIF(F$102:F$178,"Golborne &amp; Prescot 1")</f>
        <v>6</v>
      </c>
      <c r="K16" s="57">
        <f>COUNTIF(H$26:H$101,"Golborne &amp; Prescot 1")</f>
        <v>6</v>
      </c>
      <c r="L16" s="57">
        <f>COUNTIF(H$102:H$178,"Golborne &amp; Prescot 1")</f>
        <v>5</v>
      </c>
    </row>
    <row r="17" spans="1:12" x14ac:dyDescent="0.3">
      <c r="A17" s="47">
        <f>COUNTIF(F$26:H$178,"Liverpool Sefton 1")</f>
        <v>22</v>
      </c>
      <c r="B17" s="102" t="s">
        <v>102</v>
      </c>
      <c r="C17" s="74">
        <v>3125406</v>
      </c>
      <c r="D17" s="57">
        <f>COUNTIF(F$26:I$178,"3125406")</f>
        <v>22</v>
      </c>
      <c r="E17" s="47"/>
      <c r="F17" s="57">
        <f>COUNTIF(F$26:F$178,"Liverpool Sefton 1")</f>
        <v>11</v>
      </c>
      <c r="G17" s="57"/>
      <c r="H17" s="57">
        <f>COUNTIF(H$26:H$178,"Liverpool Sefton 1")</f>
        <v>11</v>
      </c>
      <c r="I17" s="57">
        <f>COUNTIF(F$26:F$101,"Liverpool Sefton 1")</f>
        <v>6</v>
      </c>
      <c r="J17" s="57">
        <f>COUNTIF(F$102:F$178,"Liverpool Sefton 1")</f>
        <v>5</v>
      </c>
      <c r="K17" s="57">
        <f>COUNTIF(H$26:H$101,"Liverpool Sefton 1")</f>
        <v>5</v>
      </c>
      <c r="L17" s="57">
        <f>COUNTIF(H$102:H$178,"Liverpool Sefton 1")</f>
        <v>6</v>
      </c>
    </row>
    <row r="18" spans="1:12" x14ac:dyDescent="0.3">
      <c r="A18" s="47">
        <f>COUNTIF(F$26:H$178,"Neston 2")</f>
        <v>22</v>
      </c>
      <c r="B18" s="102" t="s">
        <v>103</v>
      </c>
      <c r="C18" s="74">
        <v>3353206</v>
      </c>
      <c r="D18" s="57">
        <f>COUNTIF(F$26:I$178,"3353206")</f>
        <v>22</v>
      </c>
      <c r="E18" s="47"/>
      <c r="F18" s="57">
        <f>COUNTIF(F$26:F$178,"Neston 2")</f>
        <v>11</v>
      </c>
      <c r="G18" s="57"/>
      <c r="H18" s="57">
        <f>COUNTIF(H$26:H$178,"Neston 2")</f>
        <v>11</v>
      </c>
      <c r="I18" s="57">
        <f>COUNTIF(F$26:F$101,"Neston 2")</f>
        <v>5</v>
      </c>
      <c r="J18" s="57">
        <f>COUNTIF(F$102:F$178,"Neston 2")</f>
        <v>6</v>
      </c>
      <c r="K18" s="57">
        <f>COUNTIF(H$26:H$101,"Neston 2")</f>
        <v>6</v>
      </c>
      <c r="L18" s="57">
        <f>COUNTIF(H$102:H$178,"Neston 2")</f>
        <v>5</v>
      </c>
    </row>
    <row r="19" spans="1:12" ht="14.4" customHeight="1" x14ac:dyDescent="0.3">
      <c r="A19" s="47">
        <f>COUNTIF(F$26:H$178,"Preston 2")</f>
        <v>22</v>
      </c>
      <c r="B19" s="74" t="s">
        <v>104</v>
      </c>
      <c r="C19" s="53">
        <v>3036308</v>
      </c>
      <c r="D19" s="57">
        <f>COUNTIF(F$26:I$178,"3036308")</f>
        <v>22</v>
      </c>
      <c r="E19" s="47"/>
      <c r="F19" s="57">
        <f>COUNTIF(F$26:F$178,"Preston 2")</f>
        <v>11</v>
      </c>
      <c r="G19" s="57"/>
      <c r="H19" s="57">
        <f>COUNTIF(H$26:H$178,"Preston 2")</f>
        <v>11</v>
      </c>
      <c r="I19" s="57">
        <f>COUNTIF(F$26:F$101,"Preston 2")</f>
        <v>6</v>
      </c>
      <c r="J19" s="57">
        <f>COUNTIF(F$102:F$178,"Preston 2")</f>
        <v>5</v>
      </c>
      <c r="K19" s="57">
        <f>COUNTIF(H$26:H$101,"Preston 2")</f>
        <v>5</v>
      </c>
      <c r="L19" s="57">
        <f>COUNTIF(H$102:H$178,"Preston 2")</f>
        <v>6</v>
      </c>
    </row>
    <row r="20" spans="1:12" x14ac:dyDescent="0.3">
      <c r="A20" s="47">
        <f>COUNTIF(F$26:H$178,"Urmston 1")</f>
        <v>22</v>
      </c>
      <c r="B20" s="102" t="s">
        <v>105</v>
      </c>
      <c r="C20" s="74">
        <v>3035809</v>
      </c>
      <c r="D20" s="57">
        <f>COUNTIF(F$26:I$178,"3035809")</f>
        <v>22</v>
      </c>
      <c r="E20" s="47"/>
      <c r="F20" s="57">
        <f>COUNTIF(F$26:F$178,"Urmston 1")</f>
        <v>11</v>
      </c>
      <c r="G20" s="57"/>
      <c r="H20" s="57">
        <f>COUNTIF(H$26:H$178,"Urmston 1")</f>
        <v>11</v>
      </c>
      <c r="I20" s="57">
        <f>COUNTIF(F$26:F$101,"Urmston 1")</f>
        <v>5</v>
      </c>
      <c r="J20" s="57">
        <f>COUNTIF(F$102:F$178,"Urmston 1")</f>
        <v>6</v>
      </c>
      <c r="K20" s="57">
        <f>COUNTIF(H$26:H$101,"Urmston 1")</f>
        <v>6</v>
      </c>
      <c r="L20" s="57">
        <f>COUNTIF(H$102:H$178,"Urmston 1")</f>
        <v>5</v>
      </c>
    </row>
    <row r="21" spans="1:12" x14ac:dyDescent="0.3">
      <c r="A21" s="47">
        <f>COUNTIF(F$26:H$178,"West Derby 1")</f>
        <v>22</v>
      </c>
      <c r="B21" s="102" t="s">
        <v>106</v>
      </c>
      <c r="C21" s="74">
        <v>3067607</v>
      </c>
      <c r="D21" s="57">
        <f>COUNTIF(F$26:I$178,"3067607")</f>
        <v>22</v>
      </c>
      <c r="E21" s="47"/>
      <c r="F21" s="57">
        <f>COUNTIF(F$26:F$178,"West Derby 1")</f>
        <v>11</v>
      </c>
      <c r="G21" s="57"/>
      <c r="H21" s="57">
        <f>COUNTIF(H$26:H$178,"West Derby 1")</f>
        <v>11</v>
      </c>
      <c r="I21" s="57">
        <f>COUNTIF(F$26:F$101,"West Derby 1")</f>
        <v>5</v>
      </c>
      <c r="J21" s="57">
        <f>COUNTIF(F$102:F$178,"West Derby 1")</f>
        <v>6</v>
      </c>
      <c r="K21" s="57">
        <f>COUNTIF(H$26:H$101,"West Derby 1")</f>
        <v>6</v>
      </c>
      <c r="L21" s="57">
        <f>COUNTIF(H$102:H$178,"West Derby 1")</f>
        <v>5</v>
      </c>
    </row>
    <row r="22" spans="1:12" x14ac:dyDescent="0.3">
      <c r="D22" s="47"/>
      <c r="E22" s="47"/>
      <c r="F22" s="47"/>
      <c r="G22" s="47"/>
      <c r="H22" s="47"/>
      <c r="I22" s="47"/>
      <c r="J22" s="47"/>
    </row>
    <row r="23" spans="1:12" ht="21" x14ac:dyDescent="0.4">
      <c r="B23" s="22" t="s">
        <v>93</v>
      </c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5" spans="1:12" x14ac:dyDescent="0.3">
      <c r="B25" s="40"/>
      <c r="C25" s="14"/>
      <c r="D25" s="14"/>
      <c r="E25" s="14"/>
      <c r="F25" s="14"/>
      <c r="G25" s="14"/>
      <c r="H25" s="14"/>
      <c r="I25" s="14"/>
    </row>
    <row r="26" spans="1:12" x14ac:dyDescent="0.3">
      <c r="B26" s="44">
        <v>45913</v>
      </c>
      <c r="C26" s="3" t="s">
        <v>416</v>
      </c>
      <c r="D26" s="3" t="s">
        <v>486</v>
      </c>
      <c r="E26" s="101"/>
      <c r="F26" s="4" t="s">
        <v>559</v>
      </c>
      <c r="G26" s="4">
        <v>3969200</v>
      </c>
      <c r="H26" s="3" t="s">
        <v>109</v>
      </c>
      <c r="I26" s="4">
        <v>3067701</v>
      </c>
      <c r="J26" s="4"/>
      <c r="K26" s="4"/>
    </row>
    <row r="27" spans="1:12" x14ac:dyDescent="0.3">
      <c r="B27" s="44">
        <v>45913</v>
      </c>
      <c r="C27" s="3" t="s">
        <v>416</v>
      </c>
      <c r="D27" s="3" t="s">
        <v>486</v>
      </c>
      <c r="E27" s="101"/>
      <c r="F27" s="4" t="s">
        <v>102</v>
      </c>
      <c r="G27" s="4">
        <v>3125406</v>
      </c>
      <c r="H27" s="3" t="s">
        <v>103</v>
      </c>
      <c r="I27" s="4">
        <v>3353206</v>
      </c>
    </row>
    <row r="28" spans="1:12" x14ac:dyDescent="0.3">
      <c r="B28" s="44">
        <v>45913</v>
      </c>
      <c r="C28" s="3" t="s">
        <v>416</v>
      </c>
      <c r="D28" s="3" t="s">
        <v>486</v>
      </c>
      <c r="E28" s="101"/>
      <c r="F28" s="4" t="s">
        <v>98</v>
      </c>
      <c r="G28" s="4">
        <v>3358909</v>
      </c>
      <c r="H28" s="3" t="s">
        <v>105</v>
      </c>
      <c r="I28" s="4">
        <v>3035809</v>
      </c>
    </row>
    <row r="29" spans="1:12" x14ac:dyDescent="0.3">
      <c r="B29" s="44">
        <v>45913</v>
      </c>
      <c r="C29" s="3" t="s">
        <v>416</v>
      </c>
      <c r="D29" s="3" t="s">
        <v>486</v>
      </c>
      <c r="E29" s="101"/>
      <c r="F29" s="4" t="s">
        <v>104</v>
      </c>
      <c r="G29" s="4">
        <v>3036308</v>
      </c>
      <c r="H29" s="3" t="s">
        <v>108</v>
      </c>
      <c r="I29" s="4">
        <v>3359700</v>
      </c>
    </row>
    <row r="30" spans="1:12" x14ac:dyDescent="0.3">
      <c r="B30" s="44">
        <v>45913</v>
      </c>
      <c r="C30" s="3" t="s">
        <v>416</v>
      </c>
      <c r="D30" s="3" t="s">
        <v>486</v>
      </c>
      <c r="E30" s="101"/>
      <c r="F30" s="4" t="s">
        <v>110</v>
      </c>
      <c r="G30" s="4">
        <v>3359106</v>
      </c>
      <c r="H30" s="3" t="s">
        <v>106</v>
      </c>
      <c r="I30" s="4">
        <v>3067607</v>
      </c>
    </row>
    <row r="31" spans="1:12" x14ac:dyDescent="0.3">
      <c r="B31" s="44">
        <v>45913</v>
      </c>
      <c r="C31" s="3" t="s">
        <v>416</v>
      </c>
      <c r="D31" s="3" t="s">
        <v>486</v>
      </c>
      <c r="E31" s="101"/>
      <c r="F31" s="4" t="s">
        <v>97</v>
      </c>
      <c r="G31" s="4">
        <v>3362005</v>
      </c>
      <c r="H31" s="3" t="s">
        <v>406</v>
      </c>
      <c r="I31" s="4">
        <v>3124501</v>
      </c>
    </row>
    <row r="32" spans="1:12" x14ac:dyDescent="0.3">
      <c r="B32" s="4"/>
      <c r="E32" s="101"/>
      <c r="F32" s="4"/>
    </row>
    <row r="33" spans="2:9" x14ac:dyDescent="0.3">
      <c r="B33" s="44">
        <v>45920</v>
      </c>
      <c r="C33" s="3" t="s">
        <v>416</v>
      </c>
      <c r="D33" s="3" t="s">
        <v>486</v>
      </c>
      <c r="E33" s="101"/>
      <c r="F33" s="3" t="s">
        <v>406</v>
      </c>
      <c r="G33" s="4">
        <v>3124501</v>
      </c>
      <c r="H33" s="3" t="s">
        <v>559</v>
      </c>
      <c r="I33" s="4">
        <v>3969200</v>
      </c>
    </row>
    <row r="34" spans="2:9" x14ac:dyDescent="0.3">
      <c r="B34" s="44">
        <v>45920</v>
      </c>
      <c r="C34" s="3" t="s">
        <v>416</v>
      </c>
      <c r="D34" s="3" t="s">
        <v>486</v>
      </c>
      <c r="E34" s="101"/>
      <c r="F34" s="3" t="s">
        <v>106</v>
      </c>
      <c r="G34" s="4">
        <v>3067607</v>
      </c>
      <c r="H34" s="4" t="s">
        <v>97</v>
      </c>
      <c r="I34" s="4">
        <v>3362005</v>
      </c>
    </row>
    <row r="35" spans="2:9" x14ac:dyDescent="0.3">
      <c r="B35" s="44">
        <v>45920</v>
      </c>
      <c r="C35" s="3" t="s">
        <v>416</v>
      </c>
      <c r="D35" s="3" t="s">
        <v>486</v>
      </c>
      <c r="E35" s="101"/>
      <c r="F35" s="3" t="s">
        <v>108</v>
      </c>
      <c r="G35" s="4">
        <v>3359700</v>
      </c>
      <c r="H35" s="4" t="s">
        <v>110</v>
      </c>
      <c r="I35" s="4">
        <v>3359106</v>
      </c>
    </row>
    <row r="36" spans="2:9" x14ac:dyDescent="0.3">
      <c r="B36" s="44">
        <v>45920</v>
      </c>
      <c r="C36" s="3" t="s">
        <v>416</v>
      </c>
      <c r="D36" s="3" t="s">
        <v>486</v>
      </c>
      <c r="E36" s="101"/>
      <c r="F36" s="3" t="s">
        <v>109</v>
      </c>
      <c r="G36" s="4">
        <v>3067701</v>
      </c>
      <c r="H36" s="4" t="s">
        <v>102</v>
      </c>
      <c r="I36" s="4">
        <v>3125406</v>
      </c>
    </row>
    <row r="37" spans="2:9" x14ac:dyDescent="0.3">
      <c r="B37" s="44">
        <v>45920</v>
      </c>
      <c r="C37" s="3" t="s">
        <v>416</v>
      </c>
      <c r="D37" s="3" t="s">
        <v>486</v>
      </c>
      <c r="E37" s="101"/>
      <c r="F37" s="3" t="s">
        <v>105</v>
      </c>
      <c r="G37" s="4">
        <v>3035809</v>
      </c>
      <c r="H37" s="4" t="s">
        <v>104</v>
      </c>
      <c r="I37" s="4">
        <v>3036308</v>
      </c>
    </row>
    <row r="38" spans="2:9" x14ac:dyDescent="0.3">
      <c r="B38" s="44">
        <v>45920</v>
      </c>
      <c r="C38" s="3" t="s">
        <v>416</v>
      </c>
      <c r="D38" s="3" t="s">
        <v>486</v>
      </c>
      <c r="E38" s="101"/>
      <c r="F38" s="3" t="s">
        <v>103</v>
      </c>
      <c r="G38" s="4">
        <v>3353206</v>
      </c>
      <c r="H38" s="4" t="s">
        <v>98</v>
      </c>
      <c r="I38" s="4">
        <v>3358909</v>
      </c>
    </row>
    <row r="39" spans="2:9" x14ac:dyDescent="0.3">
      <c r="B39" s="4"/>
      <c r="E39" s="101"/>
      <c r="F39" s="4"/>
    </row>
    <row r="40" spans="2:9" x14ac:dyDescent="0.3">
      <c r="B40" s="44">
        <v>45927</v>
      </c>
      <c r="C40" s="3" t="s">
        <v>416</v>
      </c>
      <c r="D40" s="3" t="s">
        <v>486</v>
      </c>
      <c r="E40" s="101"/>
      <c r="F40" s="3" t="s">
        <v>406</v>
      </c>
      <c r="G40" s="4">
        <v>3124501</v>
      </c>
      <c r="H40" s="3" t="s">
        <v>106</v>
      </c>
      <c r="I40" s="4">
        <v>3067607</v>
      </c>
    </row>
    <row r="41" spans="2:9" x14ac:dyDescent="0.3">
      <c r="B41" s="44">
        <v>45927</v>
      </c>
      <c r="C41" s="3" t="s">
        <v>416</v>
      </c>
      <c r="D41" s="3" t="s">
        <v>486</v>
      </c>
      <c r="E41" s="101"/>
      <c r="F41" s="4" t="s">
        <v>102</v>
      </c>
      <c r="G41" s="4">
        <v>3125406</v>
      </c>
      <c r="H41" s="3" t="s">
        <v>559</v>
      </c>
      <c r="I41" s="4">
        <v>3969200</v>
      </c>
    </row>
    <row r="42" spans="2:9" x14ac:dyDescent="0.3">
      <c r="B42" s="44">
        <v>45927</v>
      </c>
      <c r="C42" s="3" t="s">
        <v>416</v>
      </c>
      <c r="D42" s="3" t="s">
        <v>486</v>
      </c>
      <c r="E42" s="101"/>
      <c r="F42" s="4" t="s">
        <v>98</v>
      </c>
      <c r="G42" s="4">
        <v>3358909</v>
      </c>
      <c r="H42" s="3" t="s">
        <v>109</v>
      </c>
      <c r="I42" s="4">
        <v>3067701</v>
      </c>
    </row>
    <row r="43" spans="2:9" x14ac:dyDescent="0.3">
      <c r="B43" s="44">
        <v>45927</v>
      </c>
      <c r="C43" s="3" t="s">
        <v>416</v>
      </c>
      <c r="D43" s="3" t="s">
        <v>486</v>
      </c>
      <c r="E43" s="101"/>
      <c r="F43" s="4" t="s">
        <v>104</v>
      </c>
      <c r="G43" s="4">
        <v>3036308</v>
      </c>
      <c r="H43" s="3" t="s">
        <v>103</v>
      </c>
      <c r="I43" s="4">
        <v>3353206</v>
      </c>
    </row>
    <row r="44" spans="2:9" x14ac:dyDescent="0.3">
      <c r="B44" s="44">
        <v>45927</v>
      </c>
      <c r="C44" s="3" t="s">
        <v>416</v>
      </c>
      <c r="D44" s="3" t="s">
        <v>486</v>
      </c>
      <c r="E44" s="101"/>
      <c r="F44" s="4" t="s">
        <v>110</v>
      </c>
      <c r="G44" s="4">
        <v>3359106</v>
      </c>
      <c r="H44" s="3" t="s">
        <v>105</v>
      </c>
      <c r="I44" s="4">
        <v>3035809</v>
      </c>
    </row>
    <row r="45" spans="2:9" x14ac:dyDescent="0.3">
      <c r="B45" s="44">
        <v>45927</v>
      </c>
      <c r="C45" s="3" t="s">
        <v>416</v>
      </c>
      <c r="D45" s="3" t="s">
        <v>486</v>
      </c>
      <c r="E45" s="101"/>
      <c r="F45" s="4" t="s">
        <v>97</v>
      </c>
      <c r="G45" s="4">
        <v>3362005</v>
      </c>
      <c r="H45" s="3" t="s">
        <v>108</v>
      </c>
      <c r="I45" s="4">
        <v>3359700</v>
      </c>
    </row>
    <row r="46" spans="2:9" x14ac:dyDescent="0.3">
      <c r="B46" s="4"/>
      <c r="E46" s="101"/>
      <c r="F46" s="4"/>
    </row>
    <row r="47" spans="2:9" x14ac:dyDescent="0.3">
      <c r="B47" s="44">
        <v>45934</v>
      </c>
      <c r="C47" s="3" t="s">
        <v>416</v>
      </c>
      <c r="D47" s="3" t="s">
        <v>486</v>
      </c>
      <c r="E47" s="101"/>
      <c r="F47" s="4" t="s">
        <v>559</v>
      </c>
      <c r="G47" s="4">
        <v>3969200</v>
      </c>
      <c r="H47" s="4" t="s">
        <v>98</v>
      </c>
      <c r="I47" s="4">
        <v>3358909</v>
      </c>
    </row>
    <row r="48" spans="2:9" x14ac:dyDescent="0.3">
      <c r="B48" s="44">
        <v>45934</v>
      </c>
      <c r="C48" s="3" t="s">
        <v>416</v>
      </c>
      <c r="D48" s="3" t="s">
        <v>486</v>
      </c>
      <c r="E48" s="101"/>
      <c r="F48" s="4" t="s">
        <v>102</v>
      </c>
      <c r="G48" s="4">
        <v>3125406</v>
      </c>
      <c r="H48" s="3" t="s">
        <v>406</v>
      </c>
      <c r="I48" s="4">
        <v>3124501</v>
      </c>
    </row>
    <row r="49" spans="2:9" x14ac:dyDescent="0.3">
      <c r="B49" s="44">
        <v>45934</v>
      </c>
      <c r="C49" s="3" t="s">
        <v>416</v>
      </c>
      <c r="D49" s="3" t="s">
        <v>486</v>
      </c>
      <c r="E49" s="101"/>
      <c r="F49" s="3" t="s">
        <v>108</v>
      </c>
      <c r="G49" s="4">
        <v>3359700</v>
      </c>
      <c r="H49" s="3" t="s">
        <v>106</v>
      </c>
      <c r="I49" s="4">
        <v>3067607</v>
      </c>
    </row>
    <row r="50" spans="2:9" x14ac:dyDescent="0.3">
      <c r="B50" s="44">
        <v>45934</v>
      </c>
      <c r="C50" s="3" t="s">
        <v>416</v>
      </c>
      <c r="D50" s="3" t="s">
        <v>486</v>
      </c>
      <c r="E50" s="101"/>
      <c r="F50" s="3" t="s">
        <v>109</v>
      </c>
      <c r="G50" s="4">
        <v>3067701</v>
      </c>
      <c r="H50" s="4" t="s">
        <v>104</v>
      </c>
      <c r="I50" s="4">
        <v>3036308</v>
      </c>
    </row>
    <row r="51" spans="2:9" x14ac:dyDescent="0.3">
      <c r="B51" s="44">
        <v>45934</v>
      </c>
      <c r="C51" s="3" t="s">
        <v>416</v>
      </c>
      <c r="D51" s="3" t="s">
        <v>486</v>
      </c>
      <c r="E51" s="101"/>
      <c r="F51" s="3" t="s">
        <v>105</v>
      </c>
      <c r="G51" s="4">
        <v>3035809</v>
      </c>
      <c r="H51" s="4" t="s">
        <v>97</v>
      </c>
      <c r="I51" s="4">
        <v>3362005</v>
      </c>
    </row>
    <row r="52" spans="2:9" x14ac:dyDescent="0.3">
      <c r="B52" s="44">
        <v>45934</v>
      </c>
      <c r="C52" s="3" t="s">
        <v>416</v>
      </c>
      <c r="D52" s="3" t="s">
        <v>486</v>
      </c>
      <c r="E52" s="101"/>
      <c r="F52" s="3" t="s">
        <v>103</v>
      </c>
      <c r="G52" s="4">
        <v>3353206</v>
      </c>
      <c r="H52" s="4" t="s">
        <v>110</v>
      </c>
      <c r="I52" s="4">
        <v>3359106</v>
      </c>
    </row>
    <row r="53" spans="2:9" x14ac:dyDescent="0.3">
      <c r="B53" s="4"/>
      <c r="E53" s="101"/>
      <c r="F53" s="4"/>
    </row>
    <row r="54" spans="2:9" x14ac:dyDescent="0.3">
      <c r="B54" s="44">
        <v>45941</v>
      </c>
      <c r="C54" s="3" t="s">
        <v>416</v>
      </c>
      <c r="D54" s="3" t="s">
        <v>486</v>
      </c>
      <c r="E54" s="101"/>
      <c r="F54" s="3" t="s">
        <v>406</v>
      </c>
      <c r="G54" s="4">
        <v>3124501</v>
      </c>
      <c r="H54" s="3" t="s">
        <v>108</v>
      </c>
      <c r="I54" s="4">
        <v>3359700</v>
      </c>
    </row>
    <row r="55" spans="2:9" x14ac:dyDescent="0.3">
      <c r="B55" s="44">
        <v>45941</v>
      </c>
      <c r="C55" s="3" t="s">
        <v>416</v>
      </c>
      <c r="D55" s="3" t="s">
        <v>486</v>
      </c>
      <c r="E55" s="101"/>
      <c r="F55" s="3" t="s">
        <v>106</v>
      </c>
      <c r="G55" s="4">
        <v>3067607</v>
      </c>
      <c r="H55" s="3" t="s">
        <v>105</v>
      </c>
      <c r="I55" s="4">
        <v>3035809</v>
      </c>
    </row>
    <row r="56" spans="2:9" x14ac:dyDescent="0.3">
      <c r="B56" s="44">
        <v>45941</v>
      </c>
      <c r="C56" s="3" t="s">
        <v>416</v>
      </c>
      <c r="D56" s="3" t="s">
        <v>486</v>
      </c>
      <c r="E56" s="101"/>
      <c r="F56" s="4" t="s">
        <v>98</v>
      </c>
      <c r="G56" s="4">
        <v>3358909</v>
      </c>
      <c r="H56" s="4" t="s">
        <v>102</v>
      </c>
      <c r="I56" s="4">
        <v>3125406</v>
      </c>
    </row>
    <row r="57" spans="2:9" x14ac:dyDescent="0.3">
      <c r="B57" s="44">
        <v>45941</v>
      </c>
      <c r="C57" s="3" t="s">
        <v>416</v>
      </c>
      <c r="D57" s="3" t="s">
        <v>486</v>
      </c>
      <c r="E57" s="101"/>
      <c r="F57" s="4" t="s">
        <v>104</v>
      </c>
      <c r="G57" s="4">
        <v>3036308</v>
      </c>
      <c r="H57" s="3" t="s">
        <v>559</v>
      </c>
      <c r="I57" s="4">
        <v>3969200</v>
      </c>
    </row>
    <row r="58" spans="2:9" x14ac:dyDescent="0.3">
      <c r="B58" s="44">
        <v>45941</v>
      </c>
      <c r="C58" s="3" t="s">
        <v>416</v>
      </c>
      <c r="D58" s="3" t="s">
        <v>486</v>
      </c>
      <c r="E58" s="101"/>
      <c r="F58" s="4" t="s">
        <v>110</v>
      </c>
      <c r="G58" s="4">
        <v>3359106</v>
      </c>
      <c r="H58" s="3" t="s">
        <v>109</v>
      </c>
      <c r="I58" s="4">
        <v>3067701</v>
      </c>
    </row>
    <row r="59" spans="2:9" x14ac:dyDescent="0.3">
      <c r="B59" s="44">
        <v>45941</v>
      </c>
      <c r="C59" s="3" t="s">
        <v>416</v>
      </c>
      <c r="D59" s="3" t="s">
        <v>486</v>
      </c>
      <c r="E59" s="101"/>
      <c r="F59" s="4" t="s">
        <v>97</v>
      </c>
      <c r="G59" s="4">
        <v>3362005</v>
      </c>
      <c r="H59" s="3" t="s">
        <v>103</v>
      </c>
      <c r="I59" s="4">
        <v>3353206</v>
      </c>
    </row>
    <row r="60" spans="2:9" x14ac:dyDescent="0.3">
      <c r="B60" s="4"/>
      <c r="E60" s="101"/>
      <c r="F60" s="4"/>
    </row>
    <row r="61" spans="2:9" x14ac:dyDescent="0.3">
      <c r="B61" s="44">
        <v>45948</v>
      </c>
      <c r="C61" s="3" t="s">
        <v>416</v>
      </c>
      <c r="D61" s="3" t="s">
        <v>486</v>
      </c>
      <c r="E61" s="101"/>
      <c r="F61" s="4" t="s">
        <v>559</v>
      </c>
      <c r="G61" s="4">
        <v>3969200</v>
      </c>
      <c r="H61" s="4" t="s">
        <v>110</v>
      </c>
      <c r="I61" s="4">
        <v>3359106</v>
      </c>
    </row>
    <row r="62" spans="2:9" x14ac:dyDescent="0.3">
      <c r="B62" s="44">
        <v>45948</v>
      </c>
      <c r="C62" s="3" t="s">
        <v>416</v>
      </c>
      <c r="D62" s="3" t="s">
        <v>486</v>
      </c>
      <c r="E62" s="101"/>
      <c r="F62" s="4" t="s">
        <v>102</v>
      </c>
      <c r="G62" s="4">
        <v>3125406</v>
      </c>
      <c r="H62" s="4" t="s">
        <v>104</v>
      </c>
      <c r="I62" s="4">
        <v>3036308</v>
      </c>
    </row>
    <row r="63" spans="2:9" x14ac:dyDescent="0.3">
      <c r="B63" s="44">
        <v>45948</v>
      </c>
      <c r="C63" s="3" t="s">
        <v>416</v>
      </c>
      <c r="D63" s="3" t="s">
        <v>486</v>
      </c>
      <c r="E63" s="101"/>
      <c r="F63" s="4" t="s">
        <v>98</v>
      </c>
      <c r="G63" s="4">
        <v>3358909</v>
      </c>
      <c r="H63" s="3" t="s">
        <v>406</v>
      </c>
      <c r="I63" s="4">
        <v>3124501</v>
      </c>
    </row>
    <row r="64" spans="2:9" x14ac:dyDescent="0.3">
      <c r="B64" s="44">
        <v>45948</v>
      </c>
      <c r="C64" s="3" t="s">
        <v>416</v>
      </c>
      <c r="D64" s="3" t="s">
        <v>486</v>
      </c>
      <c r="E64" s="101"/>
      <c r="F64" s="3" t="s">
        <v>109</v>
      </c>
      <c r="G64" s="4">
        <v>3067701</v>
      </c>
      <c r="H64" s="4" t="s">
        <v>97</v>
      </c>
      <c r="I64" s="4">
        <v>3362005</v>
      </c>
    </row>
    <row r="65" spans="2:9" x14ac:dyDescent="0.3">
      <c r="B65" s="44">
        <v>45948</v>
      </c>
      <c r="C65" s="3" t="s">
        <v>416</v>
      </c>
      <c r="D65" s="3" t="s">
        <v>486</v>
      </c>
      <c r="E65" s="101"/>
      <c r="F65" s="3" t="s">
        <v>105</v>
      </c>
      <c r="G65" s="4">
        <v>3035809</v>
      </c>
      <c r="H65" s="3" t="s">
        <v>108</v>
      </c>
      <c r="I65" s="4">
        <v>3359700</v>
      </c>
    </row>
    <row r="66" spans="2:9" x14ac:dyDescent="0.3">
      <c r="B66" s="44">
        <v>45948</v>
      </c>
      <c r="C66" s="3" t="s">
        <v>416</v>
      </c>
      <c r="D66" s="3" t="s">
        <v>486</v>
      </c>
      <c r="E66" s="101"/>
      <c r="F66" s="3" t="s">
        <v>103</v>
      </c>
      <c r="G66" s="4">
        <v>3353206</v>
      </c>
      <c r="H66" s="3" t="s">
        <v>106</v>
      </c>
      <c r="I66" s="4">
        <v>3067607</v>
      </c>
    </row>
    <row r="67" spans="2:9" x14ac:dyDescent="0.3">
      <c r="B67" s="4"/>
      <c r="E67" s="101"/>
      <c r="F67" s="4"/>
    </row>
    <row r="68" spans="2:9" x14ac:dyDescent="0.3">
      <c r="B68" s="44">
        <v>45962</v>
      </c>
      <c r="C68" s="3" t="s">
        <v>416</v>
      </c>
      <c r="D68" s="3" t="s">
        <v>486</v>
      </c>
      <c r="E68" s="101"/>
      <c r="F68" s="3" t="s">
        <v>406</v>
      </c>
      <c r="G68" s="4">
        <v>3124501</v>
      </c>
      <c r="H68" s="3" t="s">
        <v>105</v>
      </c>
      <c r="I68" s="4">
        <v>3035809</v>
      </c>
    </row>
    <row r="69" spans="2:9" x14ac:dyDescent="0.3">
      <c r="B69" s="44">
        <v>45962</v>
      </c>
      <c r="C69" s="3" t="s">
        <v>416</v>
      </c>
      <c r="D69" s="3" t="s">
        <v>486</v>
      </c>
      <c r="E69" s="101"/>
      <c r="F69" s="3" t="s">
        <v>106</v>
      </c>
      <c r="G69" s="4">
        <v>3067607</v>
      </c>
      <c r="H69" s="3" t="s">
        <v>109</v>
      </c>
      <c r="I69" s="4">
        <v>3067701</v>
      </c>
    </row>
    <row r="70" spans="2:9" x14ac:dyDescent="0.3">
      <c r="B70" s="44">
        <v>45962</v>
      </c>
      <c r="C70" s="3" t="s">
        <v>416</v>
      </c>
      <c r="D70" s="3" t="s">
        <v>486</v>
      </c>
      <c r="E70" s="101"/>
      <c r="F70" s="3" t="s">
        <v>108</v>
      </c>
      <c r="G70" s="4">
        <v>3359700</v>
      </c>
      <c r="H70" s="3" t="s">
        <v>103</v>
      </c>
      <c r="I70" s="4">
        <v>3353206</v>
      </c>
    </row>
    <row r="71" spans="2:9" x14ac:dyDescent="0.3">
      <c r="B71" s="44">
        <v>45962</v>
      </c>
      <c r="C71" s="3" t="s">
        <v>416</v>
      </c>
      <c r="D71" s="3" t="s">
        <v>486</v>
      </c>
      <c r="E71" s="101"/>
      <c r="F71" s="4" t="s">
        <v>104</v>
      </c>
      <c r="G71" s="4">
        <v>3036308</v>
      </c>
      <c r="H71" s="4" t="s">
        <v>98</v>
      </c>
      <c r="I71" s="4">
        <v>3358909</v>
      </c>
    </row>
    <row r="72" spans="2:9" x14ac:dyDescent="0.3">
      <c r="B72" s="44">
        <v>45962</v>
      </c>
      <c r="C72" s="3" t="s">
        <v>416</v>
      </c>
      <c r="D72" s="3" t="s">
        <v>486</v>
      </c>
      <c r="E72" s="101"/>
      <c r="F72" s="4" t="s">
        <v>110</v>
      </c>
      <c r="G72" s="4">
        <v>3359106</v>
      </c>
      <c r="H72" s="4" t="s">
        <v>102</v>
      </c>
      <c r="I72" s="4">
        <v>3125406</v>
      </c>
    </row>
    <row r="73" spans="2:9" x14ac:dyDescent="0.3">
      <c r="B73" s="44">
        <v>45962</v>
      </c>
      <c r="C73" s="3" t="s">
        <v>416</v>
      </c>
      <c r="D73" s="3" t="s">
        <v>486</v>
      </c>
      <c r="E73" s="101"/>
      <c r="F73" s="4" t="s">
        <v>97</v>
      </c>
      <c r="G73" s="4">
        <v>3362005</v>
      </c>
      <c r="H73" s="3" t="s">
        <v>559</v>
      </c>
      <c r="I73" s="4">
        <v>3969200</v>
      </c>
    </row>
    <row r="74" spans="2:9" x14ac:dyDescent="0.3">
      <c r="B74" s="4"/>
      <c r="E74" s="101"/>
      <c r="F74" s="4"/>
    </row>
    <row r="75" spans="2:9" x14ac:dyDescent="0.3">
      <c r="B75" s="44">
        <v>45969</v>
      </c>
      <c r="C75" s="3" t="s">
        <v>416</v>
      </c>
      <c r="D75" s="3" t="s">
        <v>486</v>
      </c>
      <c r="E75" s="101"/>
      <c r="F75" s="4" t="s">
        <v>559</v>
      </c>
      <c r="G75" s="4">
        <v>3969200</v>
      </c>
      <c r="H75" s="3" t="s">
        <v>106</v>
      </c>
      <c r="I75" s="4">
        <v>3067607</v>
      </c>
    </row>
    <row r="76" spans="2:9" x14ac:dyDescent="0.3">
      <c r="B76" s="44">
        <v>45969</v>
      </c>
      <c r="C76" s="3" t="s">
        <v>416</v>
      </c>
      <c r="D76" s="3" t="s">
        <v>486</v>
      </c>
      <c r="E76" s="101"/>
      <c r="F76" s="4" t="s">
        <v>102</v>
      </c>
      <c r="G76" s="4">
        <v>3125406</v>
      </c>
      <c r="H76" s="4" t="s">
        <v>97</v>
      </c>
      <c r="I76" s="4">
        <v>3362005</v>
      </c>
    </row>
    <row r="77" spans="2:9" x14ac:dyDescent="0.3">
      <c r="B77" s="44">
        <v>45969</v>
      </c>
      <c r="C77" s="3" t="s">
        <v>416</v>
      </c>
      <c r="D77" s="3" t="s">
        <v>486</v>
      </c>
      <c r="E77" s="101"/>
      <c r="F77" s="4" t="s">
        <v>98</v>
      </c>
      <c r="G77" s="4">
        <v>3358909</v>
      </c>
      <c r="H77" s="4" t="s">
        <v>110</v>
      </c>
      <c r="I77" s="4">
        <v>3359106</v>
      </c>
    </row>
    <row r="78" spans="2:9" x14ac:dyDescent="0.3">
      <c r="B78" s="44">
        <v>45969</v>
      </c>
      <c r="C78" s="3" t="s">
        <v>416</v>
      </c>
      <c r="D78" s="3" t="s">
        <v>486</v>
      </c>
      <c r="E78" s="101"/>
      <c r="F78" s="4" t="s">
        <v>104</v>
      </c>
      <c r="G78" s="4">
        <v>3036308</v>
      </c>
      <c r="H78" s="3" t="s">
        <v>406</v>
      </c>
      <c r="I78" s="4">
        <v>3124501</v>
      </c>
    </row>
    <row r="79" spans="2:9" x14ac:dyDescent="0.3">
      <c r="B79" s="44">
        <v>45969</v>
      </c>
      <c r="C79" s="3" t="s">
        <v>416</v>
      </c>
      <c r="D79" s="3" t="s">
        <v>486</v>
      </c>
      <c r="E79" s="101"/>
      <c r="F79" s="3" t="s">
        <v>109</v>
      </c>
      <c r="G79" s="4">
        <v>3067701</v>
      </c>
      <c r="H79" s="3" t="s">
        <v>108</v>
      </c>
      <c r="I79" s="4">
        <v>3359700</v>
      </c>
    </row>
    <row r="80" spans="2:9" x14ac:dyDescent="0.3">
      <c r="B80" s="44">
        <v>45969</v>
      </c>
      <c r="C80" s="3" t="s">
        <v>416</v>
      </c>
      <c r="D80" s="3" t="s">
        <v>486</v>
      </c>
      <c r="E80" s="101"/>
      <c r="F80" s="3" t="s">
        <v>103</v>
      </c>
      <c r="G80" s="4">
        <v>3353206</v>
      </c>
      <c r="H80" s="3" t="s">
        <v>105</v>
      </c>
      <c r="I80" s="4">
        <v>3035809</v>
      </c>
    </row>
    <row r="81" spans="2:9" x14ac:dyDescent="0.3">
      <c r="B81" s="4"/>
      <c r="E81" s="101"/>
      <c r="F81" s="4"/>
    </row>
    <row r="82" spans="2:9" x14ac:dyDescent="0.3">
      <c r="B82" s="44">
        <v>45976</v>
      </c>
      <c r="C82" s="3" t="s">
        <v>416</v>
      </c>
      <c r="D82" s="3" t="s">
        <v>486</v>
      </c>
      <c r="E82" s="101"/>
      <c r="F82" s="3" t="s">
        <v>406</v>
      </c>
      <c r="G82" s="4">
        <v>3124501</v>
      </c>
      <c r="H82" s="3" t="s">
        <v>103</v>
      </c>
      <c r="I82" s="4">
        <v>3353206</v>
      </c>
    </row>
    <row r="83" spans="2:9" x14ac:dyDescent="0.3">
      <c r="B83" s="44">
        <v>45976</v>
      </c>
      <c r="C83" s="3" t="s">
        <v>416</v>
      </c>
      <c r="D83" s="3" t="s">
        <v>486</v>
      </c>
      <c r="E83" s="101"/>
      <c r="F83" s="3" t="s">
        <v>106</v>
      </c>
      <c r="G83" s="4">
        <v>3067607</v>
      </c>
      <c r="H83" s="4" t="s">
        <v>102</v>
      </c>
      <c r="I83" s="4">
        <v>3125406</v>
      </c>
    </row>
    <row r="84" spans="2:9" x14ac:dyDescent="0.3">
      <c r="B84" s="44">
        <v>45976</v>
      </c>
      <c r="C84" s="3" t="s">
        <v>416</v>
      </c>
      <c r="D84" s="3" t="s">
        <v>486</v>
      </c>
      <c r="E84" s="101"/>
      <c r="F84" s="3" t="s">
        <v>108</v>
      </c>
      <c r="G84" s="4">
        <v>3359700</v>
      </c>
      <c r="H84" s="3" t="s">
        <v>559</v>
      </c>
      <c r="I84" s="4">
        <v>3969200</v>
      </c>
    </row>
    <row r="85" spans="2:9" x14ac:dyDescent="0.3">
      <c r="B85" s="44">
        <v>45976</v>
      </c>
      <c r="C85" s="3" t="s">
        <v>416</v>
      </c>
      <c r="D85" s="3" t="s">
        <v>486</v>
      </c>
      <c r="E85" s="101"/>
      <c r="F85" s="4" t="s">
        <v>110</v>
      </c>
      <c r="G85" s="4">
        <v>3359106</v>
      </c>
      <c r="H85" s="4" t="s">
        <v>104</v>
      </c>
      <c r="I85" s="4">
        <v>3036308</v>
      </c>
    </row>
    <row r="86" spans="2:9" x14ac:dyDescent="0.3">
      <c r="B86" s="44">
        <v>45976</v>
      </c>
      <c r="C86" s="3" t="s">
        <v>416</v>
      </c>
      <c r="D86" s="3" t="s">
        <v>486</v>
      </c>
      <c r="E86" s="101"/>
      <c r="F86" s="4" t="s">
        <v>97</v>
      </c>
      <c r="G86" s="4">
        <v>3362005</v>
      </c>
      <c r="H86" s="4" t="s">
        <v>98</v>
      </c>
      <c r="I86" s="4">
        <v>3358909</v>
      </c>
    </row>
    <row r="87" spans="2:9" x14ac:dyDescent="0.3">
      <c r="B87" s="44">
        <v>45976</v>
      </c>
      <c r="C87" s="3" t="s">
        <v>416</v>
      </c>
      <c r="D87" s="3" t="s">
        <v>486</v>
      </c>
      <c r="E87" s="101"/>
      <c r="F87" s="3" t="s">
        <v>105</v>
      </c>
      <c r="G87" s="4">
        <v>3035809</v>
      </c>
      <c r="H87" s="3" t="s">
        <v>109</v>
      </c>
      <c r="I87" s="4">
        <v>3067701</v>
      </c>
    </row>
    <row r="88" spans="2:9" x14ac:dyDescent="0.3">
      <c r="B88" s="4"/>
      <c r="E88" s="101"/>
      <c r="F88" s="4"/>
    </row>
    <row r="89" spans="2:9" x14ac:dyDescent="0.3">
      <c r="B89" s="44">
        <v>45983</v>
      </c>
      <c r="C89" s="3" t="s">
        <v>416</v>
      </c>
      <c r="D89" s="3" t="s">
        <v>486</v>
      </c>
      <c r="E89" s="101"/>
      <c r="F89" s="4" t="s">
        <v>559</v>
      </c>
      <c r="G89" s="4">
        <v>3969200</v>
      </c>
      <c r="H89" s="3" t="s">
        <v>105</v>
      </c>
      <c r="I89" s="4">
        <v>3035809</v>
      </c>
    </row>
    <row r="90" spans="2:9" x14ac:dyDescent="0.3">
      <c r="B90" s="44">
        <v>45983</v>
      </c>
      <c r="C90" s="3" t="s">
        <v>416</v>
      </c>
      <c r="D90" s="3" t="s">
        <v>486</v>
      </c>
      <c r="E90" s="101"/>
      <c r="F90" s="4" t="s">
        <v>102</v>
      </c>
      <c r="G90" s="4">
        <v>3125406</v>
      </c>
      <c r="H90" s="3" t="s">
        <v>108</v>
      </c>
      <c r="I90" s="4">
        <v>3359700</v>
      </c>
    </row>
    <row r="91" spans="2:9" x14ac:dyDescent="0.3">
      <c r="B91" s="44">
        <v>45983</v>
      </c>
      <c r="C91" s="3" t="s">
        <v>416</v>
      </c>
      <c r="D91" s="3" t="s">
        <v>486</v>
      </c>
      <c r="E91" s="101"/>
      <c r="F91" s="4" t="s">
        <v>98</v>
      </c>
      <c r="G91" s="4">
        <v>3358909</v>
      </c>
      <c r="H91" s="3" t="s">
        <v>106</v>
      </c>
      <c r="I91" s="4">
        <v>3067607</v>
      </c>
    </row>
    <row r="92" spans="2:9" x14ac:dyDescent="0.3">
      <c r="B92" s="44">
        <v>45983</v>
      </c>
      <c r="C92" s="3" t="s">
        <v>416</v>
      </c>
      <c r="D92" s="3" t="s">
        <v>486</v>
      </c>
      <c r="E92" s="101"/>
      <c r="F92" s="4" t="s">
        <v>104</v>
      </c>
      <c r="G92" s="4">
        <v>3036308</v>
      </c>
      <c r="H92" s="4" t="s">
        <v>97</v>
      </c>
      <c r="I92" s="4">
        <v>3362005</v>
      </c>
    </row>
    <row r="93" spans="2:9" x14ac:dyDescent="0.3">
      <c r="B93" s="44">
        <v>45983</v>
      </c>
      <c r="C93" s="3" t="s">
        <v>416</v>
      </c>
      <c r="D93" s="3" t="s">
        <v>486</v>
      </c>
      <c r="E93" s="101"/>
      <c r="F93" s="4" t="s">
        <v>110</v>
      </c>
      <c r="G93" s="4">
        <v>3359106</v>
      </c>
      <c r="H93" s="3" t="s">
        <v>406</v>
      </c>
      <c r="I93" s="4">
        <v>3124501</v>
      </c>
    </row>
    <row r="94" spans="2:9" x14ac:dyDescent="0.3">
      <c r="B94" s="44">
        <v>45983</v>
      </c>
      <c r="C94" s="3" t="s">
        <v>416</v>
      </c>
      <c r="D94" s="3" t="s">
        <v>486</v>
      </c>
      <c r="E94" s="101"/>
      <c r="F94" s="3" t="s">
        <v>109</v>
      </c>
      <c r="G94" s="4">
        <v>3067701</v>
      </c>
      <c r="H94" s="3" t="s">
        <v>103</v>
      </c>
      <c r="I94" s="4">
        <v>3353206</v>
      </c>
    </row>
    <row r="95" spans="2:9" x14ac:dyDescent="0.3">
      <c r="B95" s="4"/>
      <c r="E95" s="101"/>
      <c r="F95" s="4"/>
    </row>
    <row r="96" spans="2:9" x14ac:dyDescent="0.3">
      <c r="B96" s="44">
        <v>45990</v>
      </c>
      <c r="C96" s="3" t="s">
        <v>416</v>
      </c>
      <c r="D96" s="3" t="s">
        <v>486</v>
      </c>
      <c r="E96" s="101"/>
      <c r="F96" s="3" t="s">
        <v>406</v>
      </c>
      <c r="G96" s="4">
        <v>3124501</v>
      </c>
      <c r="H96" s="3" t="s">
        <v>109</v>
      </c>
      <c r="I96" s="4">
        <v>3067701</v>
      </c>
    </row>
    <row r="97" spans="2:12" x14ac:dyDescent="0.3">
      <c r="B97" s="44">
        <v>45990</v>
      </c>
      <c r="C97" s="3" t="s">
        <v>416</v>
      </c>
      <c r="D97" s="3" t="s">
        <v>486</v>
      </c>
      <c r="E97" s="101"/>
      <c r="F97" s="3" t="s">
        <v>106</v>
      </c>
      <c r="G97" s="4">
        <v>3067607</v>
      </c>
      <c r="H97" s="4" t="s">
        <v>104</v>
      </c>
      <c r="I97" s="4">
        <v>3036308</v>
      </c>
    </row>
    <row r="98" spans="2:12" x14ac:dyDescent="0.3">
      <c r="B98" s="44">
        <v>45990</v>
      </c>
      <c r="C98" s="3" t="s">
        <v>416</v>
      </c>
      <c r="D98" s="3" t="s">
        <v>486</v>
      </c>
      <c r="E98" s="101"/>
      <c r="F98" s="3" t="s">
        <v>108</v>
      </c>
      <c r="G98" s="4">
        <v>3359700</v>
      </c>
      <c r="H98" s="4" t="s">
        <v>98</v>
      </c>
      <c r="I98" s="4">
        <v>3358909</v>
      </c>
    </row>
    <row r="99" spans="2:12" x14ac:dyDescent="0.3">
      <c r="B99" s="44">
        <v>45990</v>
      </c>
      <c r="C99" s="3" t="s">
        <v>416</v>
      </c>
      <c r="D99" s="3" t="s">
        <v>486</v>
      </c>
      <c r="E99" s="101"/>
      <c r="F99" s="4" t="s">
        <v>97</v>
      </c>
      <c r="G99" s="4">
        <v>3362005</v>
      </c>
      <c r="H99" s="4" t="s">
        <v>110</v>
      </c>
      <c r="I99" s="4">
        <v>3359106</v>
      </c>
    </row>
    <row r="100" spans="2:12" x14ac:dyDescent="0.3">
      <c r="B100" s="44">
        <v>45990</v>
      </c>
      <c r="C100" s="3" t="s">
        <v>416</v>
      </c>
      <c r="D100" s="3" t="s">
        <v>486</v>
      </c>
      <c r="E100" s="101"/>
      <c r="F100" s="3" t="s">
        <v>105</v>
      </c>
      <c r="G100" s="4">
        <v>3035809</v>
      </c>
      <c r="H100" s="4" t="s">
        <v>102</v>
      </c>
      <c r="I100" s="4">
        <v>3125406</v>
      </c>
    </row>
    <row r="101" spans="2:12" x14ac:dyDescent="0.3">
      <c r="B101" s="44">
        <v>45990</v>
      </c>
      <c r="C101" s="3" t="s">
        <v>416</v>
      </c>
      <c r="D101" s="3" t="s">
        <v>486</v>
      </c>
      <c r="E101" s="101"/>
      <c r="F101" s="3" t="s">
        <v>103</v>
      </c>
      <c r="G101" s="4">
        <v>3353206</v>
      </c>
      <c r="H101" s="4" t="s">
        <v>559</v>
      </c>
      <c r="I101" s="4">
        <v>3969200</v>
      </c>
    </row>
    <row r="102" spans="2:12" x14ac:dyDescent="0.3">
      <c r="B102" s="4"/>
      <c r="E102" s="42"/>
      <c r="F102" s="4"/>
    </row>
    <row r="103" spans="2:12" x14ac:dyDescent="0.3">
      <c r="B103" s="44">
        <v>46032</v>
      </c>
      <c r="C103" s="3" t="s">
        <v>416</v>
      </c>
      <c r="D103" s="3" t="s">
        <v>486</v>
      </c>
      <c r="E103" s="101"/>
      <c r="F103" s="3" t="s">
        <v>406</v>
      </c>
      <c r="G103" s="4">
        <v>3124501</v>
      </c>
      <c r="H103" s="4" t="s">
        <v>97</v>
      </c>
      <c r="I103" s="4">
        <v>3362005</v>
      </c>
    </row>
    <row r="104" spans="2:12" x14ac:dyDescent="0.3">
      <c r="B104" s="44">
        <v>46032</v>
      </c>
      <c r="C104" s="3" t="s">
        <v>416</v>
      </c>
      <c r="D104" s="3" t="s">
        <v>486</v>
      </c>
      <c r="E104" s="101"/>
      <c r="F104" s="3" t="s">
        <v>106</v>
      </c>
      <c r="G104" s="4">
        <v>3067607</v>
      </c>
      <c r="H104" s="4" t="s">
        <v>110</v>
      </c>
      <c r="I104" s="4">
        <v>3359106</v>
      </c>
    </row>
    <row r="105" spans="2:12" x14ac:dyDescent="0.3">
      <c r="B105" s="44">
        <v>46032</v>
      </c>
      <c r="C105" s="3" t="s">
        <v>416</v>
      </c>
      <c r="D105" s="3" t="s">
        <v>486</v>
      </c>
      <c r="E105" s="101"/>
      <c r="F105" s="3" t="s">
        <v>108</v>
      </c>
      <c r="G105" s="4">
        <v>3359700</v>
      </c>
      <c r="H105" s="4" t="s">
        <v>104</v>
      </c>
      <c r="I105" s="4">
        <v>3036308</v>
      </c>
    </row>
    <row r="106" spans="2:12" x14ac:dyDescent="0.3">
      <c r="B106" s="44">
        <v>46032</v>
      </c>
      <c r="C106" s="3" t="s">
        <v>416</v>
      </c>
      <c r="D106" s="3" t="s">
        <v>486</v>
      </c>
      <c r="E106" s="101"/>
      <c r="F106" s="3" t="s">
        <v>109</v>
      </c>
      <c r="G106" s="4">
        <v>3067701</v>
      </c>
      <c r="H106" s="3" t="s">
        <v>559</v>
      </c>
      <c r="I106" s="4">
        <v>3969200</v>
      </c>
    </row>
    <row r="107" spans="2:12" x14ac:dyDescent="0.3">
      <c r="B107" s="44">
        <v>46032</v>
      </c>
      <c r="C107" s="3" t="s">
        <v>416</v>
      </c>
      <c r="D107" s="3" t="s">
        <v>486</v>
      </c>
      <c r="E107" s="101"/>
      <c r="F107" s="3" t="s">
        <v>105</v>
      </c>
      <c r="G107" s="4">
        <v>3035809</v>
      </c>
      <c r="H107" s="4" t="s">
        <v>98</v>
      </c>
      <c r="I107" s="4">
        <v>3358909</v>
      </c>
    </row>
    <row r="108" spans="2:12" x14ac:dyDescent="0.3">
      <c r="B108" s="44">
        <v>46032</v>
      </c>
      <c r="C108" s="3" t="s">
        <v>416</v>
      </c>
      <c r="D108" s="3" t="s">
        <v>486</v>
      </c>
      <c r="E108" s="101"/>
      <c r="F108" s="3" t="s">
        <v>103</v>
      </c>
      <c r="G108" s="4">
        <v>3353206</v>
      </c>
      <c r="H108" s="4" t="s">
        <v>102</v>
      </c>
      <c r="I108" s="4">
        <v>3125406</v>
      </c>
      <c r="K108" s="4"/>
      <c r="L108" s="4"/>
    </row>
    <row r="109" spans="2:12" x14ac:dyDescent="0.3">
      <c r="B109" s="4"/>
      <c r="E109" s="101"/>
      <c r="F109" s="4"/>
    </row>
    <row r="110" spans="2:12" x14ac:dyDescent="0.3">
      <c r="B110" s="44">
        <v>46039</v>
      </c>
      <c r="C110" s="3" t="s">
        <v>416</v>
      </c>
      <c r="D110" s="3" t="s">
        <v>486</v>
      </c>
      <c r="E110" s="101"/>
      <c r="F110" s="4" t="s">
        <v>559</v>
      </c>
      <c r="G110" s="4">
        <v>3969200</v>
      </c>
      <c r="H110" s="3" t="s">
        <v>406</v>
      </c>
      <c r="I110" s="4">
        <v>3124501</v>
      </c>
    </row>
    <row r="111" spans="2:12" x14ac:dyDescent="0.3">
      <c r="B111" s="44">
        <v>46039</v>
      </c>
      <c r="C111" s="3" t="s">
        <v>416</v>
      </c>
      <c r="D111" s="3" t="s">
        <v>486</v>
      </c>
      <c r="E111" s="101"/>
      <c r="F111" s="4" t="s">
        <v>102</v>
      </c>
      <c r="G111" s="4">
        <v>3125406</v>
      </c>
      <c r="H111" s="3" t="s">
        <v>109</v>
      </c>
      <c r="I111" s="4">
        <v>3067701</v>
      </c>
    </row>
    <row r="112" spans="2:12" x14ac:dyDescent="0.3">
      <c r="B112" s="44">
        <v>46039</v>
      </c>
      <c r="C112" s="3" t="s">
        <v>416</v>
      </c>
      <c r="D112" s="3" t="s">
        <v>486</v>
      </c>
      <c r="E112" s="101"/>
      <c r="F112" s="4" t="s">
        <v>98</v>
      </c>
      <c r="G112" s="4">
        <v>3358909</v>
      </c>
      <c r="H112" s="3" t="s">
        <v>103</v>
      </c>
      <c r="I112" s="4">
        <v>3353206</v>
      </c>
    </row>
    <row r="113" spans="2:9" x14ac:dyDescent="0.3">
      <c r="B113" s="44">
        <v>46039</v>
      </c>
      <c r="C113" s="3" t="s">
        <v>416</v>
      </c>
      <c r="D113" s="3" t="s">
        <v>486</v>
      </c>
      <c r="E113" s="101"/>
      <c r="F113" s="4" t="s">
        <v>104</v>
      </c>
      <c r="G113" s="4">
        <v>3036308</v>
      </c>
      <c r="H113" s="3" t="s">
        <v>105</v>
      </c>
      <c r="I113" s="4">
        <v>3035809</v>
      </c>
    </row>
    <row r="114" spans="2:9" x14ac:dyDescent="0.3">
      <c r="B114" s="44">
        <v>46039</v>
      </c>
      <c r="C114" s="3" t="s">
        <v>416</v>
      </c>
      <c r="D114" s="3" t="s">
        <v>486</v>
      </c>
      <c r="E114" s="101"/>
      <c r="F114" s="4" t="s">
        <v>110</v>
      </c>
      <c r="G114" s="4">
        <v>3359106</v>
      </c>
      <c r="H114" s="3" t="s">
        <v>108</v>
      </c>
      <c r="I114" s="4">
        <v>3359700</v>
      </c>
    </row>
    <row r="115" spans="2:9" x14ac:dyDescent="0.3">
      <c r="B115" s="44">
        <v>46039</v>
      </c>
      <c r="C115" s="3" t="s">
        <v>416</v>
      </c>
      <c r="D115" s="3" t="s">
        <v>486</v>
      </c>
      <c r="E115" s="101"/>
      <c r="F115" s="4" t="s">
        <v>97</v>
      </c>
      <c r="G115" s="4">
        <v>3362005</v>
      </c>
      <c r="H115" s="3" t="s">
        <v>106</v>
      </c>
      <c r="I115" s="4">
        <v>3067607</v>
      </c>
    </row>
    <row r="116" spans="2:9" x14ac:dyDescent="0.3">
      <c r="B116" s="4"/>
      <c r="E116" s="101"/>
      <c r="F116" s="4"/>
    </row>
    <row r="117" spans="2:9" x14ac:dyDescent="0.3">
      <c r="B117" s="44">
        <v>46046</v>
      </c>
      <c r="C117" s="3" t="s">
        <v>416</v>
      </c>
      <c r="D117" s="3" t="s">
        <v>486</v>
      </c>
      <c r="E117" s="101"/>
      <c r="F117" s="4" t="s">
        <v>559</v>
      </c>
      <c r="G117" s="4">
        <v>3969200</v>
      </c>
      <c r="H117" s="4" t="s">
        <v>102</v>
      </c>
      <c r="I117" s="4">
        <v>3125406</v>
      </c>
    </row>
    <row r="118" spans="2:9" x14ac:dyDescent="0.3">
      <c r="B118" s="44">
        <v>46046</v>
      </c>
      <c r="C118" s="3" t="s">
        <v>416</v>
      </c>
      <c r="D118" s="3" t="s">
        <v>486</v>
      </c>
      <c r="E118" s="101"/>
      <c r="F118" s="3" t="s">
        <v>106</v>
      </c>
      <c r="G118" s="4">
        <v>3067607</v>
      </c>
      <c r="H118" s="3" t="s">
        <v>406</v>
      </c>
      <c r="I118" s="4">
        <v>3124501</v>
      </c>
    </row>
    <row r="119" spans="2:9" x14ac:dyDescent="0.3">
      <c r="B119" s="44">
        <v>46046</v>
      </c>
      <c r="C119" s="3" t="s">
        <v>416</v>
      </c>
      <c r="D119" s="3" t="s">
        <v>486</v>
      </c>
      <c r="E119" s="101"/>
      <c r="F119" s="3" t="s">
        <v>108</v>
      </c>
      <c r="G119" s="4">
        <v>3359700</v>
      </c>
      <c r="H119" s="4" t="s">
        <v>97</v>
      </c>
      <c r="I119" s="4">
        <v>3362005</v>
      </c>
    </row>
    <row r="120" spans="2:9" x14ac:dyDescent="0.3">
      <c r="B120" s="44">
        <v>46046</v>
      </c>
      <c r="C120" s="3" t="s">
        <v>416</v>
      </c>
      <c r="D120" s="3" t="s">
        <v>486</v>
      </c>
      <c r="E120" s="101"/>
      <c r="F120" s="3" t="s">
        <v>109</v>
      </c>
      <c r="G120" s="4">
        <v>3067701</v>
      </c>
      <c r="H120" s="4" t="s">
        <v>98</v>
      </c>
      <c r="I120" s="4">
        <v>3358909</v>
      </c>
    </row>
    <row r="121" spans="2:9" x14ac:dyDescent="0.3">
      <c r="B121" s="44">
        <v>46046</v>
      </c>
      <c r="C121" s="3" t="s">
        <v>416</v>
      </c>
      <c r="D121" s="3" t="s">
        <v>486</v>
      </c>
      <c r="E121" s="101"/>
      <c r="F121" s="3" t="s">
        <v>105</v>
      </c>
      <c r="G121" s="4">
        <v>3035809</v>
      </c>
      <c r="H121" s="4" t="s">
        <v>110</v>
      </c>
      <c r="I121" s="4">
        <v>3359106</v>
      </c>
    </row>
    <row r="122" spans="2:9" x14ac:dyDescent="0.3">
      <c r="B122" s="44">
        <v>46046</v>
      </c>
      <c r="C122" s="3" t="s">
        <v>416</v>
      </c>
      <c r="D122" s="3" t="s">
        <v>486</v>
      </c>
      <c r="E122" s="101"/>
      <c r="F122" s="3" t="s">
        <v>103</v>
      </c>
      <c r="G122" s="4">
        <v>3353206</v>
      </c>
      <c r="H122" s="4" t="s">
        <v>104</v>
      </c>
      <c r="I122" s="4">
        <v>3036308</v>
      </c>
    </row>
    <row r="123" spans="2:9" x14ac:dyDescent="0.3">
      <c r="B123" s="4"/>
      <c r="E123" s="101"/>
      <c r="F123" s="4"/>
    </row>
    <row r="124" spans="2:9" x14ac:dyDescent="0.3">
      <c r="B124" s="44">
        <v>46053</v>
      </c>
      <c r="C124" s="3" t="s">
        <v>416</v>
      </c>
      <c r="D124" s="3" t="s">
        <v>486</v>
      </c>
      <c r="E124" s="101"/>
      <c r="F124" s="3" t="s">
        <v>406</v>
      </c>
      <c r="G124" s="4">
        <v>3124501</v>
      </c>
      <c r="H124" s="4" t="s">
        <v>102</v>
      </c>
      <c r="I124" s="4">
        <v>3125406</v>
      </c>
    </row>
    <row r="125" spans="2:9" x14ac:dyDescent="0.3">
      <c r="B125" s="44">
        <v>46053</v>
      </c>
      <c r="C125" s="3" t="s">
        <v>416</v>
      </c>
      <c r="D125" s="3" t="s">
        <v>486</v>
      </c>
      <c r="E125" s="101"/>
      <c r="F125" s="3" t="s">
        <v>106</v>
      </c>
      <c r="G125" s="4">
        <v>3067607</v>
      </c>
      <c r="H125" s="3" t="s">
        <v>108</v>
      </c>
      <c r="I125" s="4">
        <v>3359700</v>
      </c>
    </row>
    <row r="126" spans="2:9" x14ac:dyDescent="0.3">
      <c r="B126" s="44">
        <v>46053</v>
      </c>
      <c r="C126" s="3" t="s">
        <v>416</v>
      </c>
      <c r="D126" s="3" t="s">
        <v>486</v>
      </c>
      <c r="E126" s="101"/>
      <c r="F126" s="4" t="s">
        <v>98</v>
      </c>
      <c r="G126" s="4">
        <v>3358909</v>
      </c>
      <c r="H126" s="3" t="s">
        <v>559</v>
      </c>
      <c r="I126" s="4">
        <v>3969200</v>
      </c>
    </row>
    <row r="127" spans="2:9" x14ac:dyDescent="0.3">
      <c r="B127" s="44">
        <v>46053</v>
      </c>
      <c r="C127" s="3" t="s">
        <v>416</v>
      </c>
      <c r="D127" s="3" t="s">
        <v>486</v>
      </c>
      <c r="E127" s="101"/>
      <c r="F127" s="4" t="s">
        <v>104</v>
      </c>
      <c r="G127" s="4">
        <v>3036308</v>
      </c>
      <c r="H127" s="3" t="s">
        <v>109</v>
      </c>
      <c r="I127" s="4">
        <v>3067701</v>
      </c>
    </row>
    <row r="128" spans="2:9" x14ac:dyDescent="0.3">
      <c r="B128" s="44">
        <v>46053</v>
      </c>
      <c r="C128" s="3" t="s">
        <v>416</v>
      </c>
      <c r="D128" s="3" t="s">
        <v>486</v>
      </c>
      <c r="E128" s="101"/>
      <c r="F128" s="4" t="s">
        <v>110</v>
      </c>
      <c r="G128" s="4">
        <v>3359106</v>
      </c>
      <c r="H128" s="3" t="s">
        <v>103</v>
      </c>
      <c r="I128" s="4">
        <v>3353206</v>
      </c>
    </row>
    <row r="129" spans="2:9" x14ac:dyDescent="0.3">
      <c r="B129" s="44">
        <v>46053</v>
      </c>
      <c r="C129" s="3" t="s">
        <v>416</v>
      </c>
      <c r="D129" s="3" t="s">
        <v>486</v>
      </c>
      <c r="E129" s="101"/>
      <c r="F129" s="4" t="s">
        <v>97</v>
      </c>
      <c r="G129" s="4">
        <v>3362005</v>
      </c>
      <c r="H129" s="3" t="s">
        <v>105</v>
      </c>
      <c r="I129" s="4">
        <v>3035809</v>
      </c>
    </row>
    <row r="130" spans="2:9" x14ac:dyDescent="0.3">
      <c r="B130" s="4"/>
      <c r="E130" s="101"/>
      <c r="F130" s="4"/>
    </row>
    <row r="131" spans="2:9" x14ac:dyDescent="0.3">
      <c r="B131" s="44">
        <v>46060</v>
      </c>
      <c r="C131" s="3" t="s">
        <v>416</v>
      </c>
      <c r="D131" s="3" t="s">
        <v>486</v>
      </c>
      <c r="E131" s="101"/>
      <c r="F131" s="4" t="s">
        <v>559</v>
      </c>
      <c r="G131" s="4">
        <v>3969200</v>
      </c>
      <c r="H131" s="4" t="s">
        <v>104</v>
      </c>
      <c r="I131" s="4">
        <v>3036308</v>
      </c>
    </row>
    <row r="132" spans="2:9" x14ac:dyDescent="0.3">
      <c r="B132" s="44">
        <v>46060</v>
      </c>
      <c r="C132" s="3" t="s">
        <v>416</v>
      </c>
      <c r="D132" s="3" t="s">
        <v>486</v>
      </c>
      <c r="E132" s="101"/>
      <c r="F132" s="4" t="s">
        <v>102</v>
      </c>
      <c r="G132" s="4">
        <v>3125406</v>
      </c>
      <c r="H132" s="4" t="s">
        <v>98</v>
      </c>
      <c r="I132" s="4">
        <v>3358909</v>
      </c>
    </row>
    <row r="133" spans="2:9" x14ac:dyDescent="0.3">
      <c r="B133" s="44">
        <v>46060</v>
      </c>
      <c r="C133" s="3" t="s">
        <v>416</v>
      </c>
      <c r="D133" s="3" t="s">
        <v>486</v>
      </c>
      <c r="E133" s="101"/>
      <c r="F133" s="3" t="s">
        <v>108</v>
      </c>
      <c r="G133" s="4">
        <v>3359700</v>
      </c>
      <c r="H133" s="3" t="s">
        <v>406</v>
      </c>
      <c r="I133" s="4">
        <v>3124501</v>
      </c>
    </row>
    <row r="134" spans="2:9" x14ac:dyDescent="0.3">
      <c r="B134" s="44">
        <v>46060</v>
      </c>
      <c r="C134" s="3" t="s">
        <v>416</v>
      </c>
      <c r="D134" s="3" t="s">
        <v>486</v>
      </c>
      <c r="E134" s="101"/>
      <c r="F134" s="3" t="s">
        <v>109</v>
      </c>
      <c r="G134" s="4">
        <v>3067701</v>
      </c>
      <c r="H134" s="4" t="s">
        <v>110</v>
      </c>
      <c r="I134" s="4">
        <v>3359106</v>
      </c>
    </row>
    <row r="135" spans="2:9" x14ac:dyDescent="0.3">
      <c r="B135" s="44">
        <v>46060</v>
      </c>
      <c r="C135" s="3" t="s">
        <v>416</v>
      </c>
      <c r="D135" s="3" t="s">
        <v>486</v>
      </c>
      <c r="E135" s="101"/>
      <c r="F135" s="3" t="s">
        <v>105</v>
      </c>
      <c r="G135" s="4">
        <v>3035809</v>
      </c>
      <c r="H135" s="3" t="s">
        <v>106</v>
      </c>
      <c r="I135" s="4">
        <v>3067607</v>
      </c>
    </row>
    <row r="136" spans="2:9" x14ac:dyDescent="0.3">
      <c r="B136" s="44">
        <v>46060</v>
      </c>
      <c r="C136" s="3" t="s">
        <v>416</v>
      </c>
      <c r="D136" s="3" t="s">
        <v>486</v>
      </c>
      <c r="E136" s="101"/>
      <c r="F136" s="3" t="s">
        <v>103</v>
      </c>
      <c r="G136" s="4">
        <v>3353206</v>
      </c>
      <c r="H136" s="4" t="s">
        <v>97</v>
      </c>
      <c r="I136" s="4">
        <v>3362005</v>
      </c>
    </row>
    <row r="137" spans="2:9" x14ac:dyDescent="0.3">
      <c r="B137" s="4"/>
      <c r="E137" s="101"/>
      <c r="F137" s="4"/>
    </row>
    <row r="138" spans="2:9" x14ac:dyDescent="0.3">
      <c r="B138" s="44">
        <v>46074</v>
      </c>
      <c r="C138" s="3" t="s">
        <v>416</v>
      </c>
      <c r="D138" s="3" t="s">
        <v>486</v>
      </c>
      <c r="E138" s="101"/>
      <c r="F138" s="3" t="s">
        <v>406</v>
      </c>
      <c r="G138" s="4">
        <v>3124501</v>
      </c>
      <c r="H138" s="4" t="s">
        <v>98</v>
      </c>
      <c r="I138" s="4">
        <v>3358909</v>
      </c>
    </row>
    <row r="139" spans="2:9" x14ac:dyDescent="0.3">
      <c r="B139" s="44">
        <v>46074</v>
      </c>
      <c r="C139" s="3" t="s">
        <v>416</v>
      </c>
      <c r="D139" s="3" t="s">
        <v>486</v>
      </c>
      <c r="E139" s="101"/>
      <c r="F139" s="3" t="s">
        <v>106</v>
      </c>
      <c r="G139" s="4">
        <v>3067607</v>
      </c>
      <c r="H139" s="3" t="s">
        <v>103</v>
      </c>
      <c r="I139" s="4">
        <v>3353206</v>
      </c>
    </row>
    <row r="140" spans="2:9" x14ac:dyDescent="0.3">
      <c r="B140" s="44">
        <v>46074</v>
      </c>
      <c r="C140" s="3" t="s">
        <v>416</v>
      </c>
      <c r="D140" s="3" t="s">
        <v>486</v>
      </c>
      <c r="E140" s="101"/>
      <c r="F140" s="3" t="s">
        <v>108</v>
      </c>
      <c r="G140" s="4">
        <v>3359700</v>
      </c>
      <c r="H140" s="3" t="s">
        <v>105</v>
      </c>
      <c r="I140" s="4">
        <v>3035809</v>
      </c>
    </row>
    <row r="141" spans="2:9" x14ac:dyDescent="0.3">
      <c r="B141" s="44">
        <v>46074</v>
      </c>
      <c r="C141" s="3" t="s">
        <v>416</v>
      </c>
      <c r="D141" s="3" t="s">
        <v>486</v>
      </c>
      <c r="E141" s="101"/>
      <c r="F141" s="4" t="s">
        <v>104</v>
      </c>
      <c r="G141" s="4">
        <v>3036308</v>
      </c>
      <c r="H141" s="4" t="s">
        <v>102</v>
      </c>
      <c r="I141" s="4">
        <v>3125406</v>
      </c>
    </row>
    <row r="142" spans="2:9" x14ac:dyDescent="0.3">
      <c r="B142" s="44">
        <v>46074</v>
      </c>
      <c r="C142" s="3" t="s">
        <v>416</v>
      </c>
      <c r="D142" s="3" t="s">
        <v>486</v>
      </c>
      <c r="E142" s="101"/>
      <c r="F142" s="4" t="s">
        <v>110</v>
      </c>
      <c r="G142" s="4">
        <v>3359106</v>
      </c>
      <c r="H142" s="3" t="s">
        <v>559</v>
      </c>
      <c r="I142" s="4">
        <v>3969200</v>
      </c>
    </row>
    <row r="143" spans="2:9" x14ac:dyDescent="0.3">
      <c r="B143" s="44">
        <v>46074</v>
      </c>
      <c r="C143" s="3" t="s">
        <v>416</v>
      </c>
      <c r="D143" s="3" t="s">
        <v>486</v>
      </c>
      <c r="E143" s="101"/>
      <c r="F143" s="4" t="s">
        <v>97</v>
      </c>
      <c r="G143" s="4">
        <v>3362005</v>
      </c>
      <c r="H143" s="3" t="s">
        <v>109</v>
      </c>
      <c r="I143" s="4">
        <v>3067701</v>
      </c>
    </row>
    <row r="144" spans="2:9" x14ac:dyDescent="0.3">
      <c r="B144" s="4"/>
      <c r="E144" s="101"/>
      <c r="F144" s="4"/>
    </row>
    <row r="145" spans="2:9" x14ac:dyDescent="0.3">
      <c r="B145" s="44">
        <v>46081</v>
      </c>
      <c r="C145" s="3" t="s">
        <v>416</v>
      </c>
      <c r="D145" s="3" t="s">
        <v>486</v>
      </c>
      <c r="E145" s="101"/>
      <c r="F145" s="4" t="s">
        <v>559</v>
      </c>
      <c r="G145" s="4">
        <v>3969200</v>
      </c>
      <c r="H145" s="4" t="s">
        <v>97</v>
      </c>
      <c r="I145" s="4">
        <v>3362005</v>
      </c>
    </row>
    <row r="146" spans="2:9" x14ac:dyDescent="0.3">
      <c r="B146" s="44">
        <v>46081</v>
      </c>
      <c r="C146" s="3" t="s">
        <v>416</v>
      </c>
      <c r="D146" s="3" t="s">
        <v>486</v>
      </c>
      <c r="E146" s="101"/>
      <c r="F146" s="4" t="s">
        <v>102</v>
      </c>
      <c r="G146" s="4">
        <v>3125406</v>
      </c>
      <c r="H146" s="4" t="s">
        <v>110</v>
      </c>
      <c r="I146" s="4">
        <v>3359106</v>
      </c>
    </row>
    <row r="147" spans="2:9" x14ac:dyDescent="0.3">
      <c r="B147" s="44">
        <v>46081</v>
      </c>
      <c r="C147" s="3" t="s">
        <v>416</v>
      </c>
      <c r="D147" s="3" t="s">
        <v>486</v>
      </c>
      <c r="E147" s="101"/>
      <c r="F147" s="4" t="s">
        <v>98</v>
      </c>
      <c r="G147" s="4">
        <v>3358909</v>
      </c>
      <c r="H147" s="4" t="s">
        <v>104</v>
      </c>
      <c r="I147" s="4">
        <v>3036308</v>
      </c>
    </row>
    <row r="148" spans="2:9" x14ac:dyDescent="0.3">
      <c r="B148" s="44">
        <v>46081</v>
      </c>
      <c r="C148" s="3" t="s">
        <v>416</v>
      </c>
      <c r="D148" s="3" t="s">
        <v>486</v>
      </c>
      <c r="E148" s="101"/>
      <c r="F148" s="3" t="s">
        <v>109</v>
      </c>
      <c r="G148" s="4">
        <v>3067701</v>
      </c>
      <c r="H148" s="3" t="s">
        <v>106</v>
      </c>
      <c r="I148" s="4">
        <v>3067607</v>
      </c>
    </row>
    <row r="149" spans="2:9" x14ac:dyDescent="0.3">
      <c r="B149" s="44">
        <v>46081</v>
      </c>
      <c r="C149" s="3" t="s">
        <v>416</v>
      </c>
      <c r="D149" s="3" t="s">
        <v>486</v>
      </c>
      <c r="E149" s="101"/>
      <c r="F149" s="3" t="s">
        <v>105</v>
      </c>
      <c r="G149" s="4">
        <v>3035809</v>
      </c>
      <c r="H149" s="3" t="s">
        <v>406</v>
      </c>
      <c r="I149" s="4">
        <v>3124501</v>
      </c>
    </row>
    <row r="150" spans="2:9" x14ac:dyDescent="0.3">
      <c r="B150" s="44">
        <v>46081</v>
      </c>
      <c r="C150" s="3" t="s">
        <v>416</v>
      </c>
      <c r="D150" s="3" t="s">
        <v>486</v>
      </c>
      <c r="E150" s="101"/>
      <c r="F150" s="3" t="s">
        <v>103</v>
      </c>
      <c r="G150" s="4">
        <v>3353206</v>
      </c>
      <c r="H150" s="3" t="s">
        <v>108</v>
      </c>
      <c r="I150" s="4">
        <v>3359700</v>
      </c>
    </row>
    <row r="151" spans="2:9" x14ac:dyDescent="0.3">
      <c r="B151" s="4"/>
      <c r="E151" s="101"/>
      <c r="F151" s="4"/>
    </row>
    <row r="152" spans="2:9" x14ac:dyDescent="0.3">
      <c r="B152" s="44">
        <v>46088</v>
      </c>
      <c r="C152" s="3" t="s">
        <v>416</v>
      </c>
      <c r="D152" s="3" t="s">
        <v>486</v>
      </c>
      <c r="E152" s="101"/>
      <c r="F152" s="3" t="s">
        <v>406</v>
      </c>
      <c r="G152" s="4">
        <v>3124501</v>
      </c>
      <c r="H152" s="4" t="s">
        <v>104</v>
      </c>
      <c r="I152" s="4">
        <v>3036308</v>
      </c>
    </row>
    <row r="153" spans="2:9" x14ac:dyDescent="0.3">
      <c r="B153" s="44">
        <v>46088</v>
      </c>
      <c r="C153" s="3" t="s">
        <v>416</v>
      </c>
      <c r="D153" s="3" t="s">
        <v>486</v>
      </c>
      <c r="E153" s="101"/>
      <c r="F153" s="3" t="s">
        <v>106</v>
      </c>
      <c r="G153" s="4">
        <v>3067607</v>
      </c>
      <c r="H153" s="3" t="s">
        <v>559</v>
      </c>
      <c r="I153" s="4">
        <v>3969200</v>
      </c>
    </row>
    <row r="154" spans="2:9" x14ac:dyDescent="0.3">
      <c r="B154" s="44">
        <v>46088</v>
      </c>
      <c r="C154" s="3" t="s">
        <v>416</v>
      </c>
      <c r="D154" s="3" t="s">
        <v>486</v>
      </c>
      <c r="E154" s="101"/>
      <c r="F154" s="3" t="s">
        <v>108</v>
      </c>
      <c r="G154" s="4">
        <v>3359700</v>
      </c>
      <c r="H154" s="3" t="s">
        <v>109</v>
      </c>
      <c r="I154" s="4">
        <v>3067701</v>
      </c>
    </row>
    <row r="155" spans="2:9" x14ac:dyDescent="0.3">
      <c r="B155" s="44">
        <v>46088</v>
      </c>
      <c r="C155" s="3" t="s">
        <v>416</v>
      </c>
      <c r="D155" s="3" t="s">
        <v>486</v>
      </c>
      <c r="E155" s="101"/>
      <c r="F155" s="4" t="s">
        <v>110</v>
      </c>
      <c r="G155" s="4">
        <v>3359106</v>
      </c>
      <c r="H155" s="4" t="s">
        <v>98</v>
      </c>
      <c r="I155" s="4">
        <v>3358909</v>
      </c>
    </row>
    <row r="156" spans="2:9" x14ac:dyDescent="0.3">
      <c r="B156" s="44">
        <v>46088</v>
      </c>
      <c r="C156" s="3" t="s">
        <v>416</v>
      </c>
      <c r="D156" s="3" t="s">
        <v>486</v>
      </c>
      <c r="E156" s="101"/>
      <c r="F156" s="4" t="s">
        <v>97</v>
      </c>
      <c r="G156" s="4">
        <v>3362005</v>
      </c>
      <c r="H156" s="4" t="s">
        <v>102</v>
      </c>
      <c r="I156" s="4">
        <v>3125406</v>
      </c>
    </row>
    <row r="157" spans="2:9" x14ac:dyDescent="0.3">
      <c r="B157" s="44">
        <v>46088</v>
      </c>
      <c r="C157" s="3" t="s">
        <v>416</v>
      </c>
      <c r="D157" s="3" t="s">
        <v>486</v>
      </c>
      <c r="E157" s="101"/>
      <c r="F157" s="3" t="s">
        <v>105</v>
      </c>
      <c r="G157" s="4">
        <v>3035809</v>
      </c>
      <c r="H157" s="3" t="s">
        <v>103</v>
      </c>
      <c r="I157" s="4">
        <v>3353206</v>
      </c>
    </row>
    <row r="158" spans="2:9" x14ac:dyDescent="0.3">
      <c r="B158" s="4"/>
      <c r="E158" s="101"/>
      <c r="F158" s="4"/>
    </row>
    <row r="159" spans="2:9" x14ac:dyDescent="0.3">
      <c r="B159" s="44">
        <v>46095</v>
      </c>
      <c r="C159" s="3" t="s">
        <v>416</v>
      </c>
      <c r="D159" s="3" t="s">
        <v>486</v>
      </c>
      <c r="E159" s="101"/>
      <c r="F159" s="4" t="s">
        <v>559</v>
      </c>
      <c r="G159" s="4">
        <v>3969200</v>
      </c>
      <c r="H159" s="3" t="s">
        <v>108</v>
      </c>
      <c r="I159" s="4">
        <v>3359700</v>
      </c>
    </row>
    <row r="160" spans="2:9" x14ac:dyDescent="0.3">
      <c r="B160" s="44">
        <v>46095</v>
      </c>
      <c r="C160" s="3" t="s">
        <v>416</v>
      </c>
      <c r="D160" s="3" t="s">
        <v>486</v>
      </c>
      <c r="E160" s="101"/>
      <c r="F160" s="4" t="s">
        <v>102</v>
      </c>
      <c r="G160" s="4">
        <v>3125406</v>
      </c>
      <c r="H160" s="3" t="s">
        <v>106</v>
      </c>
      <c r="I160" s="4">
        <v>3067607</v>
      </c>
    </row>
    <row r="161" spans="2:9" x14ac:dyDescent="0.3">
      <c r="B161" s="44">
        <v>46095</v>
      </c>
      <c r="C161" s="3" t="s">
        <v>416</v>
      </c>
      <c r="D161" s="3" t="s">
        <v>486</v>
      </c>
      <c r="E161" s="101"/>
      <c r="F161" s="4" t="s">
        <v>98</v>
      </c>
      <c r="G161" s="4">
        <v>3358909</v>
      </c>
      <c r="H161" s="4" t="s">
        <v>97</v>
      </c>
      <c r="I161" s="4">
        <v>3362005</v>
      </c>
    </row>
    <row r="162" spans="2:9" x14ac:dyDescent="0.3">
      <c r="B162" s="44">
        <v>46095</v>
      </c>
      <c r="C162" s="3" t="s">
        <v>416</v>
      </c>
      <c r="D162" s="3" t="s">
        <v>486</v>
      </c>
      <c r="E162" s="101"/>
      <c r="F162" s="4" t="s">
        <v>104</v>
      </c>
      <c r="G162" s="4">
        <v>3036308</v>
      </c>
      <c r="H162" s="4" t="s">
        <v>110</v>
      </c>
      <c r="I162" s="4">
        <v>3359106</v>
      </c>
    </row>
    <row r="163" spans="2:9" x14ac:dyDescent="0.3">
      <c r="B163" s="44">
        <v>46095</v>
      </c>
      <c r="C163" s="3" t="s">
        <v>416</v>
      </c>
      <c r="D163" s="3" t="s">
        <v>486</v>
      </c>
      <c r="E163" s="101"/>
      <c r="F163" s="3" t="s">
        <v>109</v>
      </c>
      <c r="G163" s="4">
        <v>3067701</v>
      </c>
      <c r="H163" s="3" t="s">
        <v>105</v>
      </c>
      <c r="I163" s="4">
        <v>3035809</v>
      </c>
    </row>
    <row r="164" spans="2:9" x14ac:dyDescent="0.3">
      <c r="B164" s="44">
        <v>46095</v>
      </c>
      <c r="C164" s="3" t="s">
        <v>416</v>
      </c>
      <c r="D164" s="3" t="s">
        <v>486</v>
      </c>
      <c r="E164" s="101"/>
      <c r="F164" s="3" t="s">
        <v>103</v>
      </c>
      <c r="G164" s="4">
        <v>3353206</v>
      </c>
      <c r="H164" s="3" t="s">
        <v>406</v>
      </c>
      <c r="I164" s="4">
        <v>3124501</v>
      </c>
    </row>
    <row r="165" spans="2:9" x14ac:dyDescent="0.3">
      <c r="B165" s="4"/>
      <c r="E165" s="101"/>
      <c r="F165" s="4"/>
    </row>
    <row r="166" spans="2:9" x14ac:dyDescent="0.3">
      <c r="B166" s="44">
        <v>46102</v>
      </c>
      <c r="C166" s="3" t="s">
        <v>416</v>
      </c>
      <c r="D166" s="3" t="s">
        <v>486</v>
      </c>
      <c r="E166" s="101"/>
      <c r="F166" s="3" t="s">
        <v>406</v>
      </c>
      <c r="G166" s="4">
        <v>3124501</v>
      </c>
      <c r="H166" s="4" t="s">
        <v>110</v>
      </c>
      <c r="I166" s="4">
        <v>3359106</v>
      </c>
    </row>
    <row r="167" spans="2:9" x14ac:dyDescent="0.3">
      <c r="B167" s="44">
        <v>46102</v>
      </c>
      <c r="C167" s="3" t="s">
        <v>416</v>
      </c>
      <c r="D167" s="3" t="s">
        <v>486</v>
      </c>
      <c r="E167" s="101"/>
      <c r="F167" s="3" t="s">
        <v>106</v>
      </c>
      <c r="G167" s="4">
        <v>3067607</v>
      </c>
      <c r="H167" s="4" t="s">
        <v>98</v>
      </c>
      <c r="I167" s="4">
        <v>3358909</v>
      </c>
    </row>
    <row r="168" spans="2:9" x14ac:dyDescent="0.3">
      <c r="B168" s="44">
        <v>46102</v>
      </c>
      <c r="C168" s="3" t="s">
        <v>416</v>
      </c>
      <c r="D168" s="3" t="s">
        <v>486</v>
      </c>
      <c r="E168" s="101"/>
      <c r="F168" s="3" t="s">
        <v>108</v>
      </c>
      <c r="G168" s="4">
        <v>3359700</v>
      </c>
      <c r="H168" s="4" t="s">
        <v>102</v>
      </c>
      <c r="I168" s="4">
        <v>3125406</v>
      </c>
    </row>
    <row r="169" spans="2:9" x14ac:dyDescent="0.3">
      <c r="B169" s="44">
        <v>46102</v>
      </c>
      <c r="C169" s="3" t="s">
        <v>416</v>
      </c>
      <c r="D169" s="3" t="s">
        <v>486</v>
      </c>
      <c r="E169" s="101"/>
      <c r="F169" s="4" t="s">
        <v>97</v>
      </c>
      <c r="G169" s="4">
        <v>3362005</v>
      </c>
      <c r="H169" s="4" t="s">
        <v>104</v>
      </c>
      <c r="I169" s="4">
        <v>3036308</v>
      </c>
    </row>
    <row r="170" spans="2:9" x14ac:dyDescent="0.3">
      <c r="B170" s="44">
        <v>46102</v>
      </c>
      <c r="C170" s="3" t="s">
        <v>416</v>
      </c>
      <c r="D170" s="3" t="s">
        <v>486</v>
      </c>
      <c r="E170" s="101"/>
      <c r="F170" s="3" t="s">
        <v>105</v>
      </c>
      <c r="G170" s="4">
        <v>3035809</v>
      </c>
      <c r="H170" s="3" t="s">
        <v>559</v>
      </c>
      <c r="I170" s="4">
        <v>3969200</v>
      </c>
    </row>
    <row r="171" spans="2:9" x14ac:dyDescent="0.3">
      <c r="B171" s="44">
        <v>46102</v>
      </c>
      <c r="C171" s="3" t="s">
        <v>416</v>
      </c>
      <c r="D171" s="3" t="s">
        <v>486</v>
      </c>
      <c r="E171" s="101"/>
      <c r="F171" s="3" t="s">
        <v>103</v>
      </c>
      <c r="G171" s="4">
        <v>3353206</v>
      </c>
      <c r="H171" s="3" t="s">
        <v>109</v>
      </c>
      <c r="I171" s="4">
        <v>3067701</v>
      </c>
    </row>
    <row r="172" spans="2:9" x14ac:dyDescent="0.3">
      <c r="B172" s="4"/>
      <c r="E172" s="101"/>
      <c r="F172" s="4"/>
    </row>
    <row r="173" spans="2:9" x14ac:dyDescent="0.3">
      <c r="B173" s="44">
        <v>46109</v>
      </c>
      <c r="C173" s="3" t="s">
        <v>416</v>
      </c>
      <c r="D173" s="3" t="s">
        <v>486</v>
      </c>
      <c r="E173" s="101"/>
      <c r="F173" s="4" t="s">
        <v>559</v>
      </c>
      <c r="G173" s="4">
        <v>3969200</v>
      </c>
      <c r="H173" s="3" t="s">
        <v>103</v>
      </c>
      <c r="I173" s="4">
        <v>3353206</v>
      </c>
    </row>
    <row r="174" spans="2:9" x14ac:dyDescent="0.3">
      <c r="B174" s="44">
        <v>46109</v>
      </c>
      <c r="C174" s="3" t="s">
        <v>416</v>
      </c>
      <c r="D174" s="3" t="s">
        <v>486</v>
      </c>
      <c r="E174" s="101"/>
      <c r="F174" s="4" t="s">
        <v>102</v>
      </c>
      <c r="G174" s="4">
        <v>3125406</v>
      </c>
      <c r="H174" s="3" t="s">
        <v>105</v>
      </c>
      <c r="I174" s="4">
        <v>3035809</v>
      </c>
    </row>
    <row r="175" spans="2:9" x14ac:dyDescent="0.3">
      <c r="B175" s="44">
        <v>46109</v>
      </c>
      <c r="C175" s="3" t="s">
        <v>416</v>
      </c>
      <c r="D175" s="3" t="s">
        <v>486</v>
      </c>
      <c r="E175" s="101"/>
      <c r="F175" s="4" t="s">
        <v>98</v>
      </c>
      <c r="G175" s="4">
        <v>3358909</v>
      </c>
      <c r="H175" s="3" t="s">
        <v>108</v>
      </c>
      <c r="I175" s="4">
        <v>3359700</v>
      </c>
    </row>
    <row r="176" spans="2:9" x14ac:dyDescent="0.3">
      <c r="B176" s="44">
        <v>46109</v>
      </c>
      <c r="C176" s="3" t="s">
        <v>416</v>
      </c>
      <c r="D176" s="3" t="s">
        <v>486</v>
      </c>
      <c r="E176" s="101"/>
      <c r="F176" s="4" t="s">
        <v>104</v>
      </c>
      <c r="G176" s="4">
        <v>3036308</v>
      </c>
      <c r="H176" s="3" t="s">
        <v>106</v>
      </c>
      <c r="I176" s="4">
        <v>3067607</v>
      </c>
    </row>
    <row r="177" spans="2:9" x14ac:dyDescent="0.3">
      <c r="B177" s="44">
        <v>46109</v>
      </c>
      <c r="C177" s="3" t="s">
        <v>416</v>
      </c>
      <c r="D177" s="3" t="s">
        <v>486</v>
      </c>
      <c r="E177" s="101"/>
      <c r="F177" s="4" t="s">
        <v>110</v>
      </c>
      <c r="G177" s="4">
        <v>3359106</v>
      </c>
      <c r="H177" s="4" t="s">
        <v>97</v>
      </c>
      <c r="I177" s="4">
        <v>3362005</v>
      </c>
    </row>
    <row r="178" spans="2:9" x14ac:dyDescent="0.3">
      <c r="B178" s="44">
        <v>46109</v>
      </c>
      <c r="C178" s="3" t="s">
        <v>416</v>
      </c>
      <c r="D178" s="3" t="s">
        <v>486</v>
      </c>
      <c r="E178" s="101"/>
      <c r="F178" s="3" t="s">
        <v>109</v>
      </c>
      <c r="G178" s="4">
        <v>3067701</v>
      </c>
      <c r="H178" s="3" t="s">
        <v>406</v>
      </c>
      <c r="I178" s="4">
        <v>3124501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929" priority="58"/>
  </conditionalFormatting>
  <conditionalFormatting sqref="I10:L21">
    <cfRule type="cellIs" dxfId="5928" priority="4" operator="lessThan">
      <formula>5</formula>
    </cfRule>
    <cfRule type="cellIs" dxfId="5927" priority="5" operator="greaterThan">
      <formula>6</formula>
    </cfRule>
  </conditionalFormatting>
  <conditionalFormatting sqref="J10:J21">
    <cfRule type="containsText" dxfId="5926" priority="1" operator="containsText" text="c'[Fixtures All.xlsx]Women Filtered'!$F$2">
      <formula>NOT(ISERROR(SEARCH("c'[Fixtures All.xlsx]Women Filtered'!$F$2",J10)))</formula>
    </cfRule>
  </conditionalFormatting>
  <conditionalFormatting sqref="K3:K4">
    <cfRule type="duplicateValues" dxfId="5925" priority="28"/>
  </conditionalFormatting>
  <conditionalFormatting sqref="K5">
    <cfRule type="duplicateValues" dxfId="5924" priority="27"/>
  </conditionalFormatting>
  <conditionalFormatting sqref="K7:K8">
    <cfRule type="duplicateValues" dxfId="5923" priority="2502"/>
  </conditionalFormatting>
  <conditionalFormatting sqref="K9:K21">
    <cfRule type="containsText" dxfId="5922" priority="14" operator="containsText" text="c'[Fixtures All.xlsx]Women Filtered'!$F$2">
      <formula>NOT(ISERROR(SEARCH("c'[Fixtures All.xlsx]Women Filtered'!$F$2",K9)))</formula>
    </cfRule>
  </conditionalFormatting>
  <conditionalFormatting sqref="L10:L21">
    <cfRule type="containsText" dxfId="5921" priority="13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7BF4AF84-8C0B-49CA-A89E-92FE24DB6435}"/>
    <hyperlink ref="K5:K6" location="'All Fixtures'!A1" display="See all NW Fixtures" xr:uid="{177694C6-F2B1-43AF-A705-D2BF6655346A}"/>
  </hyperlinks>
  <pageMargins left="0.7" right="0.7" top="0.75" bottom="0.75" header="0.3" footer="0.3"/>
  <ignoredErrors>
    <ignoredError sqref="J10:J21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02288-9099-4830-BB63-1E16E987B0DA}">
  <dimension ref="A2:AQ178"/>
  <sheetViews>
    <sheetView workbookViewId="0"/>
  </sheetViews>
  <sheetFormatPr defaultRowHeight="14.4" x14ac:dyDescent="0.3"/>
  <cols>
    <col min="1" max="1" width="4.6640625" style="47" customWidth="1"/>
    <col min="2" max="2" width="22.21875" style="3" customWidth="1"/>
    <col min="3" max="3" width="28.33203125" style="3" customWidth="1"/>
    <col min="4" max="4" width="31.21875" style="3" customWidth="1"/>
    <col min="5" max="5" width="15.77734375" style="3" customWidth="1"/>
    <col min="6" max="6" width="24.5546875" style="3" customWidth="1"/>
    <col min="7" max="7" width="16.44140625" style="3" customWidth="1"/>
    <col min="8" max="8" width="28.5546875" style="3" customWidth="1"/>
    <col min="9" max="9" width="12.109375" style="3" customWidth="1"/>
    <col min="10" max="10" width="8.44140625" style="3" customWidth="1"/>
    <col min="11" max="11" width="18.5546875" style="51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487</v>
      </c>
      <c r="F3" s="16"/>
      <c r="H3" s="16"/>
      <c r="I3" s="16"/>
      <c r="J3" s="16"/>
      <c r="K3" s="45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C8" s="59"/>
      <c r="D8" s="59"/>
      <c r="E8" s="59"/>
      <c r="F8" s="59"/>
      <c r="G8" s="59"/>
      <c r="H8" s="59"/>
      <c r="I8" s="59"/>
    </row>
    <row r="9" spans="1:12" ht="15" customHeight="1" x14ac:dyDescent="0.4">
      <c r="B9" s="21" t="s">
        <v>85</v>
      </c>
      <c r="C9" s="59"/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COUNTIF(F$26:H$178,"Alderley Edge 2")</f>
        <v>22</v>
      </c>
      <c r="B10" s="104" t="s">
        <v>96</v>
      </c>
      <c r="C10" s="74">
        <v>3067107</v>
      </c>
      <c r="D10" s="57">
        <f>COUNTIF(F$26:I$178,"3067107")</f>
        <v>22</v>
      </c>
      <c r="E10" s="59"/>
      <c r="F10" s="57">
        <f>COUNTIF(F$26:F$178,"Alderley Edge 2")</f>
        <v>11</v>
      </c>
      <c r="G10" s="57"/>
      <c r="H10" s="57">
        <f>COUNTIF(H$26:H$178,"Alderley Edge 2")</f>
        <v>11</v>
      </c>
      <c r="I10" s="57">
        <f>COUNTIF(F$26:F$101,"Alderley Edge 2")</f>
        <v>5</v>
      </c>
      <c r="J10" s="57">
        <f>COUNTIF(F$102:F$178,"Alderley Edge 2")</f>
        <v>6</v>
      </c>
      <c r="K10" s="57">
        <f>COUNTIF(H$26:H$101,"Alderley Edge 2")</f>
        <v>6</v>
      </c>
      <c r="L10" s="57">
        <f>COUNTIF(H$102:H$178,"Alderley Edge 2")</f>
        <v>5</v>
      </c>
    </row>
    <row r="11" spans="1:12" ht="15" customHeight="1" x14ac:dyDescent="0.3">
      <c r="A11" s="47">
        <f>COUNTIF(F$26:H$178,"Bowdon 3")</f>
        <v>22</v>
      </c>
      <c r="B11" s="3" t="s">
        <v>127</v>
      </c>
      <c r="C11" s="74">
        <v>3360809</v>
      </c>
      <c r="D11" s="57">
        <f>COUNTIF(F$26:I$178,"3360809")</f>
        <v>22</v>
      </c>
      <c r="E11" s="59"/>
      <c r="F11" s="57">
        <f>COUNTIF(F$26:F$178,"Bowdon 3")</f>
        <v>11</v>
      </c>
      <c r="G11" s="57"/>
      <c r="H11" s="57">
        <f>COUNTIF(H$26:H$178,"Bowdon 3")</f>
        <v>11</v>
      </c>
      <c r="I11" s="57">
        <f>COUNTIF(F$26:F$101,"Bowdon 3")</f>
        <v>5</v>
      </c>
      <c r="J11" s="57">
        <f>COUNTIF(F$102:F$178,"Bowdon 3")</f>
        <v>6</v>
      </c>
      <c r="K11" s="57">
        <f>COUNTIF(H$26:H$101,"Bowdon 3")</f>
        <v>6</v>
      </c>
      <c r="L11" s="57">
        <f>COUNTIF(H$102:H$178,"Bowdon 3")</f>
        <v>5</v>
      </c>
    </row>
    <row r="12" spans="1:12" ht="15" customHeight="1" x14ac:dyDescent="0.3">
      <c r="A12" s="47">
        <f>COUNTIF(F$26:H$178,"Buxton 1")</f>
        <v>22</v>
      </c>
      <c r="B12" s="3" t="s">
        <v>107</v>
      </c>
      <c r="C12" s="74">
        <v>3068408</v>
      </c>
      <c r="D12" s="57">
        <f>COUNTIF(F$26:I$178,"3068408")</f>
        <v>22</v>
      </c>
      <c r="E12" s="59"/>
      <c r="F12" s="57">
        <f>COUNTIF(F$26:F$178,"Buxton 1")</f>
        <v>11</v>
      </c>
      <c r="G12" s="57"/>
      <c r="H12" s="57">
        <f>COUNTIF(H$26:H$178,"Buxton 1")</f>
        <v>11</v>
      </c>
      <c r="I12" s="57">
        <f>COUNTIF(F$26:F$101,"Buxton 1")</f>
        <v>5</v>
      </c>
      <c r="J12" s="57">
        <f>COUNTIF(F$102:F$178,"Buxton 1")</f>
        <v>6</v>
      </c>
      <c r="K12" s="57">
        <f>COUNTIF(H$26:H$101,"Buxton 1")</f>
        <v>6</v>
      </c>
      <c r="L12" s="57">
        <f>COUNTIF(H$102:H$178,"Buxton 1")</f>
        <v>5</v>
      </c>
    </row>
    <row r="13" spans="1:12" ht="15" customHeight="1" x14ac:dyDescent="0.3">
      <c r="A13" s="47">
        <f>COUNTIF(F$26:H$178,"Keswick 1")</f>
        <v>22</v>
      </c>
      <c r="B13" s="103" t="s">
        <v>101</v>
      </c>
      <c r="C13" s="53">
        <v>3067305</v>
      </c>
      <c r="D13" s="57">
        <f>COUNTIF(F$26:I$178,"3067305")</f>
        <v>22</v>
      </c>
      <c r="E13" s="59"/>
      <c r="F13" s="57">
        <f>COUNTIF(F$26:F$178,"Keswick 1")</f>
        <v>11</v>
      </c>
      <c r="G13" s="57"/>
      <c r="H13" s="57">
        <f>COUNTIF(H$26:H$178,"Keswick 1")</f>
        <v>11</v>
      </c>
      <c r="I13" s="57">
        <f>COUNTIF(F$26:F$101,"Keswick 1")</f>
        <v>5</v>
      </c>
      <c r="J13" s="57">
        <f>COUNTIF(F$102:F$178,"Keswick 1")</f>
        <v>6</v>
      </c>
      <c r="K13" s="57">
        <f>COUNTIF(H$26:H$101,"Keswick 1")</f>
        <v>6</v>
      </c>
      <c r="L13" s="57">
        <f>COUNTIF(H$102:H$178,"Keswick 1")</f>
        <v>5</v>
      </c>
    </row>
    <row r="14" spans="1:12" ht="15" customHeight="1" x14ac:dyDescent="0.3">
      <c r="A14" s="47">
        <f>COUNTIF(F$26:H$178,"Lancaster University 1")</f>
        <v>22</v>
      </c>
      <c r="B14" s="3" t="s">
        <v>111</v>
      </c>
      <c r="C14" s="74">
        <v>3354601</v>
      </c>
      <c r="D14" s="57">
        <f>COUNTIF(F$26:I$178,"3354601")</f>
        <v>22</v>
      </c>
      <c r="E14" s="59"/>
      <c r="F14" s="57">
        <f>COUNTIF(F$26:F$178,"Lancaster University 1")</f>
        <v>11</v>
      </c>
      <c r="G14" s="57"/>
      <c r="H14" s="57">
        <f>COUNTIF(H$26:H$178,"Lancaster University 1")</f>
        <v>11</v>
      </c>
      <c r="I14" s="57">
        <f>COUNTIF(F$26:F$101,"Lancaster University 1")</f>
        <v>6</v>
      </c>
      <c r="J14" s="57">
        <f>COUNTIF(F$102:F$178,"Lancaster University 1")</f>
        <v>5</v>
      </c>
      <c r="K14" s="57">
        <f>COUNTIF(H$26:H$101,"Lancaster University 1")</f>
        <v>5</v>
      </c>
      <c r="L14" s="57">
        <f>COUNTIF(H$102:H$178,"Lancaster University 1")</f>
        <v>6</v>
      </c>
    </row>
    <row r="15" spans="1:12" ht="15" customHeight="1" x14ac:dyDescent="0.3">
      <c r="A15" s="47">
        <f>COUNTIF(F$26:H$178,"Oxton 2")</f>
        <v>22</v>
      </c>
      <c r="B15" s="3" t="s">
        <v>113</v>
      </c>
      <c r="C15" s="74">
        <v>3352009</v>
      </c>
      <c r="D15" s="57">
        <f>COUNTIF(F$26:I$178,"3352009")</f>
        <v>22</v>
      </c>
      <c r="E15" s="59"/>
      <c r="F15" s="57">
        <f>COUNTIF(F$26:F$178,"Oxton 2")</f>
        <v>11</v>
      </c>
      <c r="G15" s="57"/>
      <c r="H15" s="57">
        <f>COUNTIF(H$26:H$178,"Oxton 2")</f>
        <v>11</v>
      </c>
      <c r="I15" s="57">
        <f>COUNTIF(F$26:F$101,"Oxton 2")</f>
        <v>6</v>
      </c>
      <c r="J15" s="57">
        <f>COUNTIF(F$102:F$178,"Oxton 2")</f>
        <v>5</v>
      </c>
      <c r="K15" s="57">
        <f>COUNTIF(H$26:H$101,"Oxton 2")</f>
        <v>5</v>
      </c>
      <c r="L15" s="57">
        <f>COUNTIF(H$102:H$178,"Oxton 2")</f>
        <v>6</v>
      </c>
    </row>
    <row r="16" spans="1:12" ht="15" customHeight="1" x14ac:dyDescent="0.3">
      <c r="A16" s="47">
        <f>COUNTIF(F$26:H$178,"Preston 3")</f>
        <v>22</v>
      </c>
      <c r="B16" s="3" t="s">
        <v>114</v>
      </c>
      <c r="C16" s="74">
        <v>3351000</v>
      </c>
      <c r="D16" s="57">
        <f>COUNTIF(F$26:I$178,"3351000")</f>
        <v>22</v>
      </c>
      <c r="E16" s="59"/>
      <c r="F16" s="57">
        <f>COUNTIF(F$26:F$178,"Preston 3")</f>
        <v>11</v>
      </c>
      <c r="G16" s="57"/>
      <c r="H16" s="57">
        <f>COUNTIF(H$26:H$178,"Preston 3")</f>
        <v>11</v>
      </c>
      <c r="I16" s="57">
        <f>COUNTIF(F$26:F$101,"Preston 3")</f>
        <v>5</v>
      </c>
      <c r="J16" s="57">
        <f>COUNTIF(F$102:F$178,"Preston 3")</f>
        <v>6</v>
      </c>
      <c r="K16" s="57">
        <f>COUNTIF(H$26:H$101,"Preston 3")</f>
        <v>6</v>
      </c>
      <c r="L16" s="57">
        <f>COUNTIF(H$102:H$178,"Preston 3")</f>
        <v>5</v>
      </c>
    </row>
    <row r="17" spans="1:12" x14ac:dyDescent="0.3">
      <c r="A17" s="47">
        <f>COUNTIF(F$26:H$178,"Stockport Bramhall 1")</f>
        <v>22</v>
      </c>
      <c r="B17" s="103" t="s">
        <v>419</v>
      </c>
      <c r="C17" s="53">
        <v>3349204</v>
      </c>
      <c r="D17" s="57">
        <f>COUNTIF(F$26:I$178,"3349204")</f>
        <v>22</v>
      </c>
      <c r="E17" s="59"/>
      <c r="F17" s="57">
        <f>COUNTIF(F$26:F$178,"Stockport Bramhall 1")</f>
        <v>11</v>
      </c>
      <c r="G17" s="57"/>
      <c r="H17" s="57">
        <f>COUNTIF(H$26:H$178,"Stockport Bramhall 1")</f>
        <v>11</v>
      </c>
      <c r="I17" s="57">
        <f>COUNTIF(F$26:F$101,"Stockport Bramhall 1")</f>
        <v>6</v>
      </c>
      <c r="J17" s="57">
        <f>COUNTIF(F$102:F$178,"Stockport Bramhall 1")</f>
        <v>5</v>
      </c>
      <c r="K17" s="57">
        <f>COUNTIF(H$26:H$101,"Stockport Bramhall 1")</f>
        <v>5</v>
      </c>
      <c r="L17" s="57">
        <f>COUNTIF(H$102:H$178,"Stockport Bramhall 1")</f>
        <v>6</v>
      </c>
    </row>
    <row r="18" spans="1:12" x14ac:dyDescent="0.3">
      <c r="A18" s="47">
        <f>COUNTIF(F$26:H$178,"Timperley 3")</f>
        <v>22</v>
      </c>
      <c r="B18" s="3" t="s">
        <v>133</v>
      </c>
      <c r="C18" s="74">
        <v>3348705</v>
      </c>
      <c r="D18" s="57">
        <f>COUNTIF(F$26:I$178,"3348705")</f>
        <v>22</v>
      </c>
      <c r="E18" s="59"/>
      <c r="F18" s="57">
        <f>COUNTIF(F$26:F$178,"Timperley 3")</f>
        <v>11</v>
      </c>
      <c r="G18" s="57"/>
      <c r="H18" s="57">
        <f>COUNTIF(H$26:H$178,"Timperley 3")</f>
        <v>11</v>
      </c>
      <c r="I18" s="57">
        <f>COUNTIF(F$26:F$101,"Timperley 3")</f>
        <v>6</v>
      </c>
      <c r="J18" s="57">
        <f>COUNTIF(F$102:F$178,"Timperley 3")</f>
        <v>5</v>
      </c>
      <c r="K18" s="57">
        <f>COUNTIF(H$26:H$101,"Timperley 3")</f>
        <v>5</v>
      </c>
      <c r="L18" s="57">
        <f>COUNTIF(H$102:H$178,"Timperley 3")</f>
        <v>6</v>
      </c>
    </row>
    <row r="19" spans="1:12" x14ac:dyDescent="0.3">
      <c r="A19" s="47">
        <f>COUNTIF(F$26:H$178,"Triton 1")</f>
        <v>22</v>
      </c>
      <c r="B19" s="3" t="s">
        <v>115</v>
      </c>
      <c r="C19" s="74">
        <v>3068106</v>
      </c>
      <c r="D19" s="57">
        <f>COUNTIF(F$26:I$178,"3068106")</f>
        <v>22</v>
      </c>
      <c r="E19" s="59"/>
      <c r="F19" s="57">
        <f>COUNTIF(F$26:F$178,"Triton 1")</f>
        <v>11</v>
      </c>
      <c r="G19" s="57"/>
      <c r="H19" s="57">
        <f>COUNTIF(H$26:H$178,"Triton 1")</f>
        <v>11</v>
      </c>
      <c r="I19" s="57">
        <f>COUNTIF(F$26:F$101,"Triton 1")</f>
        <v>6</v>
      </c>
      <c r="J19" s="57">
        <f>COUNTIF(F$102:F$178,"Triton 1")</f>
        <v>5</v>
      </c>
      <c r="K19" s="57">
        <f>COUNTIF(H$26:H$101,"Triton 1")</f>
        <v>5</v>
      </c>
      <c r="L19" s="57">
        <f>COUNTIF(H$102:H$178,"Triton 1")</f>
        <v>6</v>
      </c>
    </row>
    <row r="20" spans="1:12" x14ac:dyDescent="0.3">
      <c r="A20" s="47">
        <f>COUNTIF(F$26:H$178,"Wigton 1")</f>
        <v>22</v>
      </c>
      <c r="B20" s="103" t="s">
        <v>124</v>
      </c>
      <c r="C20" s="53">
        <v>3267501</v>
      </c>
      <c r="D20" s="57">
        <f>COUNTIF(F$26:I$178,"3267501")</f>
        <v>22</v>
      </c>
      <c r="E20" s="59"/>
      <c r="F20" s="57">
        <f>COUNTIF(F$26:F$178,"Wigton 1")</f>
        <v>11</v>
      </c>
      <c r="G20" s="57"/>
      <c r="H20" s="57">
        <f>COUNTIF(H$26:H$178,"Wigton 1")</f>
        <v>11</v>
      </c>
      <c r="I20" s="57">
        <f>COUNTIF(F$26:F$101,"Wigton 1")</f>
        <v>6</v>
      </c>
      <c r="J20" s="57">
        <f>COUNTIF(F$102:F$178,"Wigton 1")</f>
        <v>5</v>
      </c>
      <c r="K20" s="57">
        <f>COUNTIF(H$26:H$101,"Wigton 1")</f>
        <v>5</v>
      </c>
      <c r="L20" s="57">
        <f>COUNTIF(H$102:H$178,"Wigton 1")</f>
        <v>6</v>
      </c>
    </row>
    <row r="21" spans="1:12" x14ac:dyDescent="0.3">
      <c r="A21" s="47">
        <f>COUNTIF(F$26:H$178,"Winnington Park 1")</f>
        <v>22</v>
      </c>
      <c r="B21" s="3" t="s">
        <v>116</v>
      </c>
      <c r="C21" s="74">
        <v>3346009</v>
      </c>
      <c r="D21" s="57">
        <f>COUNTIF(F$26:I$178,"3346009")</f>
        <v>22</v>
      </c>
      <c r="E21" s="59"/>
      <c r="F21" s="57">
        <f>COUNTIF(F$26:F$178,"Winnington Park 1")</f>
        <v>11</v>
      </c>
      <c r="G21" s="57"/>
      <c r="H21" s="57">
        <f>COUNTIF(H$26:H$178,"Winnington Park 1")</f>
        <v>11</v>
      </c>
      <c r="I21" s="57">
        <f>COUNTIF(F$26:F$101,"Winnington Park 1")</f>
        <v>5</v>
      </c>
      <c r="J21" s="57">
        <f>COUNTIF(F$102:F$178,"Winnington Park 1")</f>
        <v>6</v>
      </c>
      <c r="K21" s="57">
        <f>COUNTIF(H$26:H$101,"Winnington Park 1")</f>
        <v>6</v>
      </c>
      <c r="L21" s="57">
        <f>COUNTIF(H$102:H$178,"Winnington Park 1")</f>
        <v>5</v>
      </c>
    </row>
    <row r="22" spans="1:12" x14ac:dyDescent="0.3">
      <c r="B22" s="31"/>
      <c r="C22" s="59"/>
      <c r="D22" s="59"/>
      <c r="E22" s="59"/>
      <c r="F22" s="59"/>
      <c r="G22" s="59"/>
      <c r="H22" s="59"/>
      <c r="I22" s="59"/>
    </row>
    <row r="23" spans="1:12" ht="21" x14ac:dyDescent="0.4">
      <c r="B23" s="22" t="s">
        <v>93</v>
      </c>
      <c r="C23" s="59"/>
      <c r="D23" s="59"/>
      <c r="E23" s="59"/>
      <c r="F23" s="59"/>
      <c r="G23" s="59"/>
      <c r="H23" s="59"/>
      <c r="I23" s="59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J24" s="14"/>
    </row>
    <row r="26" spans="1:12" x14ac:dyDescent="0.3">
      <c r="B26" s="44">
        <v>45913</v>
      </c>
      <c r="C26" s="3" t="s">
        <v>416</v>
      </c>
      <c r="D26" s="3" t="s">
        <v>487</v>
      </c>
      <c r="E26" s="96"/>
      <c r="F26" s="4" t="s">
        <v>107</v>
      </c>
      <c r="G26" s="4">
        <v>3068408</v>
      </c>
      <c r="H26" s="3" t="s">
        <v>127</v>
      </c>
      <c r="I26" s="4">
        <v>3360809</v>
      </c>
      <c r="J26" s="4"/>
      <c r="K26" s="4"/>
    </row>
    <row r="27" spans="1:12" x14ac:dyDescent="0.3">
      <c r="B27" s="44">
        <v>45913</v>
      </c>
      <c r="C27" s="3" t="s">
        <v>416</v>
      </c>
      <c r="D27" s="3" t="s">
        <v>487</v>
      </c>
      <c r="E27" s="96"/>
      <c r="F27" s="4" t="s">
        <v>113</v>
      </c>
      <c r="G27" s="4">
        <v>3352009</v>
      </c>
      <c r="H27" s="3" t="s">
        <v>116</v>
      </c>
      <c r="I27" s="4">
        <v>3346009</v>
      </c>
      <c r="J27" s="4"/>
    </row>
    <row r="28" spans="1:12" x14ac:dyDescent="0.3">
      <c r="B28" s="44">
        <v>45913</v>
      </c>
      <c r="C28" s="3" t="s">
        <v>416</v>
      </c>
      <c r="D28" s="3" t="s">
        <v>487</v>
      </c>
      <c r="E28" s="96"/>
      <c r="F28" s="3" t="s">
        <v>96</v>
      </c>
      <c r="G28" s="4">
        <v>3067107</v>
      </c>
      <c r="H28" s="4" t="s">
        <v>114</v>
      </c>
      <c r="I28" s="4">
        <v>3351000</v>
      </c>
      <c r="J28" s="4"/>
      <c r="K28" s="4"/>
    </row>
    <row r="29" spans="1:12" x14ac:dyDescent="0.3">
      <c r="B29" s="44">
        <v>45913</v>
      </c>
      <c r="C29" s="3" t="s">
        <v>416</v>
      </c>
      <c r="D29" s="3" t="s">
        <v>487</v>
      </c>
      <c r="E29" s="96"/>
      <c r="F29" s="4" t="s">
        <v>133</v>
      </c>
      <c r="G29" s="4">
        <v>3348705</v>
      </c>
      <c r="H29" s="3" t="s">
        <v>111</v>
      </c>
      <c r="I29" s="4">
        <v>3354601</v>
      </c>
      <c r="K29" s="4"/>
    </row>
    <row r="30" spans="1:12" x14ac:dyDescent="0.3">
      <c r="B30" s="44">
        <v>45913</v>
      </c>
      <c r="C30" s="3" t="s">
        <v>416</v>
      </c>
      <c r="D30" s="3" t="s">
        <v>487</v>
      </c>
      <c r="E30" s="96"/>
      <c r="F30" s="4" t="s">
        <v>115</v>
      </c>
      <c r="G30" s="4">
        <v>3068106</v>
      </c>
      <c r="H30" s="3" t="s">
        <v>419</v>
      </c>
      <c r="I30" s="4">
        <v>3349204</v>
      </c>
      <c r="J30" s="4"/>
    </row>
    <row r="31" spans="1:12" s="3" customFormat="1" x14ac:dyDescent="0.3">
      <c r="A31" s="47"/>
      <c r="B31" s="44">
        <v>45913</v>
      </c>
      <c r="C31" s="3" t="s">
        <v>416</v>
      </c>
      <c r="D31" s="3" t="s">
        <v>487</v>
      </c>
      <c r="E31" s="96"/>
      <c r="F31" s="4" t="s">
        <v>124</v>
      </c>
      <c r="G31" s="4">
        <v>3267501</v>
      </c>
      <c r="H31" s="3" t="s">
        <v>101</v>
      </c>
      <c r="I31" s="4">
        <v>3067305</v>
      </c>
      <c r="J31" s="4"/>
      <c r="K31" s="51"/>
    </row>
    <row r="32" spans="1:12" x14ac:dyDescent="0.3">
      <c r="B32" s="4"/>
      <c r="E32" s="96"/>
      <c r="F32" s="4"/>
      <c r="G32" s="4"/>
    </row>
    <row r="33" spans="2:11" x14ac:dyDescent="0.3">
      <c r="B33" s="44">
        <v>45920</v>
      </c>
      <c r="C33" s="3" t="s">
        <v>416</v>
      </c>
      <c r="D33" s="3" t="s">
        <v>487</v>
      </c>
      <c r="E33" s="96"/>
      <c r="F33" s="3" t="s">
        <v>111</v>
      </c>
      <c r="G33" s="4">
        <v>3354601</v>
      </c>
      <c r="H33" s="4" t="s">
        <v>115</v>
      </c>
      <c r="I33" s="4">
        <v>3068106</v>
      </c>
      <c r="J33" s="4"/>
    </row>
    <row r="34" spans="2:11" x14ac:dyDescent="0.3">
      <c r="B34" s="44">
        <v>45920</v>
      </c>
      <c r="C34" s="3" t="s">
        <v>416</v>
      </c>
      <c r="D34" s="3" t="s">
        <v>487</v>
      </c>
      <c r="E34" s="96"/>
      <c r="F34" s="3" t="s">
        <v>419</v>
      </c>
      <c r="G34" s="4">
        <v>3349204</v>
      </c>
      <c r="H34" s="3" t="s">
        <v>96</v>
      </c>
      <c r="I34" s="4">
        <v>3067107</v>
      </c>
      <c r="K34" s="4"/>
    </row>
    <row r="35" spans="2:11" x14ac:dyDescent="0.3">
      <c r="B35" s="44">
        <v>45920</v>
      </c>
      <c r="C35" s="3" t="s">
        <v>416</v>
      </c>
      <c r="D35" s="3" t="s">
        <v>487</v>
      </c>
      <c r="E35" s="96"/>
      <c r="F35" s="3" t="s">
        <v>101</v>
      </c>
      <c r="G35" s="4">
        <v>3067305</v>
      </c>
      <c r="H35" s="4" t="s">
        <v>133</v>
      </c>
      <c r="I35" s="4">
        <v>3348705</v>
      </c>
      <c r="J35" s="4"/>
    </row>
    <row r="36" spans="2:11" x14ac:dyDescent="0.3">
      <c r="B36" s="44">
        <v>45920</v>
      </c>
      <c r="C36" s="3" t="s">
        <v>416</v>
      </c>
      <c r="D36" s="3" t="s">
        <v>487</v>
      </c>
      <c r="E36" s="96"/>
      <c r="F36" s="3" t="s">
        <v>127</v>
      </c>
      <c r="G36" s="4">
        <v>3360809</v>
      </c>
      <c r="H36" s="4" t="s">
        <v>113</v>
      </c>
      <c r="I36" s="4">
        <v>3352009</v>
      </c>
      <c r="J36" s="4"/>
    </row>
    <row r="37" spans="2:11" x14ac:dyDescent="0.3">
      <c r="B37" s="44">
        <v>45920</v>
      </c>
      <c r="C37" s="3" t="s">
        <v>416</v>
      </c>
      <c r="D37" s="3" t="s">
        <v>487</v>
      </c>
      <c r="E37" s="96"/>
      <c r="F37" s="4" t="s">
        <v>114</v>
      </c>
      <c r="G37" s="4">
        <v>3351000</v>
      </c>
      <c r="H37" s="4" t="s">
        <v>107</v>
      </c>
      <c r="I37" s="4">
        <v>3068408</v>
      </c>
      <c r="J37" s="4"/>
    </row>
    <row r="38" spans="2:11" x14ac:dyDescent="0.3">
      <c r="B38" s="44">
        <v>45920</v>
      </c>
      <c r="C38" s="3" t="s">
        <v>416</v>
      </c>
      <c r="D38" s="3" t="s">
        <v>487</v>
      </c>
      <c r="E38" s="96"/>
      <c r="F38" s="3" t="s">
        <v>116</v>
      </c>
      <c r="G38" s="4">
        <v>3346009</v>
      </c>
      <c r="H38" s="4" t="s">
        <v>124</v>
      </c>
      <c r="I38" s="4">
        <v>3267501</v>
      </c>
      <c r="J38" s="4"/>
    </row>
    <row r="39" spans="2:11" x14ac:dyDescent="0.3">
      <c r="B39" s="4"/>
      <c r="E39" s="96"/>
      <c r="F39" s="4" t="s">
        <v>418</v>
      </c>
      <c r="G39" s="4"/>
    </row>
    <row r="40" spans="2:11" x14ac:dyDescent="0.3">
      <c r="B40" s="44">
        <v>45927</v>
      </c>
      <c r="C40" s="3" t="s">
        <v>416</v>
      </c>
      <c r="D40" s="3" t="s">
        <v>487</v>
      </c>
      <c r="E40" s="96"/>
      <c r="F40" s="4" t="s">
        <v>107</v>
      </c>
      <c r="G40" s="4">
        <v>3068408</v>
      </c>
      <c r="H40" s="3" t="s">
        <v>96</v>
      </c>
      <c r="I40" s="4">
        <v>3067107</v>
      </c>
      <c r="K40" s="4"/>
    </row>
    <row r="41" spans="2:11" x14ac:dyDescent="0.3">
      <c r="B41" s="44">
        <v>45927</v>
      </c>
      <c r="C41" s="3" t="s">
        <v>416</v>
      </c>
      <c r="D41" s="3" t="s">
        <v>487</v>
      </c>
      <c r="E41" s="96"/>
      <c r="F41" s="4" t="s">
        <v>113</v>
      </c>
      <c r="G41" s="4">
        <v>3352009</v>
      </c>
      <c r="H41" s="4" t="s">
        <v>114</v>
      </c>
      <c r="I41" s="4">
        <v>3351000</v>
      </c>
      <c r="J41" s="4"/>
    </row>
    <row r="42" spans="2:11" x14ac:dyDescent="0.3">
      <c r="B42" s="44">
        <v>45927</v>
      </c>
      <c r="C42" s="3" t="s">
        <v>416</v>
      </c>
      <c r="D42" s="3" t="s">
        <v>487</v>
      </c>
      <c r="E42" s="96"/>
      <c r="F42" s="3" t="s">
        <v>111</v>
      </c>
      <c r="G42" s="4">
        <v>3354601</v>
      </c>
      <c r="H42" s="3" t="s">
        <v>419</v>
      </c>
      <c r="I42" s="4">
        <v>3349204</v>
      </c>
      <c r="K42" s="4"/>
    </row>
    <row r="43" spans="2:11" x14ac:dyDescent="0.3">
      <c r="B43" s="44">
        <v>45927</v>
      </c>
      <c r="C43" s="3" t="s">
        <v>416</v>
      </c>
      <c r="D43" s="3" t="s">
        <v>487</v>
      </c>
      <c r="E43" s="96"/>
      <c r="F43" s="4" t="s">
        <v>124</v>
      </c>
      <c r="G43" s="4">
        <v>3267501</v>
      </c>
      <c r="H43" s="3" t="s">
        <v>127</v>
      </c>
      <c r="I43" s="4">
        <v>3360809</v>
      </c>
      <c r="J43" s="4"/>
    </row>
    <row r="44" spans="2:11" x14ac:dyDescent="0.3">
      <c r="B44" s="44">
        <v>45927</v>
      </c>
      <c r="C44" s="3" t="s">
        <v>416</v>
      </c>
      <c r="D44" s="3" t="s">
        <v>487</v>
      </c>
      <c r="E44" s="96"/>
      <c r="F44" s="4" t="s">
        <v>133</v>
      </c>
      <c r="G44" s="4">
        <v>3348705</v>
      </c>
      <c r="H44" s="3" t="s">
        <v>116</v>
      </c>
      <c r="I44" s="4">
        <v>3346009</v>
      </c>
      <c r="J44" s="4"/>
    </row>
    <row r="45" spans="2:11" x14ac:dyDescent="0.3">
      <c r="B45" s="44">
        <v>45927</v>
      </c>
      <c r="C45" s="3" t="s">
        <v>416</v>
      </c>
      <c r="D45" s="3" t="s">
        <v>487</v>
      </c>
      <c r="E45" s="96"/>
      <c r="F45" s="4" t="s">
        <v>115</v>
      </c>
      <c r="G45" s="4">
        <v>3068106</v>
      </c>
      <c r="H45" s="3" t="s">
        <v>101</v>
      </c>
      <c r="I45" s="4">
        <v>3067305</v>
      </c>
      <c r="J45" s="4"/>
    </row>
    <row r="46" spans="2:11" x14ac:dyDescent="0.3">
      <c r="B46" s="4"/>
      <c r="E46" s="96"/>
      <c r="F46" s="4" t="s">
        <v>418</v>
      </c>
      <c r="G46" s="4"/>
    </row>
    <row r="47" spans="2:11" x14ac:dyDescent="0.3">
      <c r="B47" s="44">
        <v>45934</v>
      </c>
      <c r="C47" s="3" t="s">
        <v>416</v>
      </c>
      <c r="D47" s="3" t="s">
        <v>487</v>
      </c>
      <c r="E47" s="96"/>
      <c r="F47" s="3" t="s">
        <v>96</v>
      </c>
      <c r="G47" s="4">
        <v>3067107</v>
      </c>
      <c r="H47" s="4" t="s">
        <v>113</v>
      </c>
      <c r="I47" s="4">
        <v>3352009</v>
      </c>
      <c r="J47" s="4"/>
    </row>
    <row r="48" spans="2:11" x14ac:dyDescent="0.3">
      <c r="B48" s="44">
        <v>45934</v>
      </c>
      <c r="C48" s="3" t="s">
        <v>416</v>
      </c>
      <c r="D48" s="3" t="s">
        <v>487</v>
      </c>
      <c r="E48" s="96"/>
      <c r="F48" s="3" t="s">
        <v>419</v>
      </c>
      <c r="G48" s="4">
        <v>3349204</v>
      </c>
      <c r="H48" s="4" t="s">
        <v>107</v>
      </c>
      <c r="I48" s="4">
        <v>3068408</v>
      </c>
      <c r="J48" s="4"/>
      <c r="K48" s="4"/>
    </row>
    <row r="49" spans="2:14" x14ac:dyDescent="0.3">
      <c r="B49" s="44">
        <v>45934</v>
      </c>
      <c r="C49" s="3" t="s">
        <v>416</v>
      </c>
      <c r="D49" s="3" t="s">
        <v>487</v>
      </c>
      <c r="E49" s="96"/>
      <c r="F49" s="3" t="s">
        <v>101</v>
      </c>
      <c r="G49" s="4">
        <v>3067305</v>
      </c>
      <c r="H49" s="3" t="s">
        <v>111</v>
      </c>
      <c r="I49" s="4">
        <v>3354601</v>
      </c>
      <c r="J49" s="4"/>
    </row>
    <row r="50" spans="2:14" x14ac:dyDescent="0.3">
      <c r="B50" s="44">
        <v>45934</v>
      </c>
      <c r="C50" s="3" t="s">
        <v>416</v>
      </c>
      <c r="D50" s="3" t="s">
        <v>487</v>
      </c>
      <c r="E50" s="96"/>
      <c r="F50" s="3" t="s">
        <v>127</v>
      </c>
      <c r="G50" s="4">
        <v>3360809</v>
      </c>
      <c r="H50" s="4" t="s">
        <v>133</v>
      </c>
      <c r="I50" s="4">
        <v>3348705</v>
      </c>
      <c r="J50" s="4"/>
    </row>
    <row r="51" spans="2:14" x14ac:dyDescent="0.3">
      <c r="B51" s="44">
        <v>45934</v>
      </c>
      <c r="C51" s="3" t="s">
        <v>416</v>
      </c>
      <c r="D51" s="3" t="s">
        <v>487</v>
      </c>
      <c r="E51" s="96"/>
      <c r="F51" s="4" t="s">
        <v>114</v>
      </c>
      <c r="G51" s="4">
        <v>3351000</v>
      </c>
      <c r="H51" s="4" t="s">
        <v>124</v>
      </c>
      <c r="I51" s="4">
        <v>3267501</v>
      </c>
      <c r="J51" s="4"/>
    </row>
    <row r="52" spans="2:14" x14ac:dyDescent="0.3">
      <c r="B52" s="44">
        <v>45934</v>
      </c>
      <c r="C52" s="3" t="s">
        <v>416</v>
      </c>
      <c r="D52" s="3" t="s">
        <v>487</v>
      </c>
      <c r="E52" s="96"/>
      <c r="F52" s="3" t="s">
        <v>116</v>
      </c>
      <c r="G52" s="4">
        <v>3346009</v>
      </c>
      <c r="H52" s="4" t="s">
        <v>115</v>
      </c>
      <c r="I52" s="4">
        <v>3068106</v>
      </c>
      <c r="J52" s="4"/>
    </row>
    <row r="53" spans="2:14" x14ac:dyDescent="0.3">
      <c r="B53" s="4"/>
      <c r="E53" s="96"/>
      <c r="F53" s="4" t="s">
        <v>418</v>
      </c>
      <c r="G53" s="4"/>
    </row>
    <row r="54" spans="2:14" x14ac:dyDescent="0.3">
      <c r="B54" s="44">
        <v>45941</v>
      </c>
      <c r="C54" s="3" t="s">
        <v>416</v>
      </c>
      <c r="D54" s="3" t="s">
        <v>487</v>
      </c>
      <c r="E54" s="96"/>
      <c r="F54" s="3" t="s">
        <v>111</v>
      </c>
      <c r="G54" s="4">
        <v>3354601</v>
      </c>
      <c r="H54" s="3" t="s">
        <v>116</v>
      </c>
      <c r="I54" s="4">
        <v>3346009</v>
      </c>
      <c r="J54" s="4"/>
    </row>
    <row r="55" spans="2:14" x14ac:dyDescent="0.3">
      <c r="B55" s="44">
        <v>45941</v>
      </c>
      <c r="C55" s="3" t="s">
        <v>416</v>
      </c>
      <c r="D55" s="3" t="s">
        <v>487</v>
      </c>
      <c r="E55" s="96"/>
      <c r="F55" s="4" t="s">
        <v>113</v>
      </c>
      <c r="G55" s="4">
        <v>3352009</v>
      </c>
      <c r="H55" s="4" t="s">
        <v>107</v>
      </c>
      <c r="I55" s="4">
        <v>3068408</v>
      </c>
      <c r="J55" s="4"/>
    </row>
    <row r="56" spans="2:14" x14ac:dyDescent="0.3">
      <c r="B56" s="44">
        <v>45941</v>
      </c>
      <c r="C56" s="3" t="s">
        <v>416</v>
      </c>
      <c r="D56" s="3" t="s">
        <v>487</v>
      </c>
      <c r="E56" s="96"/>
      <c r="F56" s="3" t="s">
        <v>101</v>
      </c>
      <c r="G56" s="4">
        <v>3067305</v>
      </c>
      <c r="H56" s="3" t="s">
        <v>419</v>
      </c>
      <c r="I56" s="4">
        <v>3349204</v>
      </c>
      <c r="K56" s="4"/>
    </row>
    <row r="57" spans="2:14" x14ac:dyDescent="0.3">
      <c r="B57" s="44">
        <v>45941</v>
      </c>
      <c r="C57" s="3" t="s">
        <v>416</v>
      </c>
      <c r="D57" s="3" t="s">
        <v>487</v>
      </c>
      <c r="E57" s="96"/>
      <c r="F57" s="4" t="s">
        <v>124</v>
      </c>
      <c r="G57" s="4">
        <v>3267501</v>
      </c>
      <c r="H57" s="3" t="s">
        <v>96</v>
      </c>
      <c r="I57" s="4">
        <v>3067107</v>
      </c>
      <c r="J57" s="4"/>
    </row>
    <row r="58" spans="2:14" x14ac:dyDescent="0.3">
      <c r="B58" s="44">
        <v>45941</v>
      </c>
      <c r="C58" s="3" t="s">
        <v>416</v>
      </c>
      <c r="D58" s="3" t="s">
        <v>487</v>
      </c>
      <c r="E58" s="96"/>
      <c r="F58" s="4" t="s">
        <v>133</v>
      </c>
      <c r="G58" s="4">
        <v>3348705</v>
      </c>
      <c r="H58" s="4" t="s">
        <v>114</v>
      </c>
      <c r="I58" s="4">
        <v>3351000</v>
      </c>
      <c r="J58" s="4"/>
    </row>
    <row r="59" spans="2:14" x14ac:dyDescent="0.3">
      <c r="B59" s="44">
        <v>45941</v>
      </c>
      <c r="C59" s="3" t="s">
        <v>416</v>
      </c>
      <c r="D59" s="3" t="s">
        <v>487</v>
      </c>
      <c r="E59" s="96"/>
      <c r="F59" s="4" t="s">
        <v>115</v>
      </c>
      <c r="G59" s="4">
        <v>3068106</v>
      </c>
      <c r="H59" s="3" t="s">
        <v>127</v>
      </c>
      <c r="I59" s="4">
        <v>3360809</v>
      </c>
      <c r="J59" s="4"/>
    </row>
    <row r="60" spans="2:14" x14ac:dyDescent="0.3">
      <c r="B60" s="4"/>
      <c r="E60" s="96"/>
      <c r="F60" s="4"/>
      <c r="G60" s="4"/>
    </row>
    <row r="61" spans="2:14" x14ac:dyDescent="0.3">
      <c r="B61" s="44">
        <v>45948</v>
      </c>
      <c r="C61" s="3" t="s">
        <v>416</v>
      </c>
      <c r="D61" s="3" t="s">
        <v>487</v>
      </c>
      <c r="E61" s="96"/>
      <c r="F61" s="3" t="s">
        <v>96</v>
      </c>
      <c r="G61" s="4">
        <v>3067107</v>
      </c>
      <c r="H61" s="4" t="s">
        <v>133</v>
      </c>
      <c r="I61" s="4">
        <v>3348705</v>
      </c>
      <c r="J61" s="4"/>
    </row>
    <row r="62" spans="2:14" x14ac:dyDescent="0.3">
      <c r="B62" s="44">
        <v>45948</v>
      </c>
      <c r="C62" s="3" t="s">
        <v>416</v>
      </c>
      <c r="D62" s="3" t="s">
        <v>487</v>
      </c>
      <c r="E62" s="96"/>
      <c r="F62" s="4" t="s">
        <v>107</v>
      </c>
      <c r="G62" s="4">
        <v>3068408</v>
      </c>
      <c r="H62" s="4" t="s">
        <v>124</v>
      </c>
      <c r="I62" s="4">
        <v>3267501</v>
      </c>
      <c r="J62" s="4"/>
    </row>
    <row r="63" spans="2:14" x14ac:dyDescent="0.3">
      <c r="B63" s="44">
        <v>45948</v>
      </c>
      <c r="C63" s="3" t="s">
        <v>416</v>
      </c>
      <c r="D63" s="3" t="s">
        <v>487</v>
      </c>
      <c r="E63" s="96"/>
      <c r="F63" s="3" t="s">
        <v>419</v>
      </c>
      <c r="G63" s="4">
        <v>3349204</v>
      </c>
      <c r="H63" s="4" t="s">
        <v>113</v>
      </c>
      <c r="I63" s="4">
        <v>3352009</v>
      </c>
      <c r="J63" s="4"/>
      <c r="K63" s="4"/>
      <c r="L63" s="4"/>
      <c r="N63" s="4"/>
    </row>
    <row r="64" spans="2:14" x14ac:dyDescent="0.3">
      <c r="B64" s="44">
        <v>45948</v>
      </c>
      <c r="C64" s="3" t="s">
        <v>416</v>
      </c>
      <c r="D64" s="3" t="s">
        <v>487</v>
      </c>
      <c r="E64" s="96"/>
      <c r="F64" s="3" t="s">
        <v>127</v>
      </c>
      <c r="G64" s="4">
        <v>3360809</v>
      </c>
      <c r="H64" s="3" t="s">
        <v>111</v>
      </c>
      <c r="I64" s="4">
        <v>3354601</v>
      </c>
      <c r="J64" s="4"/>
    </row>
    <row r="65" spans="2:11" x14ac:dyDescent="0.3">
      <c r="B65" s="44">
        <v>45948</v>
      </c>
      <c r="C65" s="3" t="s">
        <v>416</v>
      </c>
      <c r="D65" s="3" t="s">
        <v>487</v>
      </c>
      <c r="E65" s="96"/>
      <c r="F65" s="4" t="s">
        <v>114</v>
      </c>
      <c r="G65" s="4">
        <v>3351000</v>
      </c>
      <c r="H65" s="4" t="s">
        <v>115</v>
      </c>
      <c r="I65" s="4">
        <v>3068106</v>
      </c>
      <c r="J65" s="4"/>
    </row>
    <row r="66" spans="2:11" x14ac:dyDescent="0.3">
      <c r="B66" s="44">
        <v>45948</v>
      </c>
      <c r="C66" s="3" t="s">
        <v>416</v>
      </c>
      <c r="D66" s="3" t="s">
        <v>487</v>
      </c>
      <c r="E66" s="96"/>
      <c r="F66" s="3" t="s">
        <v>116</v>
      </c>
      <c r="G66" s="4">
        <v>3346009</v>
      </c>
      <c r="H66" s="3" t="s">
        <v>101</v>
      </c>
      <c r="I66" s="4">
        <v>3067305</v>
      </c>
      <c r="J66" s="4"/>
    </row>
    <row r="67" spans="2:11" x14ac:dyDescent="0.3">
      <c r="B67" s="4"/>
      <c r="E67" s="96"/>
      <c r="F67" s="4" t="s">
        <v>418</v>
      </c>
      <c r="G67" s="4"/>
    </row>
    <row r="68" spans="2:11" x14ac:dyDescent="0.3">
      <c r="B68" s="44">
        <v>45962</v>
      </c>
      <c r="C68" s="3" t="s">
        <v>416</v>
      </c>
      <c r="D68" s="3" t="s">
        <v>487</v>
      </c>
      <c r="E68" s="96"/>
      <c r="F68" s="4" t="s">
        <v>114</v>
      </c>
      <c r="G68" s="4">
        <v>3351000</v>
      </c>
      <c r="H68" s="3" t="s">
        <v>111</v>
      </c>
      <c r="I68" s="4">
        <v>3354601</v>
      </c>
      <c r="K68" s="4"/>
    </row>
    <row r="69" spans="2:11" x14ac:dyDescent="0.3">
      <c r="B69" s="44">
        <v>45962</v>
      </c>
      <c r="C69" s="3" t="s">
        <v>416</v>
      </c>
      <c r="D69" s="3" t="s">
        <v>487</v>
      </c>
      <c r="E69" s="96"/>
      <c r="F69" s="3" t="s">
        <v>419</v>
      </c>
      <c r="G69" s="4">
        <v>3349204</v>
      </c>
      <c r="H69" s="3" t="s">
        <v>116</v>
      </c>
      <c r="I69" s="4">
        <v>3346009</v>
      </c>
      <c r="J69" s="4"/>
    </row>
    <row r="70" spans="2:11" x14ac:dyDescent="0.3">
      <c r="B70" s="44">
        <v>45962</v>
      </c>
      <c r="C70" s="3" t="s">
        <v>416</v>
      </c>
      <c r="D70" s="3" t="s">
        <v>487</v>
      </c>
      <c r="E70" s="96"/>
      <c r="F70" s="3" t="s">
        <v>127</v>
      </c>
      <c r="G70" s="4">
        <v>3360809</v>
      </c>
      <c r="H70" s="3" t="s">
        <v>101</v>
      </c>
      <c r="I70" s="4">
        <v>3067305</v>
      </c>
      <c r="J70" s="4"/>
    </row>
    <row r="71" spans="2:11" x14ac:dyDescent="0.3">
      <c r="B71" s="44">
        <v>45962</v>
      </c>
      <c r="C71" s="3" t="s">
        <v>416</v>
      </c>
      <c r="D71" s="3" t="s">
        <v>487</v>
      </c>
      <c r="E71" s="96"/>
      <c r="F71" s="4" t="s">
        <v>124</v>
      </c>
      <c r="G71" s="4">
        <v>3267501</v>
      </c>
      <c r="H71" s="4" t="s">
        <v>113</v>
      </c>
      <c r="I71" s="4">
        <v>3352009</v>
      </c>
      <c r="J71" s="4"/>
    </row>
    <row r="72" spans="2:11" x14ac:dyDescent="0.3">
      <c r="B72" s="44">
        <v>45962</v>
      </c>
      <c r="C72" s="3" t="s">
        <v>416</v>
      </c>
      <c r="D72" s="3" t="s">
        <v>487</v>
      </c>
      <c r="E72" s="96"/>
      <c r="F72" s="4" t="s">
        <v>133</v>
      </c>
      <c r="G72" s="4">
        <v>3348705</v>
      </c>
      <c r="H72" s="4" t="s">
        <v>107</v>
      </c>
      <c r="I72" s="4">
        <v>3068408</v>
      </c>
      <c r="J72" s="4"/>
    </row>
    <row r="73" spans="2:11" x14ac:dyDescent="0.3">
      <c r="B73" s="44">
        <v>45962</v>
      </c>
      <c r="C73" s="3" t="s">
        <v>416</v>
      </c>
      <c r="D73" s="3" t="s">
        <v>487</v>
      </c>
      <c r="E73" s="96"/>
      <c r="F73" s="4" t="s">
        <v>115</v>
      </c>
      <c r="G73" s="4">
        <v>3068106</v>
      </c>
      <c r="H73" s="3" t="s">
        <v>96</v>
      </c>
      <c r="I73" s="4">
        <v>3067107</v>
      </c>
      <c r="J73" s="4"/>
    </row>
    <row r="74" spans="2:11" x14ac:dyDescent="0.3">
      <c r="B74" s="4"/>
      <c r="E74" s="96"/>
      <c r="F74" s="4" t="s">
        <v>418</v>
      </c>
      <c r="G74" s="4"/>
    </row>
    <row r="75" spans="2:11" x14ac:dyDescent="0.3">
      <c r="B75" s="44">
        <v>45969</v>
      </c>
      <c r="C75" s="3" t="s">
        <v>416</v>
      </c>
      <c r="D75" s="3" t="s">
        <v>487</v>
      </c>
      <c r="E75" s="96"/>
      <c r="F75" s="3" t="s">
        <v>111</v>
      </c>
      <c r="G75" s="4">
        <v>3354601</v>
      </c>
      <c r="H75" s="3" t="s">
        <v>96</v>
      </c>
      <c r="I75" s="4">
        <v>3067107</v>
      </c>
      <c r="K75" s="4"/>
    </row>
    <row r="76" spans="2:11" x14ac:dyDescent="0.3">
      <c r="B76" s="44">
        <v>45969</v>
      </c>
      <c r="C76" s="3" t="s">
        <v>416</v>
      </c>
      <c r="D76" s="3" t="s">
        <v>487</v>
      </c>
      <c r="E76" s="96"/>
      <c r="F76" s="4" t="s">
        <v>107</v>
      </c>
      <c r="G76" s="4">
        <v>3068408</v>
      </c>
      <c r="H76" s="4" t="s">
        <v>115</v>
      </c>
      <c r="I76" s="4">
        <v>3068106</v>
      </c>
      <c r="J76" s="4"/>
    </row>
    <row r="77" spans="2:11" x14ac:dyDescent="0.3">
      <c r="B77" s="44">
        <v>45969</v>
      </c>
      <c r="C77" s="3" t="s">
        <v>416</v>
      </c>
      <c r="D77" s="3" t="s">
        <v>487</v>
      </c>
      <c r="E77" s="96"/>
      <c r="F77" s="4" t="s">
        <v>113</v>
      </c>
      <c r="G77" s="4">
        <v>3352009</v>
      </c>
      <c r="H77" s="4" t="s">
        <v>133</v>
      </c>
      <c r="I77" s="4">
        <v>3348705</v>
      </c>
      <c r="J77" s="4"/>
    </row>
    <row r="78" spans="2:11" x14ac:dyDescent="0.3">
      <c r="B78" s="44">
        <v>45969</v>
      </c>
      <c r="C78" s="3" t="s">
        <v>416</v>
      </c>
      <c r="D78" s="3" t="s">
        <v>487</v>
      </c>
      <c r="E78" s="96"/>
      <c r="F78" s="4" t="s">
        <v>124</v>
      </c>
      <c r="G78" s="4">
        <v>3267501</v>
      </c>
      <c r="H78" s="3" t="s">
        <v>419</v>
      </c>
      <c r="I78" s="4">
        <v>3349204</v>
      </c>
      <c r="J78" s="4"/>
    </row>
    <row r="79" spans="2:11" x14ac:dyDescent="0.3">
      <c r="B79" s="44">
        <v>45969</v>
      </c>
      <c r="C79" s="3" t="s">
        <v>416</v>
      </c>
      <c r="D79" s="3" t="s">
        <v>487</v>
      </c>
      <c r="E79" s="96"/>
      <c r="F79" s="3" t="s">
        <v>116</v>
      </c>
      <c r="G79" s="4">
        <v>3346009</v>
      </c>
      <c r="H79" s="3" t="s">
        <v>127</v>
      </c>
      <c r="I79" s="4">
        <v>3360809</v>
      </c>
      <c r="J79" s="4"/>
    </row>
    <row r="80" spans="2:11" x14ac:dyDescent="0.3">
      <c r="B80" s="44">
        <v>45969</v>
      </c>
      <c r="C80" s="3" t="s">
        <v>416</v>
      </c>
      <c r="D80" s="3" t="s">
        <v>487</v>
      </c>
      <c r="E80" s="96"/>
      <c r="F80" s="3" t="s">
        <v>101</v>
      </c>
      <c r="G80" s="4">
        <v>3067305</v>
      </c>
      <c r="H80" s="4" t="s">
        <v>114</v>
      </c>
      <c r="I80" s="4">
        <v>3351000</v>
      </c>
      <c r="J80" s="4"/>
      <c r="K80" s="4"/>
    </row>
    <row r="81" spans="2:11" x14ac:dyDescent="0.3">
      <c r="B81" s="4"/>
      <c r="E81" s="96"/>
      <c r="F81" s="4" t="s">
        <v>418</v>
      </c>
      <c r="G81" s="4"/>
    </row>
    <row r="82" spans="2:11" x14ac:dyDescent="0.3">
      <c r="B82" s="44">
        <v>45976</v>
      </c>
      <c r="C82" s="3" t="s">
        <v>416</v>
      </c>
      <c r="D82" s="3" t="s">
        <v>487</v>
      </c>
      <c r="E82" s="96"/>
      <c r="F82" s="3" t="s">
        <v>111</v>
      </c>
      <c r="G82" s="4">
        <v>3354601</v>
      </c>
      <c r="H82" s="4" t="s">
        <v>107</v>
      </c>
      <c r="I82" s="4">
        <v>3068408</v>
      </c>
      <c r="J82" s="4"/>
    </row>
    <row r="83" spans="2:11" x14ac:dyDescent="0.3">
      <c r="B83" s="44">
        <v>45976</v>
      </c>
      <c r="C83" s="3" t="s">
        <v>416</v>
      </c>
      <c r="D83" s="3" t="s">
        <v>487</v>
      </c>
      <c r="E83" s="96"/>
      <c r="F83" s="3" t="s">
        <v>419</v>
      </c>
      <c r="G83" s="4">
        <v>3349204</v>
      </c>
      <c r="H83" s="3" t="s">
        <v>127</v>
      </c>
      <c r="I83" s="4">
        <v>3360809</v>
      </c>
      <c r="J83" s="4"/>
    </row>
    <row r="84" spans="2:11" x14ac:dyDescent="0.3">
      <c r="B84" s="44">
        <v>45976</v>
      </c>
      <c r="C84" s="3" t="s">
        <v>416</v>
      </c>
      <c r="D84" s="3" t="s">
        <v>487</v>
      </c>
      <c r="E84" s="96"/>
      <c r="F84" s="3" t="s">
        <v>96</v>
      </c>
      <c r="G84" s="4">
        <v>3067107</v>
      </c>
      <c r="H84" s="3" t="s">
        <v>101</v>
      </c>
      <c r="I84" s="4">
        <v>3067305</v>
      </c>
      <c r="K84" s="4"/>
    </row>
    <row r="85" spans="2:11" x14ac:dyDescent="0.3">
      <c r="B85" s="44">
        <v>45976</v>
      </c>
      <c r="C85" s="3" t="s">
        <v>416</v>
      </c>
      <c r="D85" s="3" t="s">
        <v>487</v>
      </c>
      <c r="E85" s="96"/>
      <c r="F85" s="4" t="s">
        <v>133</v>
      </c>
      <c r="G85" s="4">
        <v>3348705</v>
      </c>
      <c r="H85" s="4" t="s">
        <v>124</v>
      </c>
      <c r="I85" s="4">
        <v>3267501</v>
      </c>
      <c r="J85" s="4"/>
    </row>
    <row r="86" spans="2:11" x14ac:dyDescent="0.3">
      <c r="B86" s="44">
        <v>45976</v>
      </c>
      <c r="C86" s="3" t="s">
        <v>416</v>
      </c>
      <c r="D86" s="3" t="s">
        <v>487</v>
      </c>
      <c r="E86" s="96"/>
      <c r="F86" s="4" t="s">
        <v>115</v>
      </c>
      <c r="G86" s="4">
        <v>3068106</v>
      </c>
      <c r="H86" s="4" t="s">
        <v>113</v>
      </c>
      <c r="I86" s="4">
        <v>3352009</v>
      </c>
      <c r="J86" s="4"/>
    </row>
    <row r="87" spans="2:11" x14ac:dyDescent="0.3">
      <c r="B87" s="44">
        <v>45976</v>
      </c>
      <c r="C87" s="3" t="s">
        <v>416</v>
      </c>
      <c r="D87" s="3" t="s">
        <v>487</v>
      </c>
      <c r="E87" s="96"/>
      <c r="F87" s="4" t="s">
        <v>114</v>
      </c>
      <c r="G87" s="4">
        <v>3351000</v>
      </c>
      <c r="H87" s="3" t="s">
        <v>116</v>
      </c>
      <c r="I87" s="4">
        <v>3346009</v>
      </c>
      <c r="K87" s="4"/>
    </row>
    <row r="88" spans="2:11" x14ac:dyDescent="0.3">
      <c r="B88" s="4"/>
      <c r="E88" s="96"/>
      <c r="F88" s="4" t="s">
        <v>418</v>
      </c>
      <c r="G88" s="4"/>
    </row>
    <row r="89" spans="2:11" x14ac:dyDescent="0.3">
      <c r="B89" s="44">
        <v>45983</v>
      </c>
      <c r="C89" s="3" t="s">
        <v>416</v>
      </c>
      <c r="D89" s="3" t="s">
        <v>487</v>
      </c>
      <c r="E89" s="96"/>
      <c r="F89" s="3" t="s">
        <v>116</v>
      </c>
      <c r="G89" s="4">
        <v>3346009</v>
      </c>
      <c r="H89" s="3" t="s">
        <v>96</v>
      </c>
      <c r="I89" s="4">
        <v>3067107</v>
      </c>
      <c r="J89" s="4"/>
    </row>
    <row r="90" spans="2:11" x14ac:dyDescent="0.3">
      <c r="B90" s="44">
        <v>45983</v>
      </c>
      <c r="C90" s="3" t="s">
        <v>416</v>
      </c>
      <c r="D90" s="3" t="s">
        <v>487</v>
      </c>
      <c r="E90" s="96"/>
      <c r="F90" s="3" t="s">
        <v>101</v>
      </c>
      <c r="G90" s="4">
        <v>3067305</v>
      </c>
      <c r="H90" s="4" t="s">
        <v>107</v>
      </c>
      <c r="I90" s="4">
        <v>3068408</v>
      </c>
      <c r="J90" s="4"/>
    </row>
    <row r="91" spans="2:11" x14ac:dyDescent="0.3">
      <c r="B91" s="44">
        <v>45983</v>
      </c>
      <c r="C91" s="3" t="s">
        <v>416</v>
      </c>
      <c r="D91" s="3" t="s">
        <v>487</v>
      </c>
      <c r="E91" s="96"/>
      <c r="F91" s="4" t="s">
        <v>113</v>
      </c>
      <c r="G91" s="4">
        <v>3352009</v>
      </c>
      <c r="H91" s="3" t="s">
        <v>111</v>
      </c>
      <c r="I91" s="4">
        <v>3354601</v>
      </c>
      <c r="J91" s="4"/>
    </row>
    <row r="92" spans="2:11" x14ac:dyDescent="0.3">
      <c r="B92" s="44">
        <v>45983</v>
      </c>
      <c r="C92" s="3" t="s">
        <v>416</v>
      </c>
      <c r="D92" s="3" t="s">
        <v>487</v>
      </c>
      <c r="E92" s="96"/>
      <c r="F92" s="4" t="s">
        <v>124</v>
      </c>
      <c r="G92" s="4">
        <v>3267501</v>
      </c>
      <c r="H92" s="4" t="s">
        <v>115</v>
      </c>
      <c r="I92" s="4">
        <v>3068106</v>
      </c>
      <c r="J92" s="4"/>
    </row>
    <row r="93" spans="2:11" x14ac:dyDescent="0.3">
      <c r="B93" s="44">
        <v>45983</v>
      </c>
      <c r="C93" s="3" t="s">
        <v>416</v>
      </c>
      <c r="D93" s="3" t="s">
        <v>487</v>
      </c>
      <c r="E93" s="96"/>
      <c r="F93" s="4" t="s">
        <v>133</v>
      </c>
      <c r="G93" s="4">
        <v>3348705</v>
      </c>
      <c r="H93" s="3" t="s">
        <v>419</v>
      </c>
      <c r="I93" s="4">
        <v>3349204</v>
      </c>
      <c r="J93" s="4"/>
    </row>
    <row r="94" spans="2:11" x14ac:dyDescent="0.3">
      <c r="B94" s="44">
        <v>45983</v>
      </c>
      <c r="C94" s="3" t="s">
        <v>416</v>
      </c>
      <c r="D94" s="3" t="s">
        <v>487</v>
      </c>
      <c r="E94" s="96"/>
      <c r="F94" s="3" t="s">
        <v>127</v>
      </c>
      <c r="G94" s="4">
        <v>3360809</v>
      </c>
      <c r="H94" s="4" t="s">
        <v>114</v>
      </c>
      <c r="I94" s="4">
        <v>3351000</v>
      </c>
      <c r="J94" s="4"/>
    </row>
    <row r="95" spans="2:11" x14ac:dyDescent="0.3">
      <c r="B95" s="4"/>
      <c r="E95" s="96"/>
      <c r="F95" s="4" t="s">
        <v>418</v>
      </c>
      <c r="G95" s="4"/>
    </row>
    <row r="96" spans="2:11" x14ac:dyDescent="0.3">
      <c r="B96" s="44">
        <v>45990</v>
      </c>
      <c r="C96" s="3" t="s">
        <v>416</v>
      </c>
      <c r="D96" s="3" t="s">
        <v>487</v>
      </c>
      <c r="E96" s="96"/>
      <c r="F96" s="3" t="s">
        <v>111</v>
      </c>
      <c r="G96" s="4">
        <v>3354601</v>
      </c>
      <c r="H96" s="4" t="s">
        <v>124</v>
      </c>
      <c r="I96" s="4">
        <v>3267501</v>
      </c>
      <c r="J96" s="4"/>
    </row>
    <row r="97" spans="2:14" x14ac:dyDescent="0.3">
      <c r="B97" s="44">
        <v>45990</v>
      </c>
      <c r="C97" s="3" t="s">
        <v>416</v>
      </c>
      <c r="D97" s="3" t="s">
        <v>487</v>
      </c>
      <c r="E97" s="96"/>
      <c r="F97" s="3" t="s">
        <v>419</v>
      </c>
      <c r="G97" s="4">
        <v>3349204</v>
      </c>
      <c r="H97" s="4" t="s">
        <v>114</v>
      </c>
      <c r="I97" s="4">
        <v>3351000</v>
      </c>
      <c r="J97" s="4"/>
    </row>
    <row r="98" spans="2:14" x14ac:dyDescent="0.3">
      <c r="B98" s="44">
        <v>45990</v>
      </c>
      <c r="C98" s="3" t="s">
        <v>416</v>
      </c>
      <c r="D98" s="3" t="s">
        <v>487</v>
      </c>
      <c r="E98" s="96"/>
      <c r="F98" s="4" t="s">
        <v>113</v>
      </c>
      <c r="G98" s="4">
        <v>3352009</v>
      </c>
      <c r="H98" s="3" t="s">
        <v>101</v>
      </c>
      <c r="I98" s="4">
        <v>3067305</v>
      </c>
      <c r="J98" s="4"/>
      <c r="K98" s="3"/>
      <c r="L98" s="4"/>
      <c r="M98" s="4"/>
      <c r="N98" s="4"/>
    </row>
    <row r="99" spans="2:14" x14ac:dyDescent="0.3">
      <c r="B99" s="44">
        <v>45990</v>
      </c>
      <c r="C99" s="3" t="s">
        <v>416</v>
      </c>
      <c r="D99" s="3" t="s">
        <v>487</v>
      </c>
      <c r="E99" s="96"/>
      <c r="F99" s="3" t="s">
        <v>96</v>
      </c>
      <c r="G99" s="4">
        <v>3067107</v>
      </c>
      <c r="H99" s="3" t="s">
        <v>127</v>
      </c>
      <c r="I99" s="4">
        <v>3360809</v>
      </c>
      <c r="J99" s="4"/>
    </row>
    <row r="100" spans="2:14" x14ac:dyDescent="0.3">
      <c r="B100" s="44">
        <v>45990</v>
      </c>
      <c r="C100" s="3" t="s">
        <v>416</v>
      </c>
      <c r="D100" s="3" t="s">
        <v>487</v>
      </c>
      <c r="E100" s="96"/>
      <c r="F100" s="4" t="s">
        <v>115</v>
      </c>
      <c r="G100" s="4">
        <v>3068106</v>
      </c>
      <c r="H100" s="4" t="s">
        <v>133</v>
      </c>
      <c r="I100" s="4">
        <v>3348705</v>
      </c>
      <c r="J100" s="4"/>
    </row>
    <row r="101" spans="2:14" x14ac:dyDescent="0.3">
      <c r="B101" s="44">
        <v>45990</v>
      </c>
      <c r="C101" s="3" t="s">
        <v>416</v>
      </c>
      <c r="D101" s="3" t="s">
        <v>487</v>
      </c>
      <c r="E101" s="96"/>
      <c r="F101" s="4" t="s">
        <v>107</v>
      </c>
      <c r="G101" s="4">
        <v>3068408</v>
      </c>
      <c r="H101" s="3" t="s">
        <v>116</v>
      </c>
      <c r="I101" s="4">
        <v>3346009</v>
      </c>
      <c r="J101" s="4"/>
    </row>
    <row r="102" spans="2:14" x14ac:dyDescent="0.3">
      <c r="B102" s="4"/>
      <c r="E102" s="96"/>
      <c r="F102" s="4" t="s">
        <v>418</v>
      </c>
      <c r="G102" s="4"/>
    </row>
    <row r="103" spans="2:14" x14ac:dyDescent="0.3">
      <c r="B103" s="44">
        <v>46032</v>
      </c>
      <c r="C103" s="3" t="s">
        <v>416</v>
      </c>
      <c r="D103" s="3" t="s">
        <v>487</v>
      </c>
      <c r="E103" s="96"/>
      <c r="F103" s="3" t="s">
        <v>111</v>
      </c>
      <c r="G103" s="4">
        <v>3354601</v>
      </c>
      <c r="H103" s="4" t="s">
        <v>133</v>
      </c>
      <c r="I103" s="4">
        <v>3348705</v>
      </c>
      <c r="J103" s="4"/>
    </row>
    <row r="104" spans="2:14" x14ac:dyDescent="0.3">
      <c r="B104" s="44">
        <v>46032</v>
      </c>
      <c r="C104" s="3" t="s">
        <v>416</v>
      </c>
      <c r="D104" s="3" t="s">
        <v>487</v>
      </c>
      <c r="E104" s="96"/>
      <c r="F104" s="3" t="s">
        <v>419</v>
      </c>
      <c r="G104" s="4">
        <v>3349204</v>
      </c>
      <c r="H104" s="4" t="s">
        <v>115</v>
      </c>
      <c r="I104" s="4">
        <v>3068106</v>
      </c>
      <c r="J104" s="4"/>
    </row>
    <row r="105" spans="2:14" x14ac:dyDescent="0.3">
      <c r="B105" s="44">
        <v>46032</v>
      </c>
      <c r="C105" s="3" t="s">
        <v>416</v>
      </c>
      <c r="D105" s="3" t="s">
        <v>487</v>
      </c>
      <c r="E105" s="96"/>
      <c r="F105" s="3" t="s">
        <v>101</v>
      </c>
      <c r="G105" s="4">
        <v>3067305</v>
      </c>
      <c r="H105" s="4" t="s">
        <v>124</v>
      </c>
      <c r="I105" s="4">
        <v>3267501</v>
      </c>
      <c r="K105" s="4"/>
      <c r="L105" s="4"/>
      <c r="N105" s="4"/>
    </row>
    <row r="106" spans="2:14" x14ac:dyDescent="0.3">
      <c r="B106" s="44">
        <v>46032</v>
      </c>
      <c r="C106" s="3" t="s">
        <v>416</v>
      </c>
      <c r="D106" s="3" t="s">
        <v>487</v>
      </c>
      <c r="E106" s="96"/>
      <c r="F106" s="3" t="s">
        <v>127</v>
      </c>
      <c r="G106" s="4">
        <v>3360809</v>
      </c>
      <c r="H106" s="4" t="s">
        <v>107</v>
      </c>
      <c r="I106" s="4">
        <v>3068408</v>
      </c>
      <c r="J106" s="4"/>
    </row>
    <row r="107" spans="2:14" x14ac:dyDescent="0.3">
      <c r="B107" s="44">
        <v>46032</v>
      </c>
      <c r="C107" s="3" t="s">
        <v>416</v>
      </c>
      <c r="D107" s="3" t="s">
        <v>487</v>
      </c>
      <c r="E107" s="96"/>
      <c r="F107" s="4" t="s">
        <v>114</v>
      </c>
      <c r="G107" s="4">
        <v>3351000</v>
      </c>
      <c r="H107" s="3" t="s">
        <v>96</v>
      </c>
      <c r="I107" s="4">
        <v>3067107</v>
      </c>
      <c r="K107" s="4"/>
    </row>
    <row r="108" spans="2:14" x14ac:dyDescent="0.3">
      <c r="B108" s="44">
        <v>46032</v>
      </c>
      <c r="C108" s="3" t="s">
        <v>416</v>
      </c>
      <c r="D108" s="3" t="s">
        <v>487</v>
      </c>
      <c r="E108" s="96"/>
      <c r="F108" s="3" t="s">
        <v>116</v>
      </c>
      <c r="G108" s="4">
        <v>3346009</v>
      </c>
      <c r="H108" s="4" t="s">
        <v>113</v>
      </c>
      <c r="I108" s="4">
        <v>3352009</v>
      </c>
      <c r="J108" s="4"/>
    </row>
    <row r="109" spans="2:14" x14ac:dyDescent="0.3">
      <c r="B109" s="4"/>
      <c r="E109" s="96"/>
      <c r="F109" s="4" t="s">
        <v>418</v>
      </c>
      <c r="G109" s="4"/>
    </row>
    <row r="110" spans="2:14" x14ac:dyDescent="0.3">
      <c r="B110" s="44">
        <v>46039</v>
      </c>
      <c r="C110" s="3" t="s">
        <v>416</v>
      </c>
      <c r="D110" s="3" t="s">
        <v>487</v>
      </c>
      <c r="E110" s="96"/>
      <c r="F110" s="3" t="s">
        <v>96</v>
      </c>
      <c r="G110" s="4">
        <v>3067107</v>
      </c>
      <c r="H110" s="3" t="s">
        <v>419</v>
      </c>
      <c r="I110" s="4">
        <v>3349204</v>
      </c>
      <c r="K110" s="4"/>
    </row>
    <row r="111" spans="2:14" x14ac:dyDescent="0.3">
      <c r="B111" s="44">
        <v>46039</v>
      </c>
      <c r="C111" s="3" t="s">
        <v>416</v>
      </c>
      <c r="D111" s="3" t="s">
        <v>487</v>
      </c>
      <c r="E111" s="96"/>
      <c r="F111" s="4" t="s">
        <v>107</v>
      </c>
      <c r="G111" s="4">
        <v>3068408</v>
      </c>
      <c r="H111" s="4" t="s">
        <v>114</v>
      </c>
      <c r="I111" s="4">
        <v>3351000</v>
      </c>
      <c r="J111" s="4"/>
    </row>
    <row r="112" spans="2:14" x14ac:dyDescent="0.3">
      <c r="B112" s="44">
        <v>46039</v>
      </c>
      <c r="C112" s="3" t="s">
        <v>416</v>
      </c>
      <c r="D112" s="3" t="s">
        <v>487</v>
      </c>
      <c r="E112" s="96"/>
      <c r="F112" s="4" t="s">
        <v>113</v>
      </c>
      <c r="G112" s="4">
        <v>3352009</v>
      </c>
      <c r="H112" s="3" t="s">
        <v>127</v>
      </c>
      <c r="I112" s="4">
        <v>3360809</v>
      </c>
      <c r="J112" s="4"/>
    </row>
    <row r="113" spans="2:11" x14ac:dyDescent="0.3">
      <c r="B113" s="44">
        <v>46039</v>
      </c>
      <c r="C113" s="3" t="s">
        <v>416</v>
      </c>
      <c r="D113" s="3" t="s">
        <v>487</v>
      </c>
      <c r="E113" s="96"/>
      <c r="F113" s="4" t="s">
        <v>124</v>
      </c>
      <c r="G113" s="4">
        <v>3267501</v>
      </c>
      <c r="H113" s="3" t="s">
        <v>116</v>
      </c>
      <c r="I113" s="4">
        <v>3346009</v>
      </c>
      <c r="J113" s="4"/>
    </row>
    <row r="114" spans="2:11" x14ac:dyDescent="0.3">
      <c r="B114" s="44">
        <v>46039</v>
      </c>
      <c r="C114" s="3" t="s">
        <v>416</v>
      </c>
      <c r="D114" s="3" t="s">
        <v>487</v>
      </c>
      <c r="E114" s="96"/>
      <c r="F114" s="4" t="s">
        <v>133</v>
      </c>
      <c r="G114" s="4">
        <v>3348705</v>
      </c>
      <c r="H114" s="3" t="s">
        <v>101</v>
      </c>
      <c r="I114" s="4">
        <v>3067305</v>
      </c>
      <c r="J114" s="4"/>
    </row>
    <row r="115" spans="2:11" x14ac:dyDescent="0.3">
      <c r="B115" s="44">
        <v>46039</v>
      </c>
      <c r="C115" s="3" t="s">
        <v>416</v>
      </c>
      <c r="D115" s="3" t="s">
        <v>487</v>
      </c>
      <c r="E115" s="96"/>
      <c r="F115" s="4" t="s">
        <v>115</v>
      </c>
      <c r="G115" s="4">
        <v>3068106</v>
      </c>
      <c r="H115" s="3" t="s">
        <v>111</v>
      </c>
      <c r="I115" s="4">
        <v>3354601</v>
      </c>
      <c r="J115" s="4"/>
    </row>
    <row r="116" spans="2:11" x14ac:dyDescent="0.3">
      <c r="B116" s="4"/>
      <c r="E116" s="96"/>
      <c r="F116" s="4" t="s">
        <v>418</v>
      </c>
      <c r="G116" s="4"/>
    </row>
    <row r="117" spans="2:11" x14ac:dyDescent="0.3">
      <c r="B117" s="44">
        <v>46046</v>
      </c>
      <c r="C117" s="3" t="s">
        <v>416</v>
      </c>
      <c r="D117" s="3" t="s">
        <v>487</v>
      </c>
      <c r="E117" s="96"/>
      <c r="F117" s="3" t="s">
        <v>96</v>
      </c>
      <c r="G117" s="4">
        <v>3067107</v>
      </c>
      <c r="H117" s="4" t="s">
        <v>107</v>
      </c>
      <c r="I117" s="4">
        <v>3068408</v>
      </c>
      <c r="J117" s="4"/>
      <c r="K117" s="4"/>
    </row>
    <row r="118" spans="2:11" x14ac:dyDescent="0.3">
      <c r="B118" s="44">
        <v>46046</v>
      </c>
      <c r="C118" s="3" t="s">
        <v>416</v>
      </c>
      <c r="D118" s="3" t="s">
        <v>487</v>
      </c>
      <c r="E118" s="96"/>
      <c r="F118" s="3" t="s">
        <v>419</v>
      </c>
      <c r="G118" s="4">
        <v>3349204</v>
      </c>
      <c r="H118" s="3" t="s">
        <v>111</v>
      </c>
      <c r="I118" s="4">
        <v>3354601</v>
      </c>
      <c r="K118" s="4"/>
    </row>
    <row r="119" spans="2:11" x14ac:dyDescent="0.3">
      <c r="B119" s="44">
        <v>46046</v>
      </c>
      <c r="C119" s="3" t="s">
        <v>416</v>
      </c>
      <c r="D119" s="3" t="s">
        <v>487</v>
      </c>
      <c r="E119" s="96"/>
      <c r="F119" s="3" t="s">
        <v>101</v>
      </c>
      <c r="G119" s="4">
        <v>3067305</v>
      </c>
      <c r="H119" s="4" t="s">
        <v>115</v>
      </c>
      <c r="I119" s="4">
        <v>3068106</v>
      </c>
      <c r="J119" s="4"/>
    </row>
    <row r="120" spans="2:11" x14ac:dyDescent="0.3">
      <c r="B120" s="44">
        <v>46046</v>
      </c>
      <c r="C120" s="3" t="s">
        <v>416</v>
      </c>
      <c r="D120" s="3" t="s">
        <v>487</v>
      </c>
      <c r="E120" s="96"/>
      <c r="F120" s="3" t="s">
        <v>127</v>
      </c>
      <c r="G120" s="4">
        <v>3360809</v>
      </c>
      <c r="H120" s="4" t="s">
        <v>124</v>
      </c>
      <c r="I120" s="4">
        <v>3267501</v>
      </c>
      <c r="J120" s="4"/>
    </row>
    <row r="121" spans="2:11" x14ac:dyDescent="0.3">
      <c r="B121" s="44">
        <v>46046</v>
      </c>
      <c r="C121" s="3" t="s">
        <v>416</v>
      </c>
      <c r="D121" s="3" t="s">
        <v>487</v>
      </c>
      <c r="E121" s="96"/>
      <c r="F121" s="4" t="s">
        <v>114</v>
      </c>
      <c r="G121" s="4">
        <v>3351000</v>
      </c>
      <c r="H121" s="4" t="s">
        <v>113</v>
      </c>
      <c r="I121" s="4">
        <v>3352009</v>
      </c>
      <c r="J121" s="4"/>
    </row>
    <row r="122" spans="2:11" x14ac:dyDescent="0.3">
      <c r="B122" s="44">
        <v>46046</v>
      </c>
      <c r="C122" s="3" t="s">
        <v>416</v>
      </c>
      <c r="D122" s="3" t="s">
        <v>487</v>
      </c>
      <c r="E122" s="96"/>
      <c r="F122" s="3" t="s">
        <v>116</v>
      </c>
      <c r="G122" s="4">
        <v>3346009</v>
      </c>
      <c r="H122" s="4" t="s">
        <v>133</v>
      </c>
      <c r="I122" s="4">
        <v>3348705</v>
      </c>
      <c r="J122" s="4"/>
    </row>
    <row r="123" spans="2:11" x14ac:dyDescent="0.3">
      <c r="B123" s="4"/>
      <c r="E123" s="96"/>
      <c r="F123" s="4" t="s">
        <v>418</v>
      </c>
      <c r="G123" s="4"/>
    </row>
    <row r="124" spans="2:11" x14ac:dyDescent="0.3">
      <c r="B124" s="44">
        <v>46053</v>
      </c>
      <c r="C124" s="3" t="s">
        <v>416</v>
      </c>
      <c r="D124" s="3" t="s">
        <v>487</v>
      </c>
      <c r="E124" s="96"/>
      <c r="F124" s="3" t="s">
        <v>111</v>
      </c>
      <c r="G124" s="4">
        <v>3354601</v>
      </c>
      <c r="H124" s="3" t="s">
        <v>101</v>
      </c>
      <c r="I124" s="4">
        <v>3067305</v>
      </c>
      <c r="J124" s="4"/>
    </row>
    <row r="125" spans="2:11" x14ac:dyDescent="0.3">
      <c r="B125" s="44">
        <v>46053</v>
      </c>
      <c r="C125" s="3" t="s">
        <v>416</v>
      </c>
      <c r="D125" s="3" t="s">
        <v>487</v>
      </c>
      <c r="E125" s="96"/>
      <c r="F125" s="4" t="s">
        <v>113</v>
      </c>
      <c r="G125" s="4">
        <v>3352009</v>
      </c>
      <c r="H125" s="3" t="s">
        <v>96</v>
      </c>
      <c r="I125" s="4">
        <v>3067107</v>
      </c>
      <c r="J125" s="4"/>
    </row>
    <row r="126" spans="2:11" x14ac:dyDescent="0.3">
      <c r="B126" s="44">
        <v>46053</v>
      </c>
      <c r="C126" s="3" t="s">
        <v>416</v>
      </c>
      <c r="D126" s="3" t="s">
        <v>487</v>
      </c>
      <c r="E126" s="96"/>
      <c r="F126" s="4" t="s">
        <v>107</v>
      </c>
      <c r="G126" s="4">
        <v>3068408</v>
      </c>
      <c r="H126" s="3" t="s">
        <v>419</v>
      </c>
      <c r="I126" s="4">
        <v>3349204</v>
      </c>
      <c r="J126" s="4"/>
    </row>
    <row r="127" spans="2:11" x14ac:dyDescent="0.3">
      <c r="B127" s="44">
        <v>46053</v>
      </c>
      <c r="C127" s="3" t="s">
        <v>416</v>
      </c>
      <c r="D127" s="3" t="s">
        <v>487</v>
      </c>
      <c r="E127" s="96"/>
      <c r="F127" s="4" t="s">
        <v>124</v>
      </c>
      <c r="G127" s="4">
        <v>3267501</v>
      </c>
      <c r="H127" s="4" t="s">
        <v>114</v>
      </c>
      <c r="I127" s="4">
        <v>3351000</v>
      </c>
      <c r="J127" s="4"/>
    </row>
    <row r="128" spans="2:11" x14ac:dyDescent="0.3">
      <c r="B128" s="44">
        <v>46053</v>
      </c>
      <c r="C128" s="3" t="s">
        <v>416</v>
      </c>
      <c r="D128" s="3" t="s">
        <v>487</v>
      </c>
      <c r="E128" s="96"/>
      <c r="F128" s="4" t="s">
        <v>133</v>
      </c>
      <c r="G128" s="4">
        <v>3348705</v>
      </c>
      <c r="H128" s="3" t="s">
        <v>127</v>
      </c>
      <c r="I128" s="4">
        <v>3360809</v>
      </c>
      <c r="J128" s="4"/>
    </row>
    <row r="129" spans="2:10" x14ac:dyDescent="0.3">
      <c r="B129" s="44">
        <v>46053</v>
      </c>
      <c r="C129" s="3" t="s">
        <v>416</v>
      </c>
      <c r="D129" s="3" t="s">
        <v>487</v>
      </c>
      <c r="E129" s="96"/>
      <c r="F129" s="4" t="s">
        <v>115</v>
      </c>
      <c r="G129" s="4">
        <v>3068106</v>
      </c>
      <c r="H129" s="3" t="s">
        <v>116</v>
      </c>
      <c r="I129" s="4">
        <v>3346009</v>
      </c>
      <c r="J129" s="4"/>
    </row>
    <row r="130" spans="2:10" x14ac:dyDescent="0.3">
      <c r="B130" s="4"/>
      <c r="E130" s="96"/>
      <c r="F130" s="4" t="s">
        <v>418</v>
      </c>
      <c r="G130" s="4"/>
    </row>
    <row r="131" spans="2:10" x14ac:dyDescent="0.3">
      <c r="B131" s="44">
        <v>46060</v>
      </c>
      <c r="C131" s="3" t="s">
        <v>416</v>
      </c>
      <c r="D131" s="3" t="s">
        <v>487</v>
      </c>
      <c r="E131" s="96"/>
      <c r="F131" s="3" t="s">
        <v>96</v>
      </c>
      <c r="G131" s="4">
        <v>3067107</v>
      </c>
      <c r="H131" s="4" t="s">
        <v>124</v>
      </c>
      <c r="I131" s="4">
        <v>3267501</v>
      </c>
      <c r="J131" s="4"/>
    </row>
    <row r="132" spans="2:10" x14ac:dyDescent="0.3">
      <c r="B132" s="44">
        <v>46060</v>
      </c>
      <c r="C132" s="3" t="s">
        <v>416</v>
      </c>
      <c r="D132" s="3" t="s">
        <v>487</v>
      </c>
      <c r="E132" s="96"/>
      <c r="F132" s="4" t="s">
        <v>107</v>
      </c>
      <c r="G132" s="4">
        <v>3068408</v>
      </c>
      <c r="H132" s="4" t="s">
        <v>113</v>
      </c>
      <c r="I132" s="4">
        <v>3352009</v>
      </c>
      <c r="J132" s="4"/>
    </row>
    <row r="133" spans="2:10" x14ac:dyDescent="0.3">
      <c r="B133" s="44">
        <v>46060</v>
      </c>
      <c r="C133" s="3" t="s">
        <v>416</v>
      </c>
      <c r="D133" s="3" t="s">
        <v>487</v>
      </c>
      <c r="E133" s="96"/>
      <c r="F133" s="3" t="s">
        <v>419</v>
      </c>
      <c r="G133" s="4">
        <v>3349204</v>
      </c>
      <c r="H133" s="3" t="s">
        <v>101</v>
      </c>
      <c r="I133" s="4">
        <v>3067305</v>
      </c>
      <c r="J133" s="4"/>
    </row>
    <row r="134" spans="2:10" x14ac:dyDescent="0.3">
      <c r="B134" s="44">
        <v>46060</v>
      </c>
      <c r="C134" s="3" t="s">
        <v>416</v>
      </c>
      <c r="D134" s="3" t="s">
        <v>487</v>
      </c>
      <c r="E134" s="96"/>
      <c r="F134" s="3" t="s">
        <v>127</v>
      </c>
      <c r="G134" s="4">
        <v>3360809</v>
      </c>
      <c r="H134" s="4" t="s">
        <v>115</v>
      </c>
      <c r="I134" s="4">
        <v>3068106</v>
      </c>
      <c r="J134" s="4"/>
    </row>
    <row r="135" spans="2:10" x14ac:dyDescent="0.3">
      <c r="B135" s="44">
        <v>46060</v>
      </c>
      <c r="C135" s="3" t="s">
        <v>416</v>
      </c>
      <c r="D135" s="3" t="s">
        <v>487</v>
      </c>
      <c r="E135" s="96"/>
      <c r="F135" s="4" t="s">
        <v>114</v>
      </c>
      <c r="G135" s="4">
        <v>3351000</v>
      </c>
      <c r="H135" s="4" t="s">
        <v>133</v>
      </c>
      <c r="I135" s="4">
        <v>3348705</v>
      </c>
      <c r="J135" s="4"/>
    </row>
    <row r="136" spans="2:10" x14ac:dyDescent="0.3">
      <c r="B136" s="44">
        <v>46060</v>
      </c>
      <c r="C136" s="3" t="s">
        <v>416</v>
      </c>
      <c r="D136" s="3" t="s">
        <v>487</v>
      </c>
      <c r="E136" s="96"/>
      <c r="F136" s="3" t="s">
        <v>116</v>
      </c>
      <c r="G136" s="4">
        <v>3346009</v>
      </c>
      <c r="H136" s="3" t="s">
        <v>111</v>
      </c>
      <c r="I136" s="4">
        <v>3354601</v>
      </c>
      <c r="J136" s="4"/>
    </row>
    <row r="137" spans="2:10" x14ac:dyDescent="0.3">
      <c r="B137" s="4"/>
      <c r="E137" s="96"/>
      <c r="F137" s="4" t="s">
        <v>418</v>
      </c>
      <c r="G137" s="4"/>
    </row>
    <row r="138" spans="2:10" x14ac:dyDescent="0.3">
      <c r="B138" s="44">
        <v>46074</v>
      </c>
      <c r="C138" s="3" t="s">
        <v>416</v>
      </c>
      <c r="D138" s="3" t="s">
        <v>487</v>
      </c>
      <c r="E138" s="96"/>
      <c r="F138" s="3" t="s">
        <v>111</v>
      </c>
      <c r="G138" s="4">
        <v>3354601</v>
      </c>
      <c r="H138" s="3" t="s">
        <v>127</v>
      </c>
      <c r="I138" s="4">
        <v>3360809</v>
      </c>
      <c r="J138" s="4"/>
    </row>
    <row r="139" spans="2:10" x14ac:dyDescent="0.3">
      <c r="B139" s="44">
        <v>46074</v>
      </c>
      <c r="C139" s="3" t="s">
        <v>416</v>
      </c>
      <c r="D139" s="3" t="s">
        <v>487</v>
      </c>
      <c r="E139" s="96"/>
      <c r="F139" s="4" t="s">
        <v>113</v>
      </c>
      <c r="G139" s="4">
        <v>3352009</v>
      </c>
      <c r="H139" s="3" t="s">
        <v>419</v>
      </c>
      <c r="I139" s="4">
        <v>3349204</v>
      </c>
    </row>
    <row r="140" spans="2:10" x14ac:dyDescent="0.3">
      <c r="B140" s="44">
        <v>46074</v>
      </c>
      <c r="C140" s="3" t="s">
        <v>416</v>
      </c>
      <c r="D140" s="3" t="s">
        <v>487</v>
      </c>
      <c r="E140" s="96"/>
      <c r="F140" s="3" t="s">
        <v>101</v>
      </c>
      <c r="G140" s="4">
        <v>3067305</v>
      </c>
      <c r="H140" s="3" t="s">
        <v>116</v>
      </c>
      <c r="I140" s="4">
        <v>3346009</v>
      </c>
      <c r="J140" s="4"/>
    </row>
    <row r="141" spans="2:10" x14ac:dyDescent="0.3">
      <c r="B141" s="44">
        <v>46074</v>
      </c>
      <c r="C141" s="3" t="s">
        <v>416</v>
      </c>
      <c r="D141" s="3" t="s">
        <v>487</v>
      </c>
      <c r="E141" s="96"/>
      <c r="F141" s="4" t="s">
        <v>124</v>
      </c>
      <c r="G141" s="4">
        <v>3267501</v>
      </c>
      <c r="H141" s="4" t="s">
        <v>107</v>
      </c>
      <c r="I141" s="4">
        <v>3068408</v>
      </c>
      <c r="J141" s="4"/>
    </row>
    <row r="142" spans="2:10" x14ac:dyDescent="0.3">
      <c r="B142" s="44">
        <v>46074</v>
      </c>
      <c r="C142" s="3" t="s">
        <v>416</v>
      </c>
      <c r="D142" s="3" t="s">
        <v>487</v>
      </c>
      <c r="E142" s="96"/>
      <c r="F142" s="4" t="s">
        <v>133</v>
      </c>
      <c r="G142" s="4">
        <v>3348705</v>
      </c>
      <c r="H142" s="3" t="s">
        <v>96</v>
      </c>
      <c r="I142" s="4">
        <v>3067107</v>
      </c>
      <c r="J142" s="4"/>
    </row>
    <row r="143" spans="2:10" x14ac:dyDescent="0.3">
      <c r="B143" s="44">
        <v>46074</v>
      </c>
      <c r="C143" s="3" t="s">
        <v>416</v>
      </c>
      <c r="D143" s="3" t="s">
        <v>487</v>
      </c>
      <c r="E143" s="96"/>
      <c r="F143" s="4" t="s">
        <v>115</v>
      </c>
      <c r="G143" s="4">
        <v>3068106</v>
      </c>
      <c r="H143" s="4" t="s">
        <v>114</v>
      </c>
      <c r="I143" s="4">
        <v>3351000</v>
      </c>
      <c r="J143" s="4"/>
    </row>
    <row r="144" spans="2:10" x14ac:dyDescent="0.3">
      <c r="B144" s="4"/>
      <c r="E144" s="96"/>
      <c r="F144" s="4" t="s">
        <v>418</v>
      </c>
      <c r="G144" s="4"/>
    </row>
    <row r="145" spans="2:11" x14ac:dyDescent="0.3">
      <c r="B145" s="44">
        <v>46081</v>
      </c>
      <c r="C145" s="3" t="s">
        <v>416</v>
      </c>
      <c r="D145" s="3" t="s">
        <v>487</v>
      </c>
      <c r="E145" s="96"/>
      <c r="F145" s="3" t="s">
        <v>96</v>
      </c>
      <c r="G145" s="4">
        <v>3067107</v>
      </c>
      <c r="H145" s="4" t="s">
        <v>115</v>
      </c>
      <c r="I145" s="4">
        <v>3068106</v>
      </c>
      <c r="J145" s="4"/>
    </row>
    <row r="146" spans="2:11" x14ac:dyDescent="0.3">
      <c r="B146" s="44">
        <v>46081</v>
      </c>
      <c r="C146" s="3" t="s">
        <v>416</v>
      </c>
      <c r="D146" s="3" t="s">
        <v>487</v>
      </c>
      <c r="E146" s="96"/>
      <c r="F146" s="4" t="s">
        <v>107</v>
      </c>
      <c r="G146" s="4">
        <v>3068408</v>
      </c>
      <c r="H146" s="4" t="s">
        <v>133</v>
      </c>
      <c r="I146" s="4">
        <v>3348705</v>
      </c>
      <c r="J146" s="4"/>
    </row>
    <row r="147" spans="2:11" x14ac:dyDescent="0.3">
      <c r="B147" s="44">
        <v>46081</v>
      </c>
      <c r="C147" s="3" t="s">
        <v>416</v>
      </c>
      <c r="D147" s="3" t="s">
        <v>487</v>
      </c>
      <c r="E147" s="96"/>
      <c r="F147" s="4" t="s">
        <v>113</v>
      </c>
      <c r="G147" s="4">
        <v>3352009</v>
      </c>
      <c r="H147" s="4" t="s">
        <v>124</v>
      </c>
      <c r="I147" s="4">
        <v>3267501</v>
      </c>
      <c r="J147" s="4"/>
    </row>
    <row r="148" spans="2:11" x14ac:dyDescent="0.3">
      <c r="B148" s="44">
        <v>46081</v>
      </c>
      <c r="C148" s="3" t="s">
        <v>416</v>
      </c>
      <c r="D148" s="3" t="s">
        <v>487</v>
      </c>
      <c r="E148" s="96"/>
      <c r="F148" s="3" t="s">
        <v>101</v>
      </c>
      <c r="G148" s="4">
        <v>3067305</v>
      </c>
      <c r="H148" s="3" t="s">
        <v>127</v>
      </c>
      <c r="I148" s="4">
        <v>3360809</v>
      </c>
      <c r="J148" s="4"/>
    </row>
    <row r="149" spans="2:11" x14ac:dyDescent="0.3">
      <c r="B149" s="44">
        <v>46081</v>
      </c>
      <c r="C149" s="3" t="s">
        <v>416</v>
      </c>
      <c r="D149" s="3" t="s">
        <v>487</v>
      </c>
      <c r="E149" s="96"/>
      <c r="F149" s="3" t="s">
        <v>111</v>
      </c>
      <c r="G149" s="4">
        <v>3354601</v>
      </c>
      <c r="H149" s="4" t="s">
        <v>114</v>
      </c>
      <c r="I149" s="4">
        <v>3351000</v>
      </c>
      <c r="J149" s="4"/>
      <c r="K149" s="4"/>
    </row>
    <row r="150" spans="2:11" x14ac:dyDescent="0.3">
      <c r="B150" s="44">
        <v>46081</v>
      </c>
      <c r="C150" s="3" t="s">
        <v>416</v>
      </c>
      <c r="D150" s="3" t="s">
        <v>487</v>
      </c>
      <c r="E150" s="96"/>
      <c r="F150" s="3" t="s">
        <v>116</v>
      </c>
      <c r="G150" s="4">
        <v>3346009</v>
      </c>
      <c r="H150" s="3" t="s">
        <v>419</v>
      </c>
      <c r="I150" s="4">
        <v>3349204</v>
      </c>
      <c r="J150" s="4"/>
    </row>
    <row r="151" spans="2:11" x14ac:dyDescent="0.3">
      <c r="B151" s="4"/>
      <c r="E151" s="96"/>
      <c r="F151" s="4" t="s">
        <v>418</v>
      </c>
      <c r="G151" s="4"/>
    </row>
    <row r="152" spans="2:11" x14ac:dyDescent="0.3">
      <c r="B152" s="44">
        <v>46088</v>
      </c>
      <c r="C152" s="3" t="s">
        <v>416</v>
      </c>
      <c r="D152" s="3" t="s">
        <v>487</v>
      </c>
      <c r="E152" s="96"/>
      <c r="F152" s="3" t="s">
        <v>96</v>
      </c>
      <c r="G152" s="4">
        <v>3067107</v>
      </c>
      <c r="H152" s="3" t="s">
        <v>111</v>
      </c>
      <c r="I152" s="4">
        <v>3354601</v>
      </c>
      <c r="K152" s="4"/>
    </row>
    <row r="153" spans="2:11" x14ac:dyDescent="0.3">
      <c r="B153" s="44">
        <v>46088</v>
      </c>
      <c r="C153" s="3" t="s">
        <v>416</v>
      </c>
      <c r="D153" s="3" t="s">
        <v>487</v>
      </c>
      <c r="E153" s="96"/>
      <c r="F153" s="3" t="s">
        <v>419</v>
      </c>
      <c r="G153" s="4">
        <v>3349204</v>
      </c>
      <c r="H153" s="4" t="s">
        <v>124</v>
      </c>
      <c r="I153" s="4">
        <v>3267501</v>
      </c>
      <c r="J153" s="4"/>
    </row>
    <row r="154" spans="2:11" x14ac:dyDescent="0.3">
      <c r="B154" s="44">
        <v>46088</v>
      </c>
      <c r="C154" s="3" t="s">
        <v>416</v>
      </c>
      <c r="D154" s="3" t="s">
        <v>487</v>
      </c>
      <c r="E154" s="96"/>
      <c r="F154" s="4" t="s">
        <v>114</v>
      </c>
      <c r="G154" s="4">
        <v>3351000</v>
      </c>
      <c r="H154" s="3" t="s">
        <v>101</v>
      </c>
      <c r="I154" s="4">
        <v>3067305</v>
      </c>
      <c r="J154" s="4"/>
    </row>
    <row r="155" spans="2:11" x14ac:dyDescent="0.3">
      <c r="B155" s="44">
        <v>46088</v>
      </c>
      <c r="C155" s="3" t="s">
        <v>416</v>
      </c>
      <c r="D155" s="3" t="s">
        <v>487</v>
      </c>
      <c r="E155" s="96"/>
      <c r="F155" s="4" t="s">
        <v>133</v>
      </c>
      <c r="G155" s="4">
        <v>3348705</v>
      </c>
      <c r="H155" s="4" t="s">
        <v>113</v>
      </c>
      <c r="I155" s="4">
        <v>3352009</v>
      </c>
      <c r="J155" s="4"/>
    </row>
    <row r="156" spans="2:11" x14ac:dyDescent="0.3">
      <c r="B156" s="44">
        <v>46088</v>
      </c>
      <c r="C156" s="3" t="s">
        <v>416</v>
      </c>
      <c r="D156" s="3" t="s">
        <v>487</v>
      </c>
      <c r="E156" s="96"/>
      <c r="F156" s="4" t="s">
        <v>115</v>
      </c>
      <c r="G156" s="4">
        <v>3068106</v>
      </c>
      <c r="H156" s="4" t="s">
        <v>107</v>
      </c>
      <c r="I156" s="4">
        <v>3068408</v>
      </c>
      <c r="J156" s="4"/>
    </row>
    <row r="157" spans="2:11" x14ac:dyDescent="0.3">
      <c r="B157" s="44">
        <v>46088</v>
      </c>
      <c r="C157" s="3" t="s">
        <v>416</v>
      </c>
      <c r="D157" s="3" t="s">
        <v>487</v>
      </c>
      <c r="E157" s="96"/>
      <c r="F157" s="3" t="s">
        <v>127</v>
      </c>
      <c r="G157" s="4">
        <v>3360809</v>
      </c>
      <c r="H157" s="3" t="s">
        <v>116</v>
      </c>
      <c r="I157" s="4">
        <v>3346009</v>
      </c>
      <c r="J157" s="4"/>
    </row>
    <row r="158" spans="2:11" x14ac:dyDescent="0.3">
      <c r="B158" s="4"/>
      <c r="E158" s="96"/>
      <c r="F158" s="4" t="s">
        <v>418</v>
      </c>
      <c r="G158" s="4"/>
    </row>
    <row r="159" spans="2:11" x14ac:dyDescent="0.3">
      <c r="B159" s="44">
        <v>46095</v>
      </c>
      <c r="C159" s="3" t="s">
        <v>416</v>
      </c>
      <c r="D159" s="3" t="s">
        <v>487</v>
      </c>
      <c r="E159" s="96"/>
      <c r="F159" s="3" t="s">
        <v>101</v>
      </c>
      <c r="G159" s="4">
        <v>3067305</v>
      </c>
      <c r="H159" s="3" t="s">
        <v>96</v>
      </c>
      <c r="I159" s="4">
        <v>3067107</v>
      </c>
      <c r="J159" s="4"/>
    </row>
    <row r="160" spans="2:11" x14ac:dyDescent="0.3">
      <c r="B160" s="44">
        <v>46095</v>
      </c>
      <c r="C160" s="3" t="s">
        <v>416</v>
      </c>
      <c r="D160" s="3" t="s">
        <v>487</v>
      </c>
      <c r="E160" s="96"/>
      <c r="F160" s="4" t="s">
        <v>107</v>
      </c>
      <c r="G160" s="4">
        <v>3068408</v>
      </c>
      <c r="H160" s="3" t="s">
        <v>111</v>
      </c>
      <c r="I160" s="4">
        <v>3354601</v>
      </c>
      <c r="J160" s="4"/>
    </row>
    <row r="161" spans="2:11" x14ac:dyDescent="0.3">
      <c r="B161" s="44">
        <v>46095</v>
      </c>
      <c r="C161" s="3" t="s">
        <v>416</v>
      </c>
      <c r="D161" s="3" t="s">
        <v>487</v>
      </c>
      <c r="E161" s="96"/>
      <c r="F161" s="4" t="s">
        <v>113</v>
      </c>
      <c r="G161" s="4">
        <v>3352009</v>
      </c>
      <c r="H161" s="4" t="s">
        <v>115</v>
      </c>
      <c r="I161" s="4">
        <v>3068106</v>
      </c>
      <c r="J161" s="4"/>
    </row>
    <row r="162" spans="2:11" x14ac:dyDescent="0.3">
      <c r="B162" s="44">
        <v>46095</v>
      </c>
      <c r="C162" s="3" t="s">
        <v>416</v>
      </c>
      <c r="D162" s="3" t="s">
        <v>487</v>
      </c>
      <c r="E162" s="96"/>
      <c r="F162" s="4" t="s">
        <v>124</v>
      </c>
      <c r="G162" s="4">
        <v>3267501</v>
      </c>
      <c r="H162" s="4" t="s">
        <v>133</v>
      </c>
      <c r="I162" s="4">
        <v>3348705</v>
      </c>
      <c r="J162" s="4"/>
    </row>
    <row r="163" spans="2:11" x14ac:dyDescent="0.3">
      <c r="B163" s="44">
        <v>46095</v>
      </c>
      <c r="C163" s="3" t="s">
        <v>416</v>
      </c>
      <c r="D163" s="3" t="s">
        <v>487</v>
      </c>
      <c r="E163" s="96"/>
      <c r="F163" s="3" t="s">
        <v>127</v>
      </c>
      <c r="G163" s="4">
        <v>3360809</v>
      </c>
      <c r="H163" s="3" t="s">
        <v>419</v>
      </c>
      <c r="I163" s="4">
        <v>3349204</v>
      </c>
      <c r="J163" s="4"/>
    </row>
    <row r="164" spans="2:11" x14ac:dyDescent="0.3">
      <c r="B164" s="44">
        <v>46095</v>
      </c>
      <c r="C164" s="3" t="s">
        <v>416</v>
      </c>
      <c r="D164" s="3" t="s">
        <v>487</v>
      </c>
      <c r="E164" s="96"/>
      <c r="F164" s="3" t="s">
        <v>116</v>
      </c>
      <c r="G164" s="4">
        <v>3346009</v>
      </c>
      <c r="H164" s="4" t="s">
        <v>114</v>
      </c>
      <c r="I164" s="4">
        <v>3351000</v>
      </c>
      <c r="J164" s="4"/>
      <c r="K164" s="4"/>
    </row>
    <row r="165" spans="2:11" x14ac:dyDescent="0.3">
      <c r="B165" s="4"/>
      <c r="E165" s="96"/>
      <c r="F165" s="4" t="s">
        <v>418</v>
      </c>
      <c r="G165" s="4"/>
    </row>
    <row r="166" spans="2:11" x14ac:dyDescent="0.3">
      <c r="B166" s="44">
        <v>46102</v>
      </c>
      <c r="C166" s="3" t="s">
        <v>416</v>
      </c>
      <c r="D166" s="3" t="s">
        <v>487</v>
      </c>
      <c r="E166" s="96"/>
      <c r="F166" s="3" t="s">
        <v>111</v>
      </c>
      <c r="G166" s="4">
        <v>3354601</v>
      </c>
      <c r="H166" s="4" t="s">
        <v>113</v>
      </c>
      <c r="I166" s="4">
        <v>3352009</v>
      </c>
      <c r="J166" s="4"/>
    </row>
    <row r="167" spans="2:11" x14ac:dyDescent="0.3">
      <c r="B167" s="44">
        <v>46102</v>
      </c>
      <c r="C167" s="3" t="s">
        <v>416</v>
      </c>
      <c r="D167" s="3" t="s">
        <v>487</v>
      </c>
      <c r="E167" s="96"/>
      <c r="F167" s="3" t="s">
        <v>419</v>
      </c>
      <c r="G167" s="4">
        <v>3349204</v>
      </c>
      <c r="H167" s="4" t="s">
        <v>133</v>
      </c>
      <c r="I167" s="4">
        <v>3348705</v>
      </c>
      <c r="J167" s="4"/>
    </row>
    <row r="168" spans="2:11" x14ac:dyDescent="0.3">
      <c r="B168" s="44">
        <v>46102</v>
      </c>
      <c r="C168" s="3" t="s">
        <v>416</v>
      </c>
      <c r="D168" s="3" t="s">
        <v>487</v>
      </c>
      <c r="E168" s="96"/>
      <c r="F168" s="4" t="s">
        <v>107</v>
      </c>
      <c r="G168" s="4">
        <v>3068408</v>
      </c>
      <c r="H168" s="3" t="s">
        <v>101</v>
      </c>
      <c r="I168" s="4">
        <v>3067305</v>
      </c>
      <c r="J168" s="4"/>
    </row>
    <row r="169" spans="2:11" x14ac:dyDescent="0.3">
      <c r="B169" s="44">
        <v>46102</v>
      </c>
      <c r="C169" s="3" t="s">
        <v>416</v>
      </c>
      <c r="D169" s="3" t="s">
        <v>487</v>
      </c>
      <c r="E169" s="96"/>
      <c r="F169" s="4" t="s">
        <v>114</v>
      </c>
      <c r="G169" s="4">
        <v>3351000</v>
      </c>
      <c r="H169" s="3" t="s">
        <v>127</v>
      </c>
      <c r="I169" s="4">
        <v>3360809</v>
      </c>
      <c r="J169" s="4"/>
    </row>
    <row r="170" spans="2:11" x14ac:dyDescent="0.3">
      <c r="B170" s="44">
        <v>46102</v>
      </c>
      <c r="C170" s="3" t="s">
        <v>416</v>
      </c>
      <c r="D170" s="3" t="s">
        <v>487</v>
      </c>
      <c r="E170" s="96"/>
      <c r="F170" s="4" t="s">
        <v>115</v>
      </c>
      <c r="G170" s="4">
        <v>3068106</v>
      </c>
      <c r="H170" s="4" t="s">
        <v>124</v>
      </c>
      <c r="I170" s="4">
        <v>3267501</v>
      </c>
      <c r="J170" s="4"/>
    </row>
    <row r="171" spans="2:11" x14ac:dyDescent="0.3">
      <c r="B171" s="44">
        <v>46102</v>
      </c>
      <c r="C171" s="3" t="s">
        <v>416</v>
      </c>
      <c r="D171" s="3" t="s">
        <v>487</v>
      </c>
      <c r="E171" s="96"/>
      <c r="F171" s="3" t="s">
        <v>96</v>
      </c>
      <c r="G171" s="4">
        <v>3067107</v>
      </c>
      <c r="H171" s="3" t="s">
        <v>116</v>
      </c>
      <c r="I171" s="4">
        <v>3346009</v>
      </c>
      <c r="J171" s="4"/>
    </row>
    <row r="172" spans="2:11" x14ac:dyDescent="0.3">
      <c r="B172" s="4"/>
      <c r="E172" s="96"/>
      <c r="F172" s="4" t="s">
        <v>418</v>
      </c>
      <c r="G172" s="4"/>
    </row>
    <row r="173" spans="2:11" x14ac:dyDescent="0.3">
      <c r="B173" s="44">
        <v>46109</v>
      </c>
      <c r="C173" s="3" t="s">
        <v>416</v>
      </c>
      <c r="D173" s="3" t="s">
        <v>487</v>
      </c>
      <c r="E173" s="96"/>
      <c r="F173" s="3" t="s">
        <v>116</v>
      </c>
      <c r="G173" s="4">
        <v>3346009</v>
      </c>
      <c r="H173" s="4" t="s">
        <v>107</v>
      </c>
      <c r="I173" s="4">
        <v>3068408</v>
      </c>
      <c r="J173" s="4"/>
    </row>
    <row r="174" spans="2:11" x14ac:dyDescent="0.3">
      <c r="B174" s="44">
        <v>46109</v>
      </c>
      <c r="C174" s="3" t="s">
        <v>416</v>
      </c>
      <c r="D174" s="3" t="s">
        <v>487</v>
      </c>
      <c r="E174" s="96"/>
      <c r="F174" s="3" t="s">
        <v>101</v>
      </c>
      <c r="G174" s="4">
        <v>3067305</v>
      </c>
      <c r="H174" s="4" t="s">
        <v>113</v>
      </c>
      <c r="I174" s="4">
        <v>3352009</v>
      </c>
      <c r="J174" s="4"/>
    </row>
    <row r="175" spans="2:11" x14ac:dyDescent="0.3">
      <c r="B175" s="44">
        <v>46109</v>
      </c>
      <c r="C175" s="3" t="s">
        <v>416</v>
      </c>
      <c r="D175" s="3" t="s">
        <v>487</v>
      </c>
      <c r="E175" s="96"/>
      <c r="F175" s="4" t="s">
        <v>124</v>
      </c>
      <c r="G175" s="4">
        <v>3267501</v>
      </c>
      <c r="H175" s="3" t="s">
        <v>111</v>
      </c>
      <c r="I175" s="4">
        <v>3354601</v>
      </c>
      <c r="J175" s="4"/>
    </row>
    <row r="176" spans="2:11" x14ac:dyDescent="0.3">
      <c r="B176" s="44">
        <v>46109</v>
      </c>
      <c r="C176" s="3" t="s">
        <v>416</v>
      </c>
      <c r="D176" s="3" t="s">
        <v>487</v>
      </c>
      <c r="E176" s="96"/>
      <c r="F176" s="4" t="s">
        <v>133</v>
      </c>
      <c r="G176" s="4">
        <v>3348705</v>
      </c>
      <c r="H176" s="4" t="s">
        <v>115</v>
      </c>
      <c r="I176" s="4">
        <v>3068106</v>
      </c>
      <c r="J176" s="4"/>
    </row>
    <row r="177" spans="2:10" x14ac:dyDescent="0.3">
      <c r="B177" s="44">
        <v>46109</v>
      </c>
      <c r="C177" s="3" t="s">
        <v>416</v>
      </c>
      <c r="D177" s="3" t="s">
        <v>487</v>
      </c>
      <c r="E177" s="96"/>
      <c r="F177" s="4" t="s">
        <v>114</v>
      </c>
      <c r="G177" s="4">
        <v>3351000</v>
      </c>
      <c r="H177" s="3" t="s">
        <v>419</v>
      </c>
      <c r="I177" s="4">
        <v>3349204</v>
      </c>
      <c r="J177" s="4"/>
    </row>
    <row r="178" spans="2:10" x14ac:dyDescent="0.3">
      <c r="B178" s="44">
        <v>46109</v>
      </c>
      <c r="C178" s="3" t="s">
        <v>416</v>
      </c>
      <c r="D178" s="3" t="s">
        <v>487</v>
      </c>
      <c r="E178" s="96"/>
      <c r="F178" s="3" t="s">
        <v>127</v>
      </c>
      <c r="G178" s="4">
        <v>3360809</v>
      </c>
      <c r="H178" s="3" t="s">
        <v>96</v>
      </c>
      <c r="I178" s="4">
        <v>3067107</v>
      </c>
      <c r="J178" s="4"/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920" priority="62"/>
  </conditionalFormatting>
  <conditionalFormatting sqref="B11 B16:B18 B20:B21">
    <cfRule type="duplicateValues" dxfId="5919" priority="2536"/>
  </conditionalFormatting>
  <conditionalFormatting sqref="I10:L21">
    <cfRule type="cellIs" dxfId="5918" priority="1" operator="lessThan">
      <formula>5</formula>
    </cfRule>
    <cfRule type="cellIs" dxfId="5917" priority="2" operator="greaterThan">
      <formula>6</formula>
    </cfRule>
  </conditionalFormatting>
  <conditionalFormatting sqref="J105">
    <cfRule type="containsText" dxfId="5916" priority="50" operator="containsText" text="eir">
      <formula>NOT(ISERROR(SEARCH("eir",J105)))</formula>
    </cfRule>
  </conditionalFormatting>
  <conditionalFormatting sqref="J28:K28">
    <cfRule type="containsText" dxfId="5915" priority="53" operator="containsText" text="eir">
      <formula>NOT(ISERROR(SEARCH("eir",J28)))</formula>
    </cfRule>
  </conditionalFormatting>
  <conditionalFormatting sqref="J34:K34">
    <cfRule type="containsText" dxfId="5914" priority="52" operator="containsText" text="eir">
      <formula>NOT(ISERROR(SEARCH("eir",J34)))</formula>
    </cfRule>
  </conditionalFormatting>
  <conditionalFormatting sqref="J40:K40">
    <cfRule type="containsText" dxfId="5913" priority="44" operator="containsText" text="lancas">
      <formula>NOT(ISERROR(SEARCH("lancas",J40)))</formula>
    </cfRule>
  </conditionalFormatting>
  <conditionalFormatting sqref="J42:K42">
    <cfRule type="containsText" dxfId="5912" priority="46" operator="containsText" text="eir">
      <formula>NOT(ISERROR(SEARCH("eir",J42)))</formula>
    </cfRule>
  </conditionalFormatting>
  <conditionalFormatting sqref="J68:K68">
    <cfRule type="containsText" dxfId="5911" priority="21" operator="containsText" text="pres">
      <formula>NOT(ISERROR(SEARCH("pres",J68)))</formula>
    </cfRule>
    <cfRule type="containsText" dxfId="5910" priority="23" operator="containsText" text="gol">
      <formula>NOT(ISERROR(SEARCH("gol",J68)))</formula>
    </cfRule>
  </conditionalFormatting>
  <conditionalFormatting sqref="J75:K75">
    <cfRule type="containsText" dxfId="5909" priority="43" operator="containsText" text="lancas">
      <formula>NOT(ISERROR(SEARCH("lancas",J75)))</formula>
    </cfRule>
  </conditionalFormatting>
  <conditionalFormatting sqref="J80:K80">
    <cfRule type="containsText" dxfId="5908" priority="18" operator="containsText" text="pres">
      <formula>NOT(ISERROR(SEARCH("pres",J80)))</formula>
    </cfRule>
    <cfRule type="containsText" dxfId="5907" priority="19" operator="containsText" text="gol">
      <formula>NOT(ISERROR(SEARCH("gol",J80)))</formula>
    </cfRule>
  </conditionalFormatting>
  <conditionalFormatting sqref="J84:K84">
    <cfRule type="containsText" dxfId="5906" priority="42" operator="containsText" text="lancas">
      <formula>NOT(ISERROR(SEARCH("lancas",J84)))</formula>
    </cfRule>
  </conditionalFormatting>
  <conditionalFormatting sqref="J87:K87">
    <cfRule type="containsText" dxfId="5905" priority="33" operator="containsText" text="pres">
      <formula>NOT(ISERROR(SEARCH("pres",J87)))</formula>
    </cfRule>
    <cfRule type="containsText" dxfId="5904" priority="35" operator="containsText" text="gol">
      <formula>NOT(ISERROR(SEARCH("gol",J87)))</formula>
    </cfRule>
  </conditionalFormatting>
  <conditionalFormatting sqref="J107:K107">
    <cfRule type="containsText" dxfId="5903" priority="15" operator="containsText" text="pres">
      <formula>NOT(ISERROR(SEARCH("pres",J107)))</formula>
    </cfRule>
    <cfRule type="containsText" dxfId="5902" priority="16" operator="containsText" text="gol">
      <formula>NOT(ISERROR(SEARCH("gol",J107)))</formula>
    </cfRule>
  </conditionalFormatting>
  <conditionalFormatting sqref="J110:K110">
    <cfRule type="containsText" dxfId="5901" priority="49" operator="containsText" text="eir">
      <formula>NOT(ISERROR(SEARCH("eir",J110)))</formula>
    </cfRule>
  </conditionalFormatting>
  <conditionalFormatting sqref="J117:K117">
    <cfRule type="containsText" dxfId="5900" priority="41" operator="containsText" text="lancas">
      <formula>NOT(ISERROR(SEARCH("lancas",J117)))</formula>
    </cfRule>
  </conditionalFormatting>
  <conditionalFormatting sqref="J118:K118">
    <cfRule type="containsText" dxfId="5899" priority="47" operator="containsText" text="eir">
      <formula>NOT(ISERROR(SEARCH("eir",J118)))</formula>
    </cfRule>
  </conditionalFormatting>
  <conditionalFormatting sqref="J149:K149">
    <cfRule type="containsText" dxfId="5898" priority="25" operator="containsText" text="pres">
      <formula>NOT(ISERROR(SEARCH("pres",J149)))</formula>
    </cfRule>
    <cfRule type="containsText" dxfId="5897" priority="27" operator="containsText" text="gol">
      <formula>NOT(ISERROR(SEARCH("gol",J149)))</formula>
    </cfRule>
  </conditionalFormatting>
  <conditionalFormatting sqref="J152:K152">
    <cfRule type="containsText" dxfId="5896" priority="40" operator="containsText" text="lancas">
      <formula>NOT(ISERROR(SEARCH("lancas",J152)))</formula>
    </cfRule>
  </conditionalFormatting>
  <conditionalFormatting sqref="J164:K164">
    <cfRule type="containsText" dxfId="5895" priority="29" operator="containsText" text="pres">
      <formula>NOT(ISERROR(SEARCH("pres",J164)))</formula>
    </cfRule>
    <cfRule type="containsText" dxfId="5894" priority="31" operator="containsText" text="gol">
      <formula>NOT(ISERROR(SEARCH("gol",J164)))</formula>
    </cfRule>
  </conditionalFormatting>
  <conditionalFormatting sqref="K3:K4 K7:K8">
    <cfRule type="duplicateValues" dxfId="5893" priority="2535"/>
  </conditionalFormatting>
  <conditionalFormatting sqref="K5">
    <cfRule type="duplicateValues" dxfId="5892" priority="59"/>
  </conditionalFormatting>
  <conditionalFormatting sqref="K9">
    <cfRule type="containsText" dxfId="5891" priority="6" operator="containsText" text="c'[Fixtures All.xlsx]Women Filtered'!$F$2">
      <formula>NOT(ISERROR(SEARCH("c'[Fixtures All.xlsx]Women Filtered'!$F$2",K9)))</formula>
    </cfRule>
  </conditionalFormatting>
  <hyperlinks>
    <hyperlink ref="K3" location="Contents!A1" display="Back to Contents" xr:uid="{2CE8E983-2495-4341-AF2E-8D339F10388B}"/>
    <hyperlink ref="K5:K6" location="'All Fixtures'!A1" display="See all NW Fixtures" xr:uid="{1D106175-7BD6-4E9E-8D1C-DEF48019A891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6698F-A36D-420C-8859-9DA92A5F6319}">
  <dimension ref="A2:AQ178"/>
  <sheetViews>
    <sheetView zoomScaleNormal="100" workbookViewId="0"/>
  </sheetViews>
  <sheetFormatPr defaultRowHeight="14.4" x14ac:dyDescent="0.3"/>
  <cols>
    <col min="1" max="1" width="4" style="47" customWidth="1"/>
    <col min="2" max="2" width="28.109375" style="3" customWidth="1"/>
    <col min="3" max="3" width="26.77734375" style="3" customWidth="1"/>
    <col min="4" max="4" width="36.33203125" style="3" customWidth="1"/>
    <col min="5" max="5" width="15.33203125" style="3" customWidth="1"/>
    <col min="6" max="6" width="31.6640625" style="3" customWidth="1"/>
    <col min="7" max="7" width="10.5546875" style="4" customWidth="1"/>
    <col min="8" max="8" width="32.21875" style="3" customWidth="1"/>
    <col min="9" max="9" width="12.88671875" style="4" customWidth="1"/>
    <col min="10" max="10" width="4.6640625" style="3" customWidth="1"/>
    <col min="11" max="11" width="18.33203125" style="50" customWidth="1"/>
    <col min="12" max="43" width="8.88671875" style="3"/>
  </cols>
  <sheetData>
    <row r="2" spans="1:12" ht="15" thickBot="1" x14ac:dyDescent="0.35"/>
    <row r="3" spans="1:12" ht="37.200000000000003" thickBot="1" x14ac:dyDescent="0.75">
      <c r="E3" s="16" t="s">
        <v>488</v>
      </c>
      <c r="F3" s="16"/>
      <c r="H3" s="16"/>
      <c r="K3" s="23" t="s">
        <v>86</v>
      </c>
    </row>
    <row r="4" spans="1:12" ht="15" customHeight="1" thickBot="1" x14ac:dyDescent="0.35"/>
    <row r="5" spans="1:12" ht="15" customHeight="1" x14ac:dyDescent="0.3">
      <c r="K5" s="187" t="s">
        <v>417</v>
      </c>
    </row>
    <row r="6" spans="1:12" ht="15" customHeight="1" thickBot="1" x14ac:dyDescent="0.35">
      <c r="K6" s="188"/>
    </row>
    <row r="7" spans="1:12" ht="15" customHeight="1" x14ac:dyDescent="0.3"/>
    <row r="8" spans="1:12" ht="15" customHeight="1" x14ac:dyDescent="0.7">
      <c r="B8" s="16"/>
    </row>
    <row r="9" spans="1:12" ht="15" customHeight="1" x14ac:dyDescent="0.4">
      <c r="B9" s="21" t="s">
        <v>85</v>
      </c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COUNTIF(F$26:H$178,"Clitheroe Blackburn Northern 2")</f>
        <v>22</v>
      </c>
      <c r="B10" s="3" t="s">
        <v>117</v>
      </c>
      <c r="C10" s="74">
        <v>3359002</v>
      </c>
      <c r="D10" s="57">
        <f>COUNTIF(F$26:I$178,"3359002")</f>
        <v>22</v>
      </c>
      <c r="E10" s="47"/>
      <c r="F10" s="57">
        <f>COUNTIF(F$26:F$178,"Clitheroe Blackburn Northern 2")</f>
        <v>11</v>
      </c>
      <c r="G10" s="57"/>
      <c r="H10" s="57">
        <f>COUNTIF(H$26:H$178,"Clitheroe Blackburn Northern 2")</f>
        <v>11</v>
      </c>
      <c r="I10" s="57">
        <f>COUNTIF(F$26:F$101,"Clitheroe Blackburn Northern 2")</f>
        <v>5</v>
      </c>
      <c r="J10" s="57">
        <f>COUNTIF(F$102:F$178,"Clitheroe Blackburn Northern 2")</f>
        <v>6</v>
      </c>
      <c r="K10" s="57">
        <f>COUNTIF(H$26:H$101,"Clitheroe Blackburn Northern 2")</f>
        <v>6</v>
      </c>
      <c r="L10" s="57">
        <f>COUNTIF(H$102:H$178,"Clitheroe Blackburn Northern 2")</f>
        <v>5</v>
      </c>
    </row>
    <row r="11" spans="1:12" ht="15" customHeight="1" x14ac:dyDescent="0.3">
      <c r="A11" s="47">
        <f>COUNTIF(F$26:H$178,"Garstang 1")</f>
        <v>22</v>
      </c>
      <c r="B11" s="3" t="s">
        <v>118</v>
      </c>
      <c r="C11" s="74">
        <v>3356005</v>
      </c>
      <c r="D11" s="57">
        <f>COUNTIF(F$26:I$178,"3356005")</f>
        <v>22</v>
      </c>
      <c r="E11" s="47"/>
      <c r="F11" s="57">
        <f>COUNTIF(F$26:F$178,"Garstang 1")</f>
        <v>11</v>
      </c>
      <c r="G11" s="57"/>
      <c r="H11" s="57">
        <f>COUNTIF(H$26:H$178,"Garstang 1")</f>
        <v>11</v>
      </c>
      <c r="I11" s="57">
        <f>COUNTIF(F$26:F$101,"Garstang 1")</f>
        <v>5</v>
      </c>
      <c r="J11" s="57">
        <f>COUNTIF(F$102:F$178,"Garstang 1")</f>
        <v>6</v>
      </c>
      <c r="K11" s="57">
        <f>COUNTIF(H$26:H$101,"Garstang 1")</f>
        <v>6</v>
      </c>
      <c r="L11" s="57">
        <f>COUNTIF(H$102:H$178,"Garstang 1")</f>
        <v>5</v>
      </c>
    </row>
    <row r="12" spans="1:12" ht="15" customHeight="1" x14ac:dyDescent="0.3">
      <c r="A12" s="47">
        <f>COUNTIF(F$26:H$178,"Kendal 1")</f>
        <v>22</v>
      </c>
      <c r="B12" s="104" t="s">
        <v>119</v>
      </c>
      <c r="C12" s="74">
        <v>3067909</v>
      </c>
      <c r="D12" s="57">
        <f>COUNTIF(F$26:I$178,"3067909")</f>
        <v>22</v>
      </c>
      <c r="E12" s="47"/>
      <c r="F12" s="57">
        <f>COUNTIF(F$26:F$178,"Kendal 1")</f>
        <v>11</v>
      </c>
      <c r="G12" s="57"/>
      <c r="H12" s="57">
        <f>COUNTIF(H$26:H$178,"Kendal 1")</f>
        <v>11</v>
      </c>
      <c r="I12" s="57">
        <f>COUNTIF(F$26:F$101,"Kendal 1")</f>
        <v>5</v>
      </c>
      <c r="J12" s="57">
        <f>COUNTIF(F$102:F$178,"Kendal 1")</f>
        <v>6</v>
      </c>
      <c r="K12" s="57">
        <f>COUNTIF(H$26:H$101,"Kendal 1")</f>
        <v>6</v>
      </c>
      <c r="L12" s="57">
        <f>COUNTIF(H$102:H$178,"Kendal 1")</f>
        <v>5</v>
      </c>
    </row>
    <row r="13" spans="1:12" ht="15" customHeight="1" x14ac:dyDescent="0.3">
      <c r="A13" s="47">
        <f>COUNTIF(F$26:H$178,"Keswick 2")</f>
        <v>22</v>
      </c>
      <c r="B13" s="3" t="s">
        <v>147</v>
      </c>
      <c r="C13" s="74">
        <v>3067409</v>
      </c>
      <c r="D13" s="57">
        <f>COUNTIF(F$26:I$178,"3067409")</f>
        <v>22</v>
      </c>
      <c r="E13" s="47"/>
      <c r="F13" s="57">
        <f>COUNTIF(F$26:F$178,"Keswick 2")</f>
        <v>11</v>
      </c>
      <c r="G13" s="57"/>
      <c r="H13" s="57">
        <f>COUNTIF(H$26:H$178,"Keswick 2")</f>
        <v>11</v>
      </c>
      <c r="I13" s="57">
        <f>COUNTIF(F$26:F$101,"Keswick 2")</f>
        <v>6</v>
      </c>
      <c r="J13" s="57">
        <f>COUNTIF(F$102:F$178,"Keswick 2")</f>
        <v>5</v>
      </c>
      <c r="K13" s="57">
        <f>COUNTIF(H$26:H$101,"Keswick 2")</f>
        <v>5</v>
      </c>
      <c r="L13" s="57">
        <f>COUNTIF(H$102:H$178,"Keswick 2")</f>
        <v>6</v>
      </c>
    </row>
    <row r="14" spans="1:12" ht="15" customHeight="1" x14ac:dyDescent="0.3">
      <c r="A14" s="47">
        <f>COUNTIF(F$26:H$178,"Kirkby Lonsdale 1")</f>
        <v>22</v>
      </c>
      <c r="B14" s="3" t="s">
        <v>120</v>
      </c>
      <c r="C14" s="74">
        <v>3355506</v>
      </c>
      <c r="D14" s="57">
        <f>COUNTIF(F$26:I$178,"3355506")</f>
        <v>22</v>
      </c>
      <c r="E14" s="47"/>
      <c r="F14" s="57">
        <f>COUNTIF(F$26:F$178,"Kirkby Lonsdale 1")</f>
        <v>11</v>
      </c>
      <c r="G14" s="57"/>
      <c r="H14" s="57">
        <f>COUNTIF(H$26:H$178,"Kirkby Lonsdale 1")</f>
        <v>11</v>
      </c>
      <c r="I14" s="57">
        <f>COUNTIF(F$26:F$101,"Kirkby Lonsdale 1")</f>
        <v>5</v>
      </c>
      <c r="J14" s="57">
        <f>COUNTIF(F$102:F$178,"Kirkby Lonsdale 1")</f>
        <v>6</v>
      </c>
      <c r="K14" s="57">
        <f>COUNTIF(H$26:H$101,"Kirkby Lonsdale 1")</f>
        <v>6</v>
      </c>
      <c r="L14" s="57">
        <f>COUNTIF(H$102:H$178,"Kirkby Lonsdale 1")</f>
        <v>5</v>
      </c>
    </row>
    <row r="15" spans="1:12" ht="15" customHeight="1" x14ac:dyDescent="0.3">
      <c r="A15" s="47">
        <f>COUNTIF(F$26:H$178,"Lancaster &amp; District 1")</f>
        <v>22</v>
      </c>
      <c r="B15" s="104" t="s">
        <v>560</v>
      </c>
      <c r="C15" s="97" t="s">
        <v>562</v>
      </c>
      <c r="D15" s="57">
        <f>COUNTIF(F$26:I$178,"Code LDHC")</f>
        <v>22</v>
      </c>
      <c r="E15" s="47"/>
      <c r="F15" s="57">
        <f>COUNTIF(F$26:F$178,"Lancaster &amp; District 1")</f>
        <v>11</v>
      </c>
      <c r="G15" s="57"/>
      <c r="H15" s="57">
        <f>COUNTIF(H$26:H$178,"Lancaster &amp; District 1")</f>
        <v>11</v>
      </c>
      <c r="I15" s="57">
        <f>COUNTIF(F$26:F$101,"Lancaster &amp; District 1")</f>
        <v>5</v>
      </c>
      <c r="J15" s="57">
        <f>COUNTIF(F$102:F$178,"Lancaster &amp; District 1")</f>
        <v>6</v>
      </c>
      <c r="K15" s="57">
        <f>COUNTIF(H$26:H$101,"Lancaster &amp; District 1")</f>
        <v>6</v>
      </c>
      <c r="L15" s="57">
        <f>COUNTIF(H$102:H$178,"Lancaster &amp; District 1")</f>
        <v>5</v>
      </c>
    </row>
    <row r="16" spans="1:12" x14ac:dyDescent="0.3">
      <c r="A16" s="47">
        <f>COUNTIF(F$26:H$178,"Leyland &amp; Chorley 1")</f>
        <v>22</v>
      </c>
      <c r="B16" s="3" t="s">
        <v>121</v>
      </c>
      <c r="C16" s="74">
        <v>3354309</v>
      </c>
      <c r="D16" s="57">
        <f>COUNTIF(F$26:I$178,"3354309")</f>
        <v>22</v>
      </c>
      <c r="E16" s="47"/>
      <c r="F16" s="57">
        <f>COUNTIF(F$26:F$178,"Leyland &amp; Chorley 1")</f>
        <v>11</v>
      </c>
      <c r="G16" s="57"/>
      <c r="H16" s="57">
        <f>COUNTIF(H$26:H$178,"Leyland &amp; Chorley 1")</f>
        <v>11</v>
      </c>
      <c r="I16" s="57">
        <f>COUNTIF(F$26:F$101,"Leyland &amp; Chorley 1")</f>
        <v>6</v>
      </c>
      <c r="J16" s="57">
        <f>COUNTIF(F$102:F$178,"Leyland &amp; Chorley 1")</f>
        <v>5</v>
      </c>
      <c r="K16" s="57">
        <f>COUNTIF(H$26:H$101,"Leyland &amp; Chorley 1")</f>
        <v>5</v>
      </c>
      <c r="L16" s="57">
        <f>COUNTIF(H$102:H$178,"Leyland &amp; Chorley 1")</f>
        <v>6</v>
      </c>
    </row>
    <row r="17" spans="1:12" x14ac:dyDescent="0.3">
      <c r="A17" s="47">
        <f>COUNTIF(F$26:H$178,"Lytham St Annes 1")</f>
        <v>22</v>
      </c>
      <c r="B17" s="3" t="s">
        <v>122</v>
      </c>
      <c r="C17" s="74">
        <v>3353800</v>
      </c>
      <c r="D17" s="57">
        <f>COUNTIF(F$26:I$178,"3353800")</f>
        <v>22</v>
      </c>
      <c r="E17" s="47"/>
      <c r="F17" s="57">
        <f>COUNTIF(F$26:F$178,"Lytham St Annes 1")</f>
        <v>11</v>
      </c>
      <c r="G17" s="57"/>
      <c r="H17" s="57">
        <f>COUNTIF(H$26:H$178,"Lytham St Annes 1")</f>
        <v>11</v>
      </c>
      <c r="I17" s="57">
        <f>COUNTIF(F$26:F$101,"Lytham St Annes 1")</f>
        <v>6</v>
      </c>
      <c r="J17" s="57">
        <f>COUNTIF(F$102:F$178,"Lytham St Annes 1")</f>
        <v>5</v>
      </c>
      <c r="K17" s="57">
        <f>COUNTIF(H$26:H$101,"Lytham St Annes 1")</f>
        <v>5</v>
      </c>
      <c r="L17" s="57">
        <f>COUNTIF(H$102:H$178,"Lytham St Annes 1")</f>
        <v>6</v>
      </c>
    </row>
    <row r="18" spans="1:12" x14ac:dyDescent="0.3">
      <c r="A18" s="47">
        <f>COUNTIF(F$26:H$178,"Preston 4")</f>
        <v>22</v>
      </c>
      <c r="B18" s="3" t="s">
        <v>123</v>
      </c>
      <c r="C18" s="74">
        <v>3351104</v>
      </c>
      <c r="D18" s="57">
        <f>COUNTIF(F$26:I$178,"3351104")</f>
        <v>22</v>
      </c>
      <c r="E18" s="47"/>
      <c r="F18" s="57">
        <f>COUNTIF(F$26:F$178,"Preston 4")</f>
        <v>11</v>
      </c>
      <c r="G18" s="57"/>
      <c r="H18" s="57">
        <f>COUNTIF(H$26:H$178,"Preston 4")</f>
        <v>11</v>
      </c>
      <c r="I18" s="57">
        <f>COUNTIF(F$26:F$101,"Preston 4")</f>
        <v>5</v>
      </c>
      <c r="J18" s="57">
        <f>COUNTIF(F$102:F$178,"Preston 4")</f>
        <v>6</v>
      </c>
      <c r="K18" s="57">
        <f>COUNTIF(H$26:H$101,"Preston 4")</f>
        <v>6</v>
      </c>
      <c r="L18" s="57">
        <f>COUNTIF(H$102:H$178,"Preston 4")</f>
        <v>5</v>
      </c>
    </row>
    <row r="19" spans="1:12" x14ac:dyDescent="0.3">
      <c r="A19" s="47">
        <f>COUNTIF(F$26:H$178,"Preston 5")</f>
        <v>22</v>
      </c>
      <c r="B19" s="3" t="s">
        <v>151</v>
      </c>
      <c r="C19" s="74">
        <v>3351208</v>
      </c>
      <c r="D19" s="57">
        <f>COUNTIF(F$26:I$178,"3351208")</f>
        <v>22</v>
      </c>
      <c r="E19" s="47"/>
      <c r="F19" s="57">
        <f>COUNTIF(F$26:F$178,"Preston 5")</f>
        <v>11</v>
      </c>
      <c r="G19" s="57"/>
      <c r="H19" s="57">
        <f>COUNTIF(H$26:H$178,"Preston 5")</f>
        <v>11</v>
      </c>
      <c r="I19" s="57">
        <f>COUNTIF(F$26:F$101,"Preston 5")</f>
        <v>6</v>
      </c>
      <c r="J19" s="57">
        <f>COUNTIF(F$102:F$178,"Preston 5")</f>
        <v>5</v>
      </c>
      <c r="K19" s="57">
        <f>COUNTIF(H$26:H$101,"Preston 5")</f>
        <v>5</v>
      </c>
      <c r="L19" s="57">
        <f>COUNTIF(H$102:H$178,"Preston 5")</f>
        <v>6</v>
      </c>
    </row>
    <row r="20" spans="1:12" x14ac:dyDescent="0.3">
      <c r="A20" s="47">
        <f>COUNTIF(F$26:H$178,"Ulverston South Lakes 1")</f>
        <v>22</v>
      </c>
      <c r="B20" s="105" t="s">
        <v>561</v>
      </c>
      <c r="C20" s="97" t="s">
        <v>563</v>
      </c>
      <c r="D20" s="57">
        <f>COUNTIF(F$26:I$178,"Code USL")</f>
        <v>22</v>
      </c>
      <c r="E20" s="47"/>
      <c r="F20" s="57">
        <f>COUNTIF(F$26:F$178,"Ulverston South Lakes 1")</f>
        <v>11</v>
      </c>
      <c r="G20" s="57"/>
      <c r="H20" s="57">
        <f>COUNTIF(H$26:H$178,"Ulverston South Lakes 1")</f>
        <v>11</v>
      </c>
      <c r="I20" s="57">
        <f>COUNTIF(F$26:F$101,"Ulverston South Lakes 1")</f>
        <v>6</v>
      </c>
      <c r="J20" s="57">
        <f>COUNTIF(F$102:F$178,"Ulverston South Lakes 1")</f>
        <v>5</v>
      </c>
      <c r="K20" s="57">
        <f>COUNTIF(H$26:H$101,"Ulverston South Lakes 1")</f>
        <v>5</v>
      </c>
      <c r="L20" s="57">
        <f>COUNTIF(H$102:H$178,"Ulverston South Lakes 1")</f>
        <v>6</v>
      </c>
    </row>
    <row r="21" spans="1:12" x14ac:dyDescent="0.3">
      <c r="A21" s="47">
        <f>COUNTIF(F$26:H$178,"Windermere 2")</f>
        <v>22</v>
      </c>
      <c r="B21" s="3" t="s">
        <v>153</v>
      </c>
      <c r="C21" s="74">
        <v>3346103</v>
      </c>
      <c r="D21" s="57">
        <f>COUNTIF(F$26:I$178,"3346103")</f>
        <v>0</v>
      </c>
      <c r="E21" s="47"/>
      <c r="F21" s="57">
        <f>COUNTIF(F$26:F$178,"Windermere 2")</f>
        <v>11</v>
      </c>
      <c r="G21" s="57"/>
      <c r="H21" s="57">
        <f>COUNTIF(H$26:H$178,"Windermere 2")</f>
        <v>11</v>
      </c>
      <c r="I21" s="57">
        <f>COUNTIF(F$26:F$101,"Windermere 2")</f>
        <v>6</v>
      </c>
      <c r="J21" s="57">
        <f>COUNTIF(F$102:F$178,"Windermere 2")</f>
        <v>5</v>
      </c>
      <c r="K21" s="57">
        <f>COUNTIF(H$26:H$101,"Windermere 2")</f>
        <v>5</v>
      </c>
      <c r="L21" s="57">
        <f>COUNTIF(H$102:H$178,"Windermere 2")</f>
        <v>6</v>
      </c>
    </row>
    <row r="22" spans="1:12" x14ac:dyDescent="0.3">
      <c r="K22" s="72"/>
    </row>
    <row r="23" spans="1:12" ht="21" x14ac:dyDescent="0.4">
      <c r="B23" s="22" t="s">
        <v>93</v>
      </c>
      <c r="K23" s="70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  <c r="J24" s="39"/>
      <c r="K24" s="70"/>
    </row>
    <row r="26" spans="1:12" x14ac:dyDescent="0.3">
      <c r="B26" s="44">
        <v>45913</v>
      </c>
      <c r="C26" s="3" t="s">
        <v>416</v>
      </c>
      <c r="D26" s="3" t="s">
        <v>488</v>
      </c>
      <c r="E26" s="101"/>
      <c r="F26" s="4" t="s">
        <v>118</v>
      </c>
      <c r="G26" s="4">
        <v>3356005</v>
      </c>
      <c r="H26" s="3" t="s">
        <v>117</v>
      </c>
      <c r="I26" s="4">
        <v>3359002</v>
      </c>
    </row>
    <row r="27" spans="1:12" x14ac:dyDescent="0.3">
      <c r="B27" s="44">
        <v>45913</v>
      </c>
      <c r="C27" s="3" t="s">
        <v>416</v>
      </c>
      <c r="D27" s="3" t="s">
        <v>488</v>
      </c>
      <c r="E27" s="101"/>
      <c r="F27" s="4" t="s">
        <v>121</v>
      </c>
      <c r="G27" s="4">
        <v>3354309</v>
      </c>
      <c r="H27" s="3" t="s">
        <v>119</v>
      </c>
      <c r="I27" s="4">
        <v>3067909</v>
      </c>
    </row>
    <row r="28" spans="1:12" x14ac:dyDescent="0.3">
      <c r="B28" s="44">
        <v>45913</v>
      </c>
      <c r="C28" s="3" t="s">
        <v>416</v>
      </c>
      <c r="D28" s="3" t="s">
        <v>488</v>
      </c>
      <c r="E28" s="101"/>
      <c r="F28" s="4" t="s">
        <v>122</v>
      </c>
      <c r="G28" s="4">
        <v>3353800</v>
      </c>
      <c r="H28" s="3" t="s">
        <v>123</v>
      </c>
      <c r="I28" s="4">
        <v>3351104</v>
      </c>
    </row>
    <row r="29" spans="1:12" x14ac:dyDescent="0.3">
      <c r="B29" s="44">
        <v>45913</v>
      </c>
      <c r="C29" s="3" t="s">
        <v>416</v>
      </c>
      <c r="D29" s="3" t="s">
        <v>488</v>
      </c>
      <c r="E29" s="101"/>
      <c r="F29" s="4" t="s">
        <v>151</v>
      </c>
      <c r="G29" s="4">
        <v>3351208</v>
      </c>
      <c r="H29" s="3" t="s">
        <v>120</v>
      </c>
      <c r="I29" s="4">
        <v>3355506</v>
      </c>
    </row>
    <row r="30" spans="1:12" x14ac:dyDescent="0.3">
      <c r="B30" s="44">
        <v>45913</v>
      </c>
      <c r="C30" s="3" t="s">
        <v>416</v>
      </c>
      <c r="D30" s="3" t="s">
        <v>488</v>
      </c>
      <c r="E30" s="101"/>
      <c r="F30" s="4" t="s">
        <v>147</v>
      </c>
      <c r="G30" s="4">
        <v>3067409</v>
      </c>
      <c r="H30" s="3" t="s">
        <v>560</v>
      </c>
      <c r="I30" s="4" t="s">
        <v>562</v>
      </c>
    </row>
    <row r="31" spans="1:12" x14ac:dyDescent="0.3">
      <c r="B31" s="44">
        <v>45913</v>
      </c>
      <c r="C31" s="3" t="s">
        <v>416</v>
      </c>
      <c r="D31" s="3" t="s">
        <v>488</v>
      </c>
      <c r="E31" s="101"/>
      <c r="F31" s="4" t="s">
        <v>561</v>
      </c>
      <c r="G31" s="4" t="s">
        <v>563</v>
      </c>
      <c r="H31" s="3" t="s">
        <v>153</v>
      </c>
      <c r="I31" s="4">
        <v>3033405</v>
      </c>
    </row>
    <row r="32" spans="1:12" x14ac:dyDescent="0.3">
      <c r="B32" s="4"/>
      <c r="E32" s="101"/>
      <c r="F32" s="4"/>
      <c r="G32" s="3"/>
      <c r="I32" s="3"/>
    </row>
    <row r="33" spans="2:9" x14ac:dyDescent="0.3">
      <c r="B33" s="44">
        <v>45920</v>
      </c>
      <c r="C33" s="3" t="s">
        <v>416</v>
      </c>
      <c r="D33" s="3" t="s">
        <v>488</v>
      </c>
      <c r="E33" s="101"/>
      <c r="F33" s="3" t="s">
        <v>153</v>
      </c>
      <c r="G33" s="4">
        <v>3033405</v>
      </c>
      <c r="H33" s="3" t="s">
        <v>118</v>
      </c>
      <c r="I33" s="4">
        <v>3356005</v>
      </c>
    </row>
    <row r="34" spans="2:9" x14ac:dyDescent="0.3">
      <c r="B34" s="44">
        <v>45920</v>
      </c>
      <c r="C34" s="3" t="s">
        <v>416</v>
      </c>
      <c r="D34" s="3" t="s">
        <v>488</v>
      </c>
      <c r="E34" s="101"/>
      <c r="F34" s="3" t="s">
        <v>560</v>
      </c>
      <c r="G34" s="4" t="s">
        <v>562</v>
      </c>
      <c r="H34" s="4" t="s">
        <v>561</v>
      </c>
      <c r="I34" s="4" t="s">
        <v>563</v>
      </c>
    </row>
    <row r="35" spans="2:9" x14ac:dyDescent="0.3">
      <c r="B35" s="44">
        <v>45920</v>
      </c>
      <c r="C35" s="3" t="s">
        <v>416</v>
      </c>
      <c r="D35" s="3" t="s">
        <v>488</v>
      </c>
      <c r="E35" s="101"/>
      <c r="F35" s="3" t="s">
        <v>120</v>
      </c>
      <c r="G35" s="4">
        <v>3355506</v>
      </c>
      <c r="H35" s="4" t="s">
        <v>147</v>
      </c>
      <c r="I35" s="4">
        <v>3067409</v>
      </c>
    </row>
    <row r="36" spans="2:9" x14ac:dyDescent="0.3">
      <c r="B36" s="44">
        <v>45920</v>
      </c>
      <c r="C36" s="3" t="s">
        <v>416</v>
      </c>
      <c r="D36" s="3" t="s">
        <v>488</v>
      </c>
      <c r="E36" s="101"/>
      <c r="F36" s="3" t="s">
        <v>117</v>
      </c>
      <c r="G36" s="4">
        <v>3359002</v>
      </c>
      <c r="H36" s="4" t="s">
        <v>121</v>
      </c>
      <c r="I36" s="4">
        <v>3354309</v>
      </c>
    </row>
    <row r="37" spans="2:9" x14ac:dyDescent="0.3">
      <c r="B37" s="44">
        <v>45920</v>
      </c>
      <c r="C37" s="3" t="s">
        <v>416</v>
      </c>
      <c r="D37" s="3" t="s">
        <v>488</v>
      </c>
      <c r="E37" s="101"/>
      <c r="F37" s="3" t="s">
        <v>123</v>
      </c>
      <c r="G37" s="4">
        <v>3351104</v>
      </c>
      <c r="H37" s="4" t="s">
        <v>151</v>
      </c>
      <c r="I37" s="4">
        <v>3351208</v>
      </c>
    </row>
    <row r="38" spans="2:9" x14ac:dyDescent="0.3">
      <c r="B38" s="44">
        <v>45920</v>
      </c>
      <c r="C38" s="3" t="s">
        <v>416</v>
      </c>
      <c r="D38" s="3" t="s">
        <v>488</v>
      </c>
      <c r="E38" s="101"/>
      <c r="F38" s="3" t="s">
        <v>119</v>
      </c>
      <c r="G38" s="4">
        <v>3067909</v>
      </c>
      <c r="H38" s="4" t="s">
        <v>122</v>
      </c>
      <c r="I38" s="4">
        <v>3353800</v>
      </c>
    </row>
    <row r="39" spans="2:9" x14ac:dyDescent="0.3">
      <c r="B39" s="4"/>
      <c r="E39" s="101"/>
      <c r="F39" s="4"/>
      <c r="G39" s="3"/>
      <c r="I39" s="3"/>
    </row>
    <row r="40" spans="2:9" x14ac:dyDescent="0.3">
      <c r="B40" s="44">
        <v>45927</v>
      </c>
      <c r="C40" s="3" t="s">
        <v>416</v>
      </c>
      <c r="D40" s="3" t="s">
        <v>488</v>
      </c>
      <c r="E40" s="101"/>
      <c r="F40" s="3" t="s">
        <v>153</v>
      </c>
      <c r="G40" s="4">
        <v>3033405</v>
      </c>
      <c r="H40" s="3" t="s">
        <v>560</v>
      </c>
      <c r="I40" s="4" t="s">
        <v>562</v>
      </c>
    </row>
    <row r="41" spans="2:9" x14ac:dyDescent="0.3">
      <c r="B41" s="44">
        <v>45927</v>
      </c>
      <c r="C41" s="3" t="s">
        <v>416</v>
      </c>
      <c r="D41" s="3" t="s">
        <v>488</v>
      </c>
      <c r="E41" s="101"/>
      <c r="F41" s="4" t="s">
        <v>121</v>
      </c>
      <c r="G41" s="4">
        <v>3354309</v>
      </c>
      <c r="H41" s="3" t="s">
        <v>118</v>
      </c>
      <c r="I41" s="4">
        <v>3356005</v>
      </c>
    </row>
    <row r="42" spans="2:9" x14ac:dyDescent="0.3">
      <c r="B42" s="44">
        <v>45927</v>
      </c>
      <c r="C42" s="3" t="s">
        <v>416</v>
      </c>
      <c r="D42" s="3" t="s">
        <v>488</v>
      </c>
      <c r="E42" s="101"/>
      <c r="F42" s="4" t="s">
        <v>122</v>
      </c>
      <c r="G42" s="4">
        <v>3353800</v>
      </c>
      <c r="H42" s="3" t="s">
        <v>117</v>
      </c>
      <c r="I42" s="4">
        <v>3359002</v>
      </c>
    </row>
    <row r="43" spans="2:9" x14ac:dyDescent="0.3">
      <c r="B43" s="44">
        <v>45927</v>
      </c>
      <c r="C43" s="3" t="s">
        <v>416</v>
      </c>
      <c r="D43" s="3" t="s">
        <v>488</v>
      </c>
      <c r="E43" s="101"/>
      <c r="F43" s="4" t="s">
        <v>151</v>
      </c>
      <c r="G43" s="4">
        <v>3351208</v>
      </c>
      <c r="H43" s="3" t="s">
        <v>119</v>
      </c>
      <c r="I43" s="4">
        <v>3067909</v>
      </c>
    </row>
    <row r="44" spans="2:9" x14ac:dyDescent="0.3">
      <c r="B44" s="44">
        <v>45927</v>
      </c>
      <c r="C44" s="3" t="s">
        <v>416</v>
      </c>
      <c r="D44" s="3" t="s">
        <v>488</v>
      </c>
      <c r="E44" s="101"/>
      <c r="F44" s="4" t="s">
        <v>147</v>
      </c>
      <c r="G44" s="4">
        <v>3067409</v>
      </c>
      <c r="H44" s="3" t="s">
        <v>123</v>
      </c>
      <c r="I44" s="4">
        <v>3351104</v>
      </c>
    </row>
    <row r="45" spans="2:9" x14ac:dyDescent="0.3">
      <c r="B45" s="44">
        <v>45927</v>
      </c>
      <c r="C45" s="3" t="s">
        <v>416</v>
      </c>
      <c r="D45" s="3" t="s">
        <v>488</v>
      </c>
      <c r="E45" s="101"/>
      <c r="F45" s="4" t="s">
        <v>561</v>
      </c>
      <c r="G45" s="4" t="s">
        <v>563</v>
      </c>
      <c r="H45" s="3" t="s">
        <v>120</v>
      </c>
      <c r="I45" s="4">
        <v>3355506</v>
      </c>
    </row>
    <row r="46" spans="2:9" x14ac:dyDescent="0.3">
      <c r="B46" s="4"/>
      <c r="E46" s="101"/>
      <c r="F46" s="4"/>
      <c r="G46" s="3"/>
      <c r="I46" s="3"/>
    </row>
    <row r="47" spans="2:9" x14ac:dyDescent="0.3">
      <c r="B47" s="44">
        <v>45934</v>
      </c>
      <c r="C47" s="3" t="s">
        <v>416</v>
      </c>
      <c r="D47" s="3" t="s">
        <v>488</v>
      </c>
      <c r="E47" s="101"/>
      <c r="F47" s="4" t="s">
        <v>118</v>
      </c>
      <c r="G47" s="4">
        <v>3356005</v>
      </c>
      <c r="H47" s="4" t="s">
        <v>122</v>
      </c>
      <c r="I47" s="4">
        <v>3353800</v>
      </c>
    </row>
    <row r="48" spans="2:9" x14ac:dyDescent="0.3">
      <c r="B48" s="44">
        <v>45934</v>
      </c>
      <c r="C48" s="3" t="s">
        <v>416</v>
      </c>
      <c r="D48" s="3" t="s">
        <v>488</v>
      </c>
      <c r="E48" s="101"/>
      <c r="F48" s="4" t="s">
        <v>121</v>
      </c>
      <c r="G48" s="4">
        <v>3354309</v>
      </c>
      <c r="H48" s="3" t="s">
        <v>153</v>
      </c>
      <c r="I48" s="4">
        <v>3033405</v>
      </c>
    </row>
    <row r="49" spans="2:9" x14ac:dyDescent="0.3">
      <c r="B49" s="44">
        <v>45934</v>
      </c>
      <c r="C49" s="3" t="s">
        <v>416</v>
      </c>
      <c r="D49" s="3" t="s">
        <v>488</v>
      </c>
      <c r="E49" s="101"/>
      <c r="F49" s="3" t="s">
        <v>120</v>
      </c>
      <c r="G49" s="4">
        <v>3355506</v>
      </c>
      <c r="H49" s="3" t="s">
        <v>560</v>
      </c>
      <c r="I49" s="4" t="s">
        <v>562</v>
      </c>
    </row>
    <row r="50" spans="2:9" x14ac:dyDescent="0.3">
      <c r="B50" s="44">
        <v>45934</v>
      </c>
      <c r="C50" s="3" t="s">
        <v>416</v>
      </c>
      <c r="D50" s="3" t="s">
        <v>488</v>
      </c>
      <c r="E50" s="101"/>
      <c r="F50" s="3" t="s">
        <v>117</v>
      </c>
      <c r="G50" s="4">
        <v>3359002</v>
      </c>
      <c r="H50" s="4" t="s">
        <v>151</v>
      </c>
      <c r="I50" s="4">
        <v>3351208</v>
      </c>
    </row>
    <row r="51" spans="2:9" x14ac:dyDescent="0.3">
      <c r="B51" s="44">
        <v>45934</v>
      </c>
      <c r="C51" s="3" t="s">
        <v>416</v>
      </c>
      <c r="D51" s="3" t="s">
        <v>488</v>
      </c>
      <c r="E51" s="101"/>
      <c r="F51" s="3" t="s">
        <v>123</v>
      </c>
      <c r="G51" s="4">
        <v>3351104</v>
      </c>
      <c r="H51" s="4" t="s">
        <v>561</v>
      </c>
      <c r="I51" s="4" t="s">
        <v>563</v>
      </c>
    </row>
    <row r="52" spans="2:9" x14ac:dyDescent="0.3">
      <c r="B52" s="44">
        <v>45934</v>
      </c>
      <c r="C52" s="3" t="s">
        <v>416</v>
      </c>
      <c r="D52" s="3" t="s">
        <v>488</v>
      </c>
      <c r="E52" s="101"/>
      <c r="F52" s="3" t="s">
        <v>119</v>
      </c>
      <c r="G52" s="4">
        <v>3067909</v>
      </c>
      <c r="H52" s="4" t="s">
        <v>147</v>
      </c>
      <c r="I52" s="4">
        <v>3067409</v>
      </c>
    </row>
    <row r="53" spans="2:9" x14ac:dyDescent="0.3">
      <c r="B53" s="4"/>
      <c r="E53" s="101"/>
      <c r="F53" s="4"/>
      <c r="G53" s="3"/>
      <c r="I53" s="3"/>
    </row>
    <row r="54" spans="2:9" x14ac:dyDescent="0.3">
      <c r="B54" s="44">
        <v>45941</v>
      </c>
      <c r="C54" s="3" t="s">
        <v>416</v>
      </c>
      <c r="D54" s="3" t="s">
        <v>488</v>
      </c>
      <c r="E54" s="101"/>
      <c r="F54" s="3" t="s">
        <v>153</v>
      </c>
      <c r="G54" s="4">
        <v>3033405</v>
      </c>
      <c r="H54" s="3" t="s">
        <v>120</v>
      </c>
      <c r="I54" s="4">
        <v>3355506</v>
      </c>
    </row>
    <row r="55" spans="2:9" x14ac:dyDescent="0.3">
      <c r="B55" s="44">
        <v>45941</v>
      </c>
      <c r="C55" s="3" t="s">
        <v>416</v>
      </c>
      <c r="D55" s="3" t="s">
        <v>488</v>
      </c>
      <c r="E55" s="101"/>
      <c r="F55" s="3" t="s">
        <v>560</v>
      </c>
      <c r="G55" s="4" t="s">
        <v>562</v>
      </c>
      <c r="H55" s="3" t="s">
        <v>123</v>
      </c>
      <c r="I55" s="4">
        <v>3351104</v>
      </c>
    </row>
    <row r="56" spans="2:9" x14ac:dyDescent="0.3">
      <c r="B56" s="44">
        <v>45941</v>
      </c>
      <c r="C56" s="3" t="s">
        <v>416</v>
      </c>
      <c r="D56" s="3" t="s">
        <v>488</v>
      </c>
      <c r="E56" s="101"/>
      <c r="F56" s="4" t="s">
        <v>122</v>
      </c>
      <c r="G56" s="4">
        <v>3353800</v>
      </c>
      <c r="H56" s="4" t="s">
        <v>121</v>
      </c>
      <c r="I56" s="4">
        <v>3354309</v>
      </c>
    </row>
    <row r="57" spans="2:9" x14ac:dyDescent="0.3">
      <c r="B57" s="44">
        <v>45941</v>
      </c>
      <c r="C57" s="3" t="s">
        <v>416</v>
      </c>
      <c r="D57" s="3" t="s">
        <v>488</v>
      </c>
      <c r="E57" s="101"/>
      <c r="F57" s="4" t="s">
        <v>151</v>
      </c>
      <c r="G57" s="4">
        <v>3351208</v>
      </c>
      <c r="H57" s="3" t="s">
        <v>118</v>
      </c>
      <c r="I57" s="4">
        <v>3356005</v>
      </c>
    </row>
    <row r="58" spans="2:9" x14ac:dyDescent="0.3">
      <c r="B58" s="44">
        <v>45941</v>
      </c>
      <c r="C58" s="3" t="s">
        <v>416</v>
      </c>
      <c r="D58" s="3" t="s">
        <v>488</v>
      </c>
      <c r="E58" s="101"/>
      <c r="F58" s="4" t="s">
        <v>147</v>
      </c>
      <c r="G58" s="4">
        <v>3067409</v>
      </c>
      <c r="H58" s="3" t="s">
        <v>117</v>
      </c>
      <c r="I58" s="4">
        <v>3359002</v>
      </c>
    </row>
    <row r="59" spans="2:9" x14ac:dyDescent="0.3">
      <c r="B59" s="44">
        <v>45941</v>
      </c>
      <c r="C59" s="3" t="s">
        <v>416</v>
      </c>
      <c r="D59" s="3" t="s">
        <v>488</v>
      </c>
      <c r="E59" s="101"/>
      <c r="F59" s="4" t="s">
        <v>561</v>
      </c>
      <c r="G59" s="4" t="s">
        <v>563</v>
      </c>
      <c r="H59" s="3" t="s">
        <v>119</v>
      </c>
      <c r="I59" s="4">
        <v>3067909</v>
      </c>
    </row>
    <row r="60" spans="2:9" x14ac:dyDescent="0.3">
      <c r="B60" s="4"/>
      <c r="E60" s="101"/>
      <c r="F60" s="4"/>
      <c r="G60" s="3"/>
      <c r="I60" s="3"/>
    </row>
    <row r="61" spans="2:9" x14ac:dyDescent="0.3">
      <c r="B61" s="44">
        <v>45948</v>
      </c>
      <c r="C61" s="3" t="s">
        <v>416</v>
      </c>
      <c r="D61" s="3" t="s">
        <v>488</v>
      </c>
      <c r="E61" s="101"/>
      <c r="F61" s="4" t="s">
        <v>118</v>
      </c>
      <c r="G61" s="4">
        <v>3356005</v>
      </c>
      <c r="H61" s="4" t="s">
        <v>147</v>
      </c>
      <c r="I61" s="4">
        <v>3067409</v>
      </c>
    </row>
    <row r="62" spans="2:9" x14ac:dyDescent="0.3">
      <c r="B62" s="44">
        <v>45948</v>
      </c>
      <c r="C62" s="3" t="s">
        <v>416</v>
      </c>
      <c r="D62" s="3" t="s">
        <v>488</v>
      </c>
      <c r="E62" s="101"/>
      <c r="F62" s="4" t="s">
        <v>121</v>
      </c>
      <c r="G62" s="4">
        <v>3354309</v>
      </c>
      <c r="H62" s="4" t="s">
        <v>151</v>
      </c>
      <c r="I62" s="4">
        <v>3351208</v>
      </c>
    </row>
    <row r="63" spans="2:9" x14ac:dyDescent="0.3">
      <c r="B63" s="44">
        <v>45948</v>
      </c>
      <c r="C63" s="3" t="s">
        <v>416</v>
      </c>
      <c r="D63" s="3" t="s">
        <v>488</v>
      </c>
      <c r="E63" s="101"/>
      <c r="F63" s="4" t="s">
        <v>122</v>
      </c>
      <c r="G63" s="4">
        <v>3353800</v>
      </c>
      <c r="H63" s="3" t="s">
        <v>153</v>
      </c>
      <c r="I63" s="4">
        <v>3033405</v>
      </c>
    </row>
    <row r="64" spans="2:9" x14ac:dyDescent="0.3">
      <c r="B64" s="44">
        <v>45948</v>
      </c>
      <c r="C64" s="3" t="s">
        <v>416</v>
      </c>
      <c r="D64" s="3" t="s">
        <v>488</v>
      </c>
      <c r="E64" s="101"/>
      <c r="F64" s="3" t="s">
        <v>117</v>
      </c>
      <c r="G64" s="4">
        <v>3359002</v>
      </c>
      <c r="H64" s="4" t="s">
        <v>561</v>
      </c>
      <c r="I64" s="4" t="s">
        <v>563</v>
      </c>
    </row>
    <row r="65" spans="2:9" x14ac:dyDescent="0.3">
      <c r="B65" s="44">
        <v>45948</v>
      </c>
      <c r="C65" s="3" t="s">
        <v>416</v>
      </c>
      <c r="D65" s="3" t="s">
        <v>488</v>
      </c>
      <c r="E65" s="101"/>
      <c r="F65" s="3" t="s">
        <v>123</v>
      </c>
      <c r="G65" s="4">
        <v>3351104</v>
      </c>
      <c r="H65" s="3" t="s">
        <v>120</v>
      </c>
      <c r="I65" s="4">
        <v>3355506</v>
      </c>
    </row>
    <row r="66" spans="2:9" x14ac:dyDescent="0.3">
      <c r="B66" s="44">
        <v>45948</v>
      </c>
      <c r="C66" s="3" t="s">
        <v>416</v>
      </c>
      <c r="D66" s="3" t="s">
        <v>488</v>
      </c>
      <c r="E66" s="101"/>
      <c r="F66" s="3" t="s">
        <v>119</v>
      </c>
      <c r="G66" s="4">
        <v>3067909</v>
      </c>
      <c r="H66" s="3" t="s">
        <v>560</v>
      </c>
      <c r="I66" s="4" t="s">
        <v>562</v>
      </c>
    </row>
    <row r="67" spans="2:9" x14ac:dyDescent="0.3">
      <c r="B67" s="4"/>
      <c r="E67" s="101"/>
      <c r="F67" s="4"/>
      <c r="G67" s="3"/>
      <c r="I67" s="3"/>
    </row>
    <row r="68" spans="2:9" x14ac:dyDescent="0.3">
      <c r="B68" s="44">
        <v>45962</v>
      </c>
      <c r="C68" s="3" t="s">
        <v>416</v>
      </c>
      <c r="D68" s="3" t="s">
        <v>488</v>
      </c>
      <c r="E68" s="101"/>
      <c r="F68" s="3" t="s">
        <v>153</v>
      </c>
      <c r="G68" s="4">
        <v>3033405</v>
      </c>
      <c r="H68" s="3" t="s">
        <v>123</v>
      </c>
      <c r="I68" s="4">
        <v>3351104</v>
      </c>
    </row>
    <row r="69" spans="2:9" x14ac:dyDescent="0.3">
      <c r="B69" s="44">
        <v>45962</v>
      </c>
      <c r="C69" s="3" t="s">
        <v>416</v>
      </c>
      <c r="D69" s="3" t="s">
        <v>488</v>
      </c>
      <c r="E69" s="101"/>
      <c r="F69" s="3" t="s">
        <v>560</v>
      </c>
      <c r="G69" s="4" t="s">
        <v>562</v>
      </c>
      <c r="H69" s="3" t="s">
        <v>117</v>
      </c>
      <c r="I69" s="4">
        <v>3359002</v>
      </c>
    </row>
    <row r="70" spans="2:9" x14ac:dyDescent="0.3">
      <c r="B70" s="44">
        <v>45962</v>
      </c>
      <c r="C70" s="3" t="s">
        <v>416</v>
      </c>
      <c r="D70" s="3" t="s">
        <v>488</v>
      </c>
      <c r="E70" s="101"/>
      <c r="F70" s="3" t="s">
        <v>120</v>
      </c>
      <c r="G70" s="4">
        <v>3355506</v>
      </c>
      <c r="H70" s="3" t="s">
        <v>119</v>
      </c>
      <c r="I70" s="4">
        <v>3067909</v>
      </c>
    </row>
    <row r="71" spans="2:9" x14ac:dyDescent="0.3">
      <c r="B71" s="44">
        <v>45962</v>
      </c>
      <c r="C71" s="3" t="s">
        <v>416</v>
      </c>
      <c r="D71" s="3" t="s">
        <v>488</v>
      </c>
      <c r="E71" s="101"/>
      <c r="F71" s="4" t="s">
        <v>151</v>
      </c>
      <c r="G71" s="4">
        <v>3351208</v>
      </c>
      <c r="H71" s="4" t="s">
        <v>122</v>
      </c>
      <c r="I71" s="4">
        <v>3353800</v>
      </c>
    </row>
    <row r="72" spans="2:9" x14ac:dyDescent="0.3">
      <c r="B72" s="44">
        <v>45962</v>
      </c>
      <c r="C72" s="3" t="s">
        <v>416</v>
      </c>
      <c r="D72" s="3" t="s">
        <v>488</v>
      </c>
      <c r="E72" s="101"/>
      <c r="F72" s="4" t="s">
        <v>147</v>
      </c>
      <c r="G72" s="4">
        <v>3067409</v>
      </c>
      <c r="H72" s="4" t="s">
        <v>121</v>
      </c>
      <c r="I72" s="4">
        <v>3354309</v>
      </c>
    </row>
    <row r="73" spans="2:9" x14ac:dyDescent="0.3">
      <c r="B73" s="44">
        <v>45962</v>
      </c>
      <c r="C73" s="3" t="s">
        <v>416</v>
      </c>
      <c r="D73" s="3" t="s">
        <v>488</v>
      </c>
      <c r="E73" s="101"/>
      <c r="F73" s="4" t="s">
        <v>561</v>
      </c>
      <c r="G73" s="4" t="s">
        <v>563</v>
      </c>
      <c r="H73" s="3" t="s">
        <v>118</v>
      </c>
      <c r="I73" s="4">
        <v>3356005</v>
      </c>
    </row>
    <row r="74" spans="2:9" x14ac:dyDescent="0.3">
      <c r="B74" s="4"/>
      <c r="E74" s="101"/>
      <c r="F74" s="4"/>
      <c r="G74" s="3"/>
      <c r="I74" s="3"/>
    </row>
    <row r="75" spans="2:9" x14ac:dyDescent="0.3">
      <c r="B75" s="44">
        <v>45969</v>
      </c>
      <c r="C75" s="3" t="s">
        <v>416</v>
      </c>
      <c r="D75" s="3" t="s">
        <v>488</v>
      </c>
      <c r="E75" s="101"/>
      <c r="F75" s="4" t="s">
        <v>118</v>
      </c>
      <c r="G75" s="4">
        <v>3356005</v>
      </c>
      <c r="H75" s="3" t="s">
        <v>560</v>
      </c>
      <c r="I75" s="4" t="s">
        <v>562</v>
      </c>
    </row>
    <row r="76" spans="2:9" x14ac:dyDescent="0.3">
      <c r="B76" s="44">
        <v>45969</v>
      </c>
      <c r="C76" s="3" t="s">
        <v>416</v>
      </c>
      <c r="D76" s="3" t="s">
        <v>488</v>
      </c>
      <c r="E76" s="101"/>
      <c r="F76" s="4" t="s">
        <v>121</v>
      </c>
      <c r="G76" s="4">
        <v>3354309</v>
      </c>
      <c r="H76" s="4" t="s">
        <v>561</v>
      </c>
      <c r="I76" s="4" t="s">
        <v>563</v>
      </c>
    </row>
    <row r="77" spans="2:9" x14ac:dyDescent="0.3">
      <c r="B77" s="44">
        <v>45969</v>
      </c>
      <c r="C77" s="3" t="s">
        <v>416</v>
      </c>
      <c r="D77" s="3" t="s">
        <v>488</v>
      </c>
      <c r="E77" s="101"/>
      <c r="F77" s="4" t="s">
        <v>122</v>
      </c>
      <c r="G77" s="4">
        <v>3353800</v>
      </c>
      <c r="H77" s="4" t="s">
        <v>147</v>
      </c>
      <c r="I77" s="4">
        <v>3067409</v>
      </c>
    </row>
    <row r="78" spans="2:9" x14ac:dyDescent="0.3">
      <c r="B78" s="44">
        <v>45969</v>
      </c>
      <c r="C78" s="3" t="s">
        <v>416</v>
      </c>
      <c r="D78" s="3" t="s">
        <v>488</v>
      </c>
      <c r="E78" s="101"/>
      <c r="F78" s="4" t="s">
        <v>151</v>
      </c>
      <c r="G78" s="4">
        <v>3351208</v>
      </c>
      <c r="H78" s="3" t="s">
        <v>153</v>
      </c>
      <c r="I78" s="4">
        <v>3033405</v>
      </c>
    </row>
    <row r="79" spans="2:9" x14ac:dyDescent="0.3">
      <c r="B79" s="44">
        <v>45969</v>
      </c>
      <c r="C79" s="3" t="s">
        <v>416</v>
      </c>
      <c r="D79" s="3" t="s">
        <v>488</v>
      </c>
      <c r="E79" s="101"/>
      <c r="F79" s="3" t="s">
        <v>117</v>
      </c>
      <c r="G79" s="4">
        <v>3359002</v>
      </c>
      <c r="H79" s="3" t="s">
        <v>120</v>
      </c>
      <c r="I79" s="4">
        <v>3355506</v>
      </c>
    </row>
    <row r="80" spans="2:9" x14ac:dyDescent="0.3">
      <c r="B80" s="44">
        <v>45969</v>
      </c>
      <c r="C80" s="3" t="s">
        <v>416</v>
      </c>
      <c r="D80" s="3" t="s">
        <v>488</v>
      </c>
      <c r="E80" s="101"/>
      <c r="F80" s="3" t="s">
        <v>119</v>
      </c>
      <c r="G80" s="4">
        <v>3067909</v>
      </c>
      <c r="H80" s="3" t="s">
        <v>123</v>
      </c>
      <c r="I80" s="4">
        <v>3351104</v>
      </c>
    </row>
    <row r="81" spans="2:11" x14ac:dyDescent="0.3">
      <c r="B81" s="4"/>
      <c r="E81" s="101"/>
      <c r="F81" s="4"/>
      <c r="G81" s="3"/>
      <c r="I81" s="3"/>
    </row>
    <row r="82" spans="2:11" x14ac:dyDescent="0.3">
      <c r="B82" s="44">
        <v>45976</v>
      </c>
      <c r="C82" s="3" t="s">
        <v>416</v>
      </c>
      <c r="D82" s="3" t="s">
        <v>488</v>
      </c>
      <c r="E82" s="101"/>
      <c r="F82" s="3" t="s">
        <v>153</v>
      </c>
      <c r="G82" s="4">
        <v>3033405</v>
      </c>
      <c r="H82" s="3" t="s">
        <v>119</v>
      </c>
      <c r="I82" s="4">
        <v>3067909</v>
      </c>
    </row>
    <row r="83" spans="2:11" x14ac:dyDescent="0.3">
      <c r="B83" s="44">
        <v>45976</v>
      </c>
      <c r="C83" s="3" t="s">
        <v>416</v>
      </c>
      <c r="D83" s="3" t="s">
        <v>488</v>
      </c>
      <c r="E83" s="101"/>
      <c r="F83" s="3" t="s">
        <v>560</v>
      </c>
      <c r="G83" s="4" t="s">
        <v>562</v>
      </c>
      <c r="H83" s="4" t="s">
        <v>121</v>
      </c>
      <c r="I83" s="4">
        <v>3354309</v>
      </c>
    </row>
    <row r="84" spans="2:11" x14ac:dyDescent="0.3">
      <c r="B84" s="44">
        <v>45976</v>
      </c>
      <c r="C84" s="3" t="s">
        <v>416</v>
      </c>
      <c r="D84" s="3" t="s">
        <v>488</v>
      </c>
      <c r="E84" s="101"/>
      <c r="F84" s="3" t="s">
        <v>120</v>
      </c>
      <c r="G84" s="4">
        <v>3355506</v>
      </c>
      <c r="H84" s="3" t="s">
        <v>118</v>
      </c>
      <c r="I84" s="4">
        <v>3356005</v>
      </c>
    </row>
    <row r="85" spans="2:11" x14ac:dyDescent="0.3">
      <c r="B85" s="44">
        <v>45976</v>
      </c>
      <c r="C85" s="3" t="s">
        <v>416</v>
      </c>
      <c r="D85" s="3" t="s">
        <v>488</v>
      </c>
      <c r="E85" s="101"/>
      <c r="F85" s="4" t="s">
        <v>147</v>
      </c>
      <c r="G85" s="4">
        <v>3067409</v>
      </c>
      <c r="H85" s="4" t="s">
        <v>151</v>
      </c>
      <c r="I85" s="4">
        <v>3351208</v>
      </c>
    </row>
    <row r="86" spans="2:11" x14ac:dyDescent="0.3">
      <c r="B86" s="44">
        <v>45976</v>
      </c>
      <c r="C86" s="3" t="s">
        <v>416</v>
      </c>
      <c r="D86" s="3" t="s">
        <v>488</v>
      </c>
      <c r="E86" s="101"/>
      <c r="F86" s="4" t="s">
        <v>561</v>
      </c>
      <c r="G86" s="4" t="s">
        <v>563</v>
      </c>
      <c r="H86" s="4" t="s">
        <v>122</v>
      </c>
      <c r="I86" s="4">
        <v>3353800</v>
      </c>
    </row>
    <row r="87" spans="2:11" x14ac:dyDescent="0.3">
      <c r="B87" s="44">
        <v>45976</v>
      </c>
      <c r="C87" s="3" t="s">
        <v>416</v>
      </c>
      <c r="D87" s="3" t="s">
        <v>488</v>
      </c>
      <c r="E87" s="101"/>
      <c r="F87" s="3" t="s">
        <v>123</v>
      </c>
      <c r="G87" s="4">
        <v>3351104</v>
      </c>
      <c r="H87" s="3" t="s">
        <v>117</v>
      </c>
      <c r="I87" s="4">
        <v>3359002</v>
      </c>
    </row>
    <row r="88" spans="2:11" x14ac:dyDescent="0.3">
      <c r="B88" s="4"/>
      <c r="E88" s="101"/>
      <c r="F88" s="4"/>
      <c r="G88" s="3"/>
      <c r="I88" s="3"/>
    </row>
    <row r="89" spans="2:11" x14ac:dyDescent="0.3">
      <c r="B89" s="44">
        <v>45983</v>
      </c>
      <c r="C89" s="3" t="s">
        <v>416</v>
      </c>
      <c r="D89" s="3" t="s">
        <v>488</v>
      </c>
      <c r="E89" s="101"/>
      <c r="F89" s="4" t="s">
        <v>118</v>
      </c>
      <c r="G89" s="4">
        <v>3356005</v>
      </c>
      <c r="H89" s="3" t="s">
        <v>123</v>
      </c>
      <c r="I89" s="4">
        <v>3351104</v>
      </c>
    </row>
    <row r="90" spans="2:11" x14ac:dyDescent="0.3">
      <c r="B90" s="44">
        <v>45983</v>
      </c>
      <c r="C90" s="3" t="s">
        <v>416</v>
      </c>
      <c r="D90" s="3" t="s">
        <v>488</v>
      </c>
      <c r="E90" s="101"/>
      <c r="F90" s="4" t="s">
        <v>121</v>
      </c>
      <c r="G90" s="4">
        <v>3354309</v>
      </c>
      <c r="H90" s="3" t="s">
        <v>120</v>
      </c>
      <c r="I90" s="4">
        <v>3355506</v>
      </c>
    </row>
    <row r="91" spans="2:11" x14ac:dyDescent="0.3">
      <c r="B91" s="44">
        <v>45983</v>
      </c>
      <c r="C91" s="3" t="s">
        <v>416</v>
      </c>
      <c r="D91" s="3" t="s">
        <v>488</v>
      </c>
      <c r="E91" s="101"/>
      <c r="F91" s="4" t="s">
        <v>122</v>
      </c>
      <c r="G91" s="4">
        <v>3353800</v>
      </c>
      <c r="H91" s="3" t="s">
        <v>560</v>
      </c>
      <c r="I91" s="4" t="s">
        <v>562</v>
      </c>
    </row>
    <row r="92" spans="2:11" x14ac:dyDescent="0.3">
      <c r="B92" s="44">
        <v>45983</v>
      </c>
      <c r="C92" s="3" t="s">
        <v>416</v>
      </c>
      <c r="D92" s="3" t="s">
        <v>488</v>
      </c>
      <c r="E92" s="101"/>
      <c r="F92" s="4" t="s">
        <v>151</v>
      </c>
      <c r="G92" s="4">
        <v>3351208</v>
      </c>
      <c r="H92" s="4" t="s">
        <v>561</v>
      </c>
      <c r="I92" s="4" t="s">
        <v>563</v>
      </c>
    </row>
    <row r="93" spans="2:11" x14ac:dyDescent="0.3">
      <c r="B93" s="44">
        <v>45983</v>
      </c>
      <c r="C93" s="3" t="s">
        <v>416</v>
      </c>
      <c r="D93" s="3" t="s">
        <v>488</v>
      </c>
      <c r="E93" s="101"/>
      <c r="F93" s="4" t="s">
        <v>147</v>
      </c>
      <c r="G93" s="4">
        <v>3067409</v>
      </c>
      <c r="H93" s="3" t="s">
        <v>153</v>
      </c>
      <c r="I93" s="4">
        <v>3033405</v>
      </c>
      <c r="J93" s="4"/>
      <c r="K93" s="4"/>
    </row>
    <row r="94" spans="2:11" x14ac:dyDescent="0.3">
      <c r="B94" s="44">
        <v>45983</v>
      </c>
      <c r="C94" s="3" t="s">
        <v>416</v>
      </c>
      <c r="D94" s="3" t="s">
        <v>488</v>
      </c>
      <c r="E94" s="101"/>
      <c r="F94" s="3" t="s">
        <v>117</v>
      </c>
      <c r="G94" s="4">
        <v>3359002</v>
      </c>
      <c r="H94" s="3" t="s">
        <v>119</v>
      </c>
      <c r="I94" s="4">
        <v>3067909</v>
      </c>
    </row>
    <row r="95" spans="2:11" x14ac:dyDescent="0.3">
      <c r="B95" s="4"/>
      <c r="E95" s="101"/>
      <c r="F95" s="4"/>
      <c r="G95" s="3"/>
      <c r="I95" s="3"/>
    </row>
    <row r="96" spans="2:11" x14ac:dyDescent="0.3">
      <c r="B96" s="44">
        <v>45990</v>
      </c>
      <c r="C96" s="3" t="s">
        <v>416</v>
      </c>
      <c r="D96" s="3" t="s">
        <v>488</v>
      </c>
      <c r="E96" s="101"/>
      <c r="F96" s="3" t="s">
        <v>153</v>
      </c>
      <c r="G96" s="4">
        <v>3033405</v>
      </c>
      <c r="H96" s="3" t="s">
        <v>117</v>
      </c>
      <c r="I96" s="4">
        <v>3359002</v>
      </c>
    </row>
    <row r="97" spans="2:9" x14ac:dyDescent="0.3">
      <c r="B97" s="44">
        <v>45990</v>
      </c>
      <c r="C97" s="3" t="s">
        <v>416</v>
      </c>
      <c r="D97" s="3" t="s">
        <v>488</v>
      </c>
      <c r="E97" s="101"/>
      <c r="F97" s="3" t="s">
        <v>560</v>
      </c>
      <c r="G97" s="4" t="s">
        <v>562</v>
      </c>
      <c r="H97" s="4" t="s">
        <v>151</v>
      </c>
      <c r="I97" s="4">
        <v>3351208</v>
      </c>
    </row>
    <row r="98" spans="2:9" x14ac:dyDescent="0.3">
      <c r="B98" s="44">
        <v>45990</v>
      </c>
      <c r="C98" s="3" t="s">
        <v>416</v>
      </c>
      <c r="D98" s="3" t="s">
        <v>488</v>
      </c>
      <c r="E98" s="101"/>
      <c r="F98" s="3" t="s">
        <v>120</v>
      </c>
      <c r="G98" s="4">
        <v>3355506</v>
      </c>
      <c r="H98" s="4" t="s">
        <v>122</v>
      </c>
      <c r="I98" s="4">
        <v>3353800</v>
      </c>
    </row>
    <row r="99" spans="2:9" x14ac:dyDescent="0.3">
      <c r="B99" s="44">
        <v>45990</v>
      </c>
      <c r="C99" s="3" t="s">
        <v>416</v>
      </c>
      <c r="D99" s="3" t="s">
        <v>488</v>
      </c>
      <c r="E99" s="101"/>
      <c r="F99" s="4" t="s">
        <v>561</v>
      </c>
      <c r="G99" s="4" t="s">
        <v>563</v>
      </c>
      <c r="H99" s="4" t="s">
        <v>147</v>
      </c>
      <c r="I99" s="4">
        <v>3067409</v>
      </c>
    </row>
    <row r="100" spans="2:9" x14ac:dyDescent="0.3">
      <c r="B100" s="44">
        <v>45990</v>
      </c>
      <c r="C100" s="3" t="s">
        <v>416</v>
      </c>
      <c r="D100" s="3" t="s">
        <v>488</v>
      </c>
      <c r="E100" s="101"/>
      <c r="F100" s="3" t="s">
        <v>123</v>
      </c>
      <c r="G100" s="4">
        <v>3351104</v>
      </c>
      <c r="H100" s="4" t="s">
        <v>121</v>
      </c>
      <c r="I100" s="4">
        <v>3354309</v>
      </c>
    </row>
    <row r="101" spans="2:9" x14ac:dyDescent="0.3">
      <c r="B101" s="44">
        <v>45990</v>
      </c>
      <c r="C101" s="3" t="s">
        <v>416</v>
      </c>
      <c r="D101" s="3" t="s">
        <v>488</v>
      </c>
      <c r="E101" s="101"/>
      <c r="F101" s="3" t="s">
        <v>119</v>
      </c>
      <c r="G101" s="4">
        <v>3067909</v>
      </c>
      <c r="H101" s="4" t="s">
        <v>118</v>
      </c>
      <c r="I101" s="4">
        <v>3356005</v>
      </c>
    </row>
    <row r="102" spans="2:9" x14ac:dyDescent="0.3">
      <c r="B102" s="4"/>
      <c r="E102" s="42"/>
      <c r="F102" s="4"/>
      <c r="G102" s="3"/>
      <c r="I102" s="3"/>
    </row>
    <row r="103" spans="2:9" x14ac:dyDescent="0.3">
      <c r="B103" s="44">
        <v>46032</v>
      </c>
      <c r="C103" s="3" t="s">
        <v>416</v>
      </c>
      <c r="D103" s="3" t="s">
        <v>488</v>
      </c>
      <c r="E103" s="101"/>
      <c r="F103" s="3" t="s">
        <v>153</v>
      </c>
      <c r="G103" s="4">
        <v>3033405</v>
      </c>
      <c r="H103" s="4" t="s">
        <v>561</v>
      </c>
      <c r="I103" s="4" t="s">
        <v>563</v>
      </c>
    </row>
    <row r="104" spans="2:9" x14ac:dyDescent="0.3">
      <c r="B104" s="44">
        <v>46032</v>
      </c>
      <c r="C104" s="3" t="s">
        <v>416</v>
      </c>
      <c r="D104" s="3" t="s">
        <v>488</v>
      </c>
      <c r="E104" s="101"/>
      <c r="F104" s="3" t="s">
        <v>560</v>
      </c>
      <c r="G104" s="4" t="s">
        <v>562</v>
      </c>
      <c r="H104" s="4" t="s">
        <v>147</v>
      </c>
      <c r="I104" s="4">
        <v>3067409</v>
      </c>
    </row>
    <row r="105" spans="2:9" x14ac:dyDescent="0.3">
      <c r="B105" s="44">
        <v>46032</v>
      </c>
      <c r="C105" s="3" t="s">
        <v>416</v>
      </c>
      <c r="D105" s="3" t="s">
        <v>488</v>
      </c>
      <c r="E105" s="101"/>
      <c r="F105" s="3" t="s">
        <v>120</v>
      </c>
      <c r="G105" s="4">
        <v>3355506</v>
      </c>
      <c r="H105" s="4" t="s">
        <v>151</v>
      </c>
      <c r="I105" s="4">
        <v>3351208</v>
      </c>
    </row>
    <row r="106" spans="2:9" x14ac:dyDescent="0.3">
      <c r="B106" s="44">
        <v>46032</v>
      </c>
      <c r="C106" s="3" t="s">
        <v>416</v>
      </c>
      <c r="D106" s="3" t="s">
        <v>488</v>
      </c>
      <c r="E106" s="101"/>
      <c r="F106" s="3" t="s">
        <v>117</v>
      </c>
      <c r="G106" s="4">
        <v>3359002</v>
      </c>
      <c r="H106" s="3" t="s">
        <v>118</v>
      </c>
      <c r="I106" s="4">
        <v>3356005</v>
      </c>
    </row>
    <row r="107" spans="2:9" x14ac:dyDescent="0.3">
      <c r="B107" s="44">
        <v>46032</v>
      </c>
      <c r="C107" s="3" t="s">
        <v>416</v>
      </c>
      <c r="D107" s="3" t="s">
        <v>488</v>
      </c>
      <c r="E107" s="101"/>
      <c r="F107" s="3" t="s">
        <v>123</v>
      </c>
      <c r="G107" s="4">
        <v>3351104</v>
      </c>
      <c r="H107" s="4" t="s">
        <v>122</v>
      </c>
      <c r="I107" s="4">
        <v>3353800</v>
      </c>
    </row>
    <row r="108" spans="2:9" x14ac:dyDescent="0.3">
      <c r="B108" s="44">
        <v>46032</v>
      </c>
      <c r="C108" s="3" t="s">
        <v>416</v>
      </c>
      <c r="D108" s="3" t="s">
        <v>488</v>
      </c>
      <c r="E108" s="101"/>
      <c r="F108" s="3" t="s">
        <v>119</v>
      </c>
      <c r="G108" s="4">
        <v>3067909</v>
      </c>
      <c r="H108" s="4" t="s">
        <v>121</v>
      </c>
      <c r="I108" s="4">
        <v>3354309</v>
      </c>
    </row>
    <row r="109" spans="2:9" x14ac:dyDescent="0.3">
      <c r="B109" s="4"/>
      <c r="E109" s="101"/>
      <c r="F109" s="4"/>
      <c r="G109" s="3"/>
      <c r="I109" s="3"/>
    </row>
    <row r="110" spans="2:9" x14ac:dyDescent="0.3">
      <c r="B110" s="44">
        <v>46039</v>
      </c>
      <c r="C110" s="3" t="s">
        <v>416</v>
      </c>
      <c r="D110" s="3" t="s">
        <v>488</v>
      </c>
      <c r="E110" s="101"/>
      <c r="F110" s="4" t="s">
        <v>118</v>
      </c>
      <c r="G110" s="4">
        <v>3356005</v>
      </c>
      <c r="H110" s="3" t="s">
        <v>153</v>
      </c>
      <c r="I110" s="4">
        <v>3033405</v>
      </c>
    </row>
    <row r="111" spans="2:9" x14ac:dyDescent="0.3">
      <c r="B111" s="44">
        <v>46039</v>
      </c>
      <c r="C111" s="3" t="s">
        <v>416</v>
      </c>
      <c r="D111" s="3" t="s">
        <v>488</v>
      </c>
      <c r="E111" s="101"/>
      <c r="F111" s="4" t="s">
        <v>121</v>
      </c>
      <c r="G111" s="4">
        <v>3354309</v>
      </c>
      <c r="H111" s="3" t="s">
        <v>117</v>
      </c>
      <c r="I111" s="4">
        <v>3359002</v>
      </c>
    </row>
    <row r="112" spans="2:9" x14ac:dyDescent="0.3">
      <c r="B112" s="44">
        <v>46039</v>
      </c>
      <c r="C112" s="3" t="s">
        <v>416</v>
      </c>
      <c r="D112" s="3" t="s">
        <v>488</v>
      </c>
      <c r="E112" s="101"/>
      <c r="F112" s="4" t="s">
        <v>122</v>
      </c>
      <c r="G112" s="4">
        <v>3353800</v>
      </c>
      <c r="H112" s="3" t="s">
        <v>119</v>
      </c>
      <c r="I112" s="4">
        <v>3067909</v>
      </c>
    </row>
    <row r="113" spans="2:11" x14ac:dyDescent="0.3">
      <c r="B113" s="44">
        <v>46039</v>
      </c>
      <c r="C113" s="3" t="s">
        <v>416</v>
      </c>
      <c r="D113" s="3" t="s">
        <v>488</v>
      </c>
      <c r="E113" s="101"/>
      <c r="F113" s="4" t="s">
        <v>151</v>
      </c>
      <c r="G113" s="4">
        <v>3351208</v>
      </c>
      <c r="H113" s="3" t="s">
        <v>123</v>
      </c>
      <c r="I113" s="4">
        <v>3351104</v>
      </c>
    </row>
    <row r="114" spans="2:11" x14ac:dyDescent="0.3">
      <c r="B114" s="44">
        <v>46039</v>
      </c>
      <c r="C114" s="3" t="s">
        <v>416</v>
      </c>
      <c r="D114" s="3" t="s">
        <v>488</v>
      </c>
      <c r="E114" s="101"/>
      <c r="F114" s="4" t="s">
        <v>147</v>
      </c>
      <c r="G114" s="4">
        <v>3067409</v>
      </c>
      <c r="H114" s="3" t="s">
        <v>120</v>
      </c>
      <c r="I114" s="4">
        <v>3355506</v>
      </c>
    </row>
    <row r="115" spans="2:11" x14ac:dyDescent="0.3">
      <c r="B115" s="44">
        <v>46039</v>
      </c>
      <c r="C115" s="3" t="s">
        <v>416</v>
      </c>
      <c r="D115" s="3" t="s">
        <v>488</v>
      </c>
      <c r="E115" s="101"/>
      <c r="F115" s="4" t="s">
        <v>561</v>
      </c>
      <c r="G115" s="4" t="s">
        <v>563</v>
      </c>
      <c r="H115" s="3" t="s">
        <v>560</v>
      </c>
      <c r="I115" s="4" t="s">
        <v>562</v>
      </c>
    </row>
    <row r="116" spans="2:11" x14ac:dyDescent="0.3">
      <c r="B116" s="4"/>
      <c r="E116" s="101"/>
      <c r="F116" s="4"/>
      <c r="G116" s="3"/>
      <c r="I116" s="3"/>
    </row>
    <row r="117" spans="2:11" x14ac:dyDescent="0.3">
      <c r="B117" s="44">
        <v>46046</v>
      </c>
      <c r="C117" s="3" t="s">
        <v>416</v>
      </c>
      <c r="D117" s="3" t="s">
        <v>488</v>
      </c>
      <c r="E117" s="101"/>
      <c r="F117" s="4" t="s">
        <v>118</v>
      </c>
      <c r="G117" s="4">
        <v>3356005</v>
      </c>
      <c r="H117" s="4" t="s">
        <v>121</v>
      </c>
      <c r="I117" s="4">
        <v>3354309</v>
      </c>
    </row>
    <row r="118" spans="2:11" x14ac:dyDescent="0.3">
      <c r="B118" s="44">
        <v>46046</v>
      </c>
      <c r="C118" s="3" t="s">
        <v>416</v>
      </c>
      <c r="D118" s="3" t="s">
        <v>488</v>
      </c>
      <c r="E118" s="101"/>
      <c r="F118" s="3" t="s">
        <v>560</v>
      </c>
      <c r="G118" s="4" t="s">
        <v>562</v>
      </c>
      <c r="H118" s="3" t="s">
        <v>153</v>
      </c>
      <c r="I118" s="4">
        <v>3033405</v>
      </c>
      <c r="K118" s="71"/>
    </row>
    <row r="119" spans="2:11" x14ac:dyDescent="0.3">
      <c r="B119" s="44">
        <v>46046</v>
      </c>
      <c r="C119" s="3" t="s">
        <v>416</v>
      </c>
      <c r="D119" s="3" t="s">
        <v>488</v>
      </c>
      <c r="E119" s="101"/>
      <c r="F119" s="3" t="s">
        <v>120</v>
      </c>
      <c r="G119" s="4">
        <v>3355506</v>
      </c>
      <c r="H119" s="4" t="s">
        <v>561</v>
      </c>
      <c r="I119" s="4" t="s">
        <v>563</v>
      </c>
    </row>
    <row r="120" spans="2:11" x14ac:dyDescent="0.3">
      <c r="B120" s="44">
        <v>46046</v>
      </c>
      <c r="C120" s="3" t="s">
        <v>416</v>
      </c>
      <c r="D120" s="3" t="s">
        <v>488</v>
      </c>
      <c r="E120" s="101"/>
      <c r="F120" s="3" t="s">
        <v>117</v>
      </c>
      <c r="G120" s="4">
        <v>3359002</v>
      </c>
      <c r="H120" s="4" t="s">
        <v>122</v>
      </c>
      <c r="I120" s="4">
        <v>3353800</v>
      </c>
    </row>
    <row r="121" spans="2:11" x14ac:dyDescent="0.3">
      <c r="B121" s="44">
        <v>46046</v>
      </c>
      <c r="C121" s="3" t="s">
        <v>416</v>
      </c>
      <c r="D121" s="3" t="s">
        <v>488</v>
      </c>
      <c r="E121" s="101"/>
      <c r="F121" s="3" t="s">
        <v>123</v>
      </c>
      <c r="G121" s="4">
        <v>3351104</v>
      </c>
      <c r="H121" s="4" t="s">
        <v>147</v>
      </c>
      <c r="I121" s="4">
        <v>3067409</v>
      </c>
    </row>
    <row r="122" spans="2:11" x14ac:dyDescent="0.3">
      <c r="B122" s="44">
        <v>46046</v>
      </c>
      <c r="C122" s="3" t="s">
        <v>416</v>
      </c>
      <c r="D122" s="3" t="s">
        <v>488</v>
      </c>
      <c r="E122" s="101"/>
      <c r="F122" s="3" t="s">
        <v>119</v>
      </c>
      <c r="G122" s="4">
        <v>3067909</v>
      </c>
      <c r="H122" s="4" t="s">
        <v>151</v>
      </c>
      <c r="I122" s="4">
        <v>3351208</v>
      </c>
    </row>
    <row r="123" spans="2:11" x14ac:dyDescent="0.3">
      <c r="B123" s="4"/>
      <c r="E123" s="101"/>
      <c r="F123" s="4"/>
      <c r="G123" s="3"/>
      <c r="I123" s="3"/>
    </row>
    <row r="124" spans="2:11" x14ac:dyDescent="0.3">
      <c r="B124" s="44">
        <v>46053</v>
      </c>
      <c r="C124" s="3" t="s">
        <v>416</v>
      </c>
      <c r="D124" s="3" t="s">
        <v>488</v>
      </c>
      <c r="E124" s="101"/>
      <c r="F124" s="3" t="s">
        <v>153</v>
      </c>
      <c r="G124" s="4">
        <v>3033405</v>
      </c>
      <c r="H124" s="4" t="s">
        <v>121</v>
      </c>
      <c r="I124" s="4">
        <v>3354309</v>
      </c>
    </row>
    <row r="125" spans="2:11" x14ac:dyDescent="0.3">
      <c r="B125" s="44">
        <v>46053</v>
      </c>
      <c r="C125" s="3" t="s">
        <v>416</v>
      </c>
      <c r="D125" s="3" t="s">
        <v>488</v>
      </c>
      <c r="E125" s="101"/>
      <c r="F125" s="3" t="s">
        <v>560</v>
      </c>
      <c r="G125" s="4" t="s">
        <v>562</v>
      </c>
      <c r="H125" s="3" t="s">
        <v>120</v>
      </c>
      <c r="I125" s="4">
        <v>3355506</v>
      </c>
    </row>
    <row r="126" spans="2:11" x14ac:dyDescent="0.3">
      <c r="B126" s="44">
        <v>46053</v>
      </c>
      <c r="C126" s="3" t="s">
        <v>416</v>
      </c>
      <c r="D126" s="3" t="s">
        <v>488</v>
      </c>
      <c r="E126" s="101"/>
      <c r="F126" s="4" t="s">
        <v>122</v>
      </c>
      <c r="G126" s="4">
        <v>3353800</v>
      </c>
      <c r="H126" s="3" t="s">
        <v>118</v>
      </c>
      <c r="I126" s="4">
        <v>3356005</v>
      </c>
    </row>
    <row r="127" spans="2:11" x14ac:dyDescent="0.3">
      <c r="B127" s="44">
        <v>46053</v>
      </c>
      <c r="C127" s="3" t="s">
        <v>416</v>
      </c>
      <c r="D127" s="3" t="s">
        <v>488</v>
      </c>
      <c r="E127" s="101"/>
      <c r="F127" s="4" t="s">
        <v>151</v>
      </c>
      <c r="G127" s="4">
        <v>3351208</v>
      </c>
      <c r="H127" s="3" t="s">
        <v>117</v>
      </c>
      <c r="I127" s="4">
        <v>3359002</v>
      </c>
    </row>
    <row r="128" spans="2:11" x14ac:dyDescent="0.3">
      <c r="B128" s="44">
        <v>46053</v>
      </c>
      <c r="C128" s="3" t="s">
        <v>416</v>
      </c>
      <c r="D128" s="3" t="s">
        <v>488</v>
      </c>
      <c r="E128" s="101"/>
      <c r="F128" s="4" t="s">
        <v>147</v>
      </c>
      <c r="G128" s="4">
        <v>3067409</v>
      </c>
      <c r="H128" s="3" t="s">
        <v>119</v>
      </c>
      <c r="I128" s="4">
        <v>3067909</v>
      </c>
    </row>
    <row r="129" spans="2:9" x14ac:dyDescent="0.3">
      <c r="B129" s="44">
        <v>46053</v>
      </c>
      <c r="C129" s="3" t="s">
        <v>416</v>
      </c>
      <c r="D129" s="3" t="s">
        <v>488</v>
      </c>
      <c r="E129" s="101"/>
      <c r="F129" s="4" t="s">
        <v>561</v>
      </c>
      <c r="G129" s="4" t="s">
        <v>563</v>
      </c>
      <c r="H129" s="3" t="s">
        <v>123</v>
      </c>
      <c r="I129" s="4">
        <v>3351104</v>
      </c>
    </row>
    <row r="130" spans="2:9" x14ac:dyDescent="0.3">
      <c r="B130" s="4"/>
      <c r="E130" s="101"/>
      <c r="F130" s="4"/>
      <c r="G130" s="3"/>
      <c r="I130" s="3"/>
    </row>
    <row r="131" spans="2:9" x14ac:dyDescent="0.3">
      <c r="B131" s="44">
        <v>46060</v>
      </c>
      <c r="C131" s="3" t="s">
        <v>416</v>
      </c>
      <c r="D131" s="3" t="s">
        <v>488</v>
      </c>
      <c r="E131" s="101"/>
      <c r="F131" s="4" t="s">
        <v>118</v>
      </c>
      <c r="G131" s="4">
        <v>3356005</v>
      </c>
      <c r="H131" s="4" t="s">
        <v>151</v>
      </c>
      <c r="I131" s="4">
        <v>3351208</v>
      </c>
    </row>
    <row r="132" spans="2:9" x14ac:dyDescent="0.3">
      <c r="B132" s="44">
        <v>46060</v>
      </c>
      <c r="C132" s="3" t="s">
        <v>416</v>
      </c>
      <c r="D132" s="3" t="s">
        <v>488</v>
      </c>
      <c r="E132" s="101"/>
      <c r="F132" s="4" t="s">
        <v>121</v>
      </c>
      <c r="G132" s="4">
        <v>3354309</v>
      </c>
      <c r="H132" s="4" t="s">
        <v>122</v>
      </c>
      <c r="I132" s="4">
        <v>3353800</v>
      </c>
    </row>
    <row r="133" spans="2:9" x14ac:dyDescent="0.3">
      <c r="B133" s="44">
        <v>46060</v>
      </c>
      <c r="C133" s="3" t="s">
        <v>416</v>
      </c>
      <c r="D133" s="3" t="s">
        <v>488</v>
      </c>
      <c r="E133" s="101"/>
      <c r="F133" s="3" t="s">
        <v>120</v>
      </c>
      <c r="G133" s="4">
        <v>3355506</v>
      </c>
      <c r="H133" s="3" t="s">
        <v>153</v>
      </c>
      <c r="I133" s="4">
        <v>3033405</v>
      </c>
    </row>
    <row r="134" spans="2:9" x14ac:dyDescent="0.3">
      <c r="B134" s="44">
        <v>46060</v>
      </c>
      <c r="C134" s="3" t="s">
        <v>416</v>
      </c>
      <c r="D134" s="3" t="s">
        <v>488</v>
      </c>
      <c r="E134" s="101"/>
      <c r="F134" s="3" t="s">
        <v>117</v>
      </c>
      <c r="G134" s="4">
        <v>3359002</v>
      </c>
      <c r="H134" s="4" t="s">
        <v>147</v>
      </c>
      <c r="I134" s="4">
        <v>3067409</v>
      </c>
    </row>
    <row r="135" spans="2:9" x14ac:dyDescent="0.3">
      <c r="B135" s="44">
        <v>46060</v>
      </c>
      <c r="C135" s="3" t="s">
        <v>416</v>
      </c>
      <c r="D135" s="3" t="s">
        <v>488</v>
      </c>
      <c r="E135" s="101"/>
      <c r="F135" s="3" t="s">
        <v>123</v>
      </c>
      <c r="G135" s="4">
        <v>3351104</v>
      </c>
      <c r="H135" s="3" t="s">
        <v>560</v>
      </c>
      <c r="I135" s="4" t="s">
        <v>562</v>
      </c>
    </row>
    <row r="136" spans="2:9" x14ac:dyDescent="0.3">
      <c r="B136" s="44">
        <v>46060</v>
      </c>
      <c r="C136" s="3" t="s">
        <v>416</v>
      </c>
      <c r="D136" s="3" t="s">
        <v>488</v>
      </c>
      <c r="E136" s="101"/>
      <c r="F136" s="3" t="s">
        <v>119</v>
      </c>
      <c r="G136" s="4">
        <v>3067909</v>
      </c>
      <c r="H136" s="4" t="s">
        <v>561</v>
      </c>
      <c r="I136" s="4" t="s">
        <v>563</v>
      </c>
    </row>
    <row r="137" spans="2:9" x14ac:dyDescent="0.3">
      <c r="B137" s="4"/>
      <c r="E137" s="101"/>
      <c r="F137" s="4"/>
      <c r="G137" s="3"/>
      <c r="I137" s="3"/>
    </row>
    <row r="138" spans="2:9" x14ac:dyDescent="0.3">
      <c r="B138" s="44">
        <v>46074</v>
      </c>
      <c r="C138" s="3" t="s">
        <v>416</v>
      </c>
      <c r="D138" s="3" t="s">
        <v>488</v>
      </c>
      <c r="E138" s="101"/>
      <c r="F138" s="3" t="s">
        <v>153</v>
      </c>
      <c r="G138" s="4">
        <v>3033405</v>
      </c>
      <c r="H138" s="4" t="s">
        <v>122</v>
      </c>
      <c r="I138" s="4">
        <v>3353800</v>
      </c>
    </row>
    <row r="139" spans="2:9" x14ac:dyDescent="0.3">
      <c r="B139" s="44">
        <v>46074</v>
      </c>
      <c r="C139" s="3" t="s">
        <v>416</v>
      </c>
      <c r="D139" s="3" t="s">
        <v>488</v>
      </c>
      <c r="E139" s="101"/>
      <c r="F139" s="3" t="s">
        <v>560</v>
      </c>
      <c r="G139" s="4" t="s">
        <v>562</v>
      </c>
      <c r="H139" s="3" t="s">
        <v>119</v>
      </c>
      <c r="I139" s="4">
        <v>3067909</v>
      </c>
    </row>
    <row r="140" spans="2:9" x14ac:dyDescent="0.3">
      <c r="B140" s="44">
        <v>46074</v>
      </c>
      <c r="C140" s="3" t="s">
        <v>416</v>
      </c>
      <c r="D140" s="3" t="s">
        <v>488</v>
      </c>
      <c r="E140" s="101"/>
      <c r="F140" s="3" t="s">
        <v>120</v>
      </c>
      <c r="G140" s="4">
        <v>3355506</v>
      </c>
      <c r="H140" s="3" t="s">
        <v>123</v>
      </c>
      <c r="I140" s="4">
        <v>3351104</v>
      </c>
    </row>
    <row r="141" spans="2:9" x14ac:dyDescent="0.3">
      <c r="B141" s="44">
        <v>46074</v>
      </c>
      <c r="C141" s="3" t="s">
        <v>416</v>
      </c>
      <c r="D141" s="3" t="s">
        <v>488</v>
      </c>
      <c r="E141" s="101"/>
      <c r="F141" s="4" t="s">
        <v>151</v>
      </c>
      <c r="G141" s="4">
        <v>3351208</v>
      </c>
      <c r="H141" s="4" t="s">
        <v>121</v>
      </c>
      <c r="I141" s="4">
        <v>3354309</v>
      </c>
    </row>
    <row r="142" spans="2:9" x14ac:dyDescent="0.3">
      <c r="B142" s="44">
        <v>46074</v>
      </c>
      <c r="C142" s="3" t="s">
        <v>416</v>
      </c>
      <c r="D142" s="3" t="s">
        <v>488</v>
      </c>
      <c r="E142" s="101"/>
      <c r="F142" s="4" t="s">
        <v>147</v>
      </c>
      <c r="G142" s="4">
        <v>3067409</v>
      </c>
      <c r="H142" s="3" t="s">
        <v>118</v>
      </c>
      <c r="I142" s="4">
        <v>3356005</v>
      </c>
    </row>
    <row r="143" spans="2:9" x14ac:dyDescent="0.3">
      <c r="B143" s="44">
        <v>46074</v>
      </c>
      <c r="C143" s="3" t="s">
        <v>416</v>
      </c>
      <c r="D143" s="3" t="s">
        <v>488</v>
      </c>
      <c r="E143" s="101"/>
      <c r="F143" s="4" t="s">
        <v>561</v>
      </c>
      <c r="G143" s="4" t="s">
        <v>563</v>
      </c>
      <c r="H143" s="3" t="s">
        <v>117</v>
      </c>
      <c r="I143" s="4">
        <v>3359002</v>
      </c>
    </row>
    <row r="144" spans="2:9" x14ac:dyDescent="0.3">
      <c r="B144" s="4"/>
      <c r="E144" s="101"/>
      <c r="F144" s="4"/>
      <c r="G144" s="3"/>
      <c r="I144" s="3"/>
    </row>
    <row r="145" spans="2:9" x14ac:dyDescent="0.3">
      <c r="B145" s="44">
        <v>46081</v>
      </c>
      <c r="C145" s="3" t="s">
        <v>416</v>
      </c>
      <c r="D145" s="3" t="s">
        <v>488</v>
      </c>
      <c r="E145" s="101"/>
      <c r="F145" s="4" t="s">
        <v>118</v>
      </c>
      <c r="G145" s="4">
        <v>3356005</v>
      </c>
      <c r="H145" s="4" t="s">
        <v>561</v>
      </c>
      <c r="I145" s="4" t="s">
        <v>563</v>
      </c>
    </row>
    <row r="146" spans="2:9" x14ac:dyDescent="0.3">
      <c r="B146" s="44">
        <v>46081</v>
      </c>
      <c r="C146" s="3" t="s">
        <v>416</v>
      </c>
      <c r="D146" s="3" t="s">
        <v>488</v>
      </c>
      <c r="E146" s="101"/>
      <c r="F146" s="4" t="s">
        <v>121</v>
      </c>
      <c r="G146" s="4">
        <v>3354309</v>
      </c>
      <c r="H146" s="4" t="s">
        <v>147</v>
      </c>
      <c r="I146" s="4">
        <v>3067409</v>
      </c>
    </row>
    <row r="147" spans="2:9" x14ac:dyDescent="0.3">
      <c r="B147" s="44">
        <v>46081</v>
      </c>
      <c r="C147" s="3" t="s">
        <v>416</v>
      </c>
      <c r="D147" s="3" t="s">
        <v>488</v>
      </c>
      <c r="E147" s="101"/>
      <c r="F147" s="4" t="s">
        <v>122</v>
      </c>
      <c r="G147" s="4">
        <v>3353800</v>
      </c>
      <c r="H147" s="4" t="s">
        <v>151</v>
      </c>
      <c r="I147" s="4">
        <v>3351208</v>
      </c>
    </row>
    <row r="148" spans="2:9" x14ac:dyDescent="0.3">
      <c r="B148" s="44">
        <v>46081</v>
      </c>
      <c r="C148" s="3" t="s">
        <v>416</v>
      </c>
      <c r="D148" s="3" t="s">
        <v>488</v>
      </c>
      <c r="E148" s="101"/>
      <c r="F148" s="3" t="s">
        <v>117</v>
      </c>
      <c r="G148" s="4">
        <v>3359002</v>
      </c>
      <c r="H148" s="3" t="s">
        <v>560</v>
      </c>
      <c r="I148" s="4" t="s">
        <v>562</v>
      </c>
    </row>
    <row r="149" spans="2:9" x14ac:dyDescent="0.3">
      <c r="B149" s="44">
        <v>46081</v>
      </c>
      <c r="C149" s="3" t="s">
        <v>416</v>
      </c>
      <c r="D149" s="3" t="s">
        <v>488</v>
      </c>
      <c r="E149" s="101"/>
      <c r="F149" s="3" t="s">
        <v>123</v>
      </c>
      <c r="G149" s="4">
        <v>3351104</v>
      </c>
      <c r="H149" s="3" t="s">
        <v>153</v>
      </c>
      <c r="I149" s="4">
        <v>3033405</v>
      </c>
    </row>
    <row r="150" spans="2:9" x14ac:dyDescent="0.3">
      <c r="B150" s="44">
        <v>46081</v>
      </c>
      <c r="C150" s="3" t="s">
        <v>416</v>
      </c>
      <c r="D150" s="3" t="s">
        <v>488</v>
      </c>
      <c r="E150" s="101"/>
      <c r="F150" s="3" t="s">
        <v>119</v>
      </c>
      <c r="G150" s="4">
        <v>3067909</v>
      </c>
      <c r="H150" s="3" t="s">
        <v>120</v>
      </c>
      <c r="I150" s="4">
        <v>3355506</v>
      </c>
    </row>
    <row r="151" spans="2:9" x14ac:dyDescent="0.3">
      <c r="B151" s="4"/>
      <c r="E151" s="101"/>
      <c r="F151" s="4"/>
      <c r="G151" s="3"/>
      <c r="I151" s="3"/>
    </row>
    <row r="152" spans="2:9" x14ac:dyDescent="0.3">
      <c r="B152" s="44">
        <v>46088</v>
      </c>
      <c r="C152" s="3" t="s">
        <v>416</v>
      </c>
      <c r="D152" s="3" t="s">
        <v>488</v>
      </c>
      <c r="E152" s="101"/>
      <c r="F152" s="3" t="s">
        <v>153</v>
      </c>
      <c r="G152" s="4">
        <v>3033405</v>
      </c>
      <c r="H152" s="4" t="s">
        <v>151</v>
      </c>
      <c r="I152" s="4">
        <v>3351208</v>
      </c>
    </row>
    <row r="153" spans="2:9" x14ac:dyDescent="0.3">
      <c r="B153" s="44">
        <v>46088</v>
      </c>
      <c r="C153" s="3" t="s">
        <v>416</v>
      </c>
      <c r="D153" s="3" t="s">
        <v>488</v>
      </c>
      <c r="E153" s="101"/>
      <c r="F153" s="3" t="s">
        <v>560</v>
      </c>
      <c r="G153" s="4" t="s">
        <v>562</v>
      </c>
      <c r="H153" s="3" t="s">
        <v>118</v>
      </c>
      <c r="I153" s="4">
        <v>3356005</v>
      </c>
    </row>
    <row r="154" spans="2:9" x14ac:dyDescent="0.3">
      <c r="B154" s="44">
        <v>46088</v>
      </c>
      <c r="C154" s="3" t="s">
        <v>416</v>
      </c>
      <c r="D154" s="3" t="s">
        <v>488</v>
      </c>
      <c r="E154" s="101"/>
      <c r="F154" s="3" t="s">
        <v>120</v>
      </c>
      <c r="G154" s="4">
        <v>3355506</v>
      </c>
      <c r="H154" s="3" t="s">
        <v>117</v>
      </c>
      <c r="I154" s="4">
        <v>3359002</v>
      </c>
    </row>
    <row r="155" spans="2:9" x14ac:dyDescent="0.3">
      <c r="B155" s="44">
        <v>46088</v>
      </c>
      <c r="C155" s="3" t="s">
        <v>416</v>
      </c>
      <c r="D155" s="3" t="s">
        <v>488</v>
      </c>
      <c r="E155" s="101"/>
      <c r="F155" s="4" t="s">
        <v>147</v>
      </c>
      <c r="G155" s="4">
        <v>3067409</v>
      </c>
      <c r="H155" s="4" t="s">
        <v>122</v>
      </c>
      <c r="I155" s="4">
        <v>3353800</v>
      </c>
    </row>
    <row r="156" spans="2:9" x14ac:dyDescent="0.3">
      <c r="B156" s="44">
        <v>46088</v>
      </c>
      <c r="C156" s="3" t="s">
        <v>416</v>
      </c>
      <c r="D156" s="3" t="s">
        <v>488</v>
      </c>
      <c r="E156" s="101"/>
      <c r="F156" s="4" t="s">
        <v>561</v>
      </c>
      <c r="G156" s="4" t="s">
        <v>563</v>
      </c>
      <c r="H156" s="4" t="s">
        <v>121</v>
      </c>
      <c r="I156" s="4">
        <v>3354309</v>
      </c>
    </row>
    <row r="157" spans="2:9" x14ac:dyDescent="0.3">
      <c r="B157" s="44">
        <v>46088</v>
      </c>
      <c r="C157" s="3" t="s">
        <v>416</v>
      </c>
      <c r="D157" s="3" t="s">
        <v>488</v>
      </c>
      <c r="E157" s="101"/>
      <c r="F157" s="3" t="s">
        <v>123</v>
      </c>
      <c r="G157" s="4">
        <v>3351104</v>
      </c>
      <c r="H157" s="3" t="s">
        <v>119</v>
      </c>
      <c r="I157" s="4">
        <v>3067909</v>
      </c>
    </row>
    <row r="158" spans="2:9" x14ac:dyDescent="0.3">
      <c r="B158" s="4"/>
      <c r="E158" s="101"/>
      <c r="F158" s="4"/>
      <c r="G158" s="3"/>
      <c r="I158" s="3"/>
    </row>
    <row r="159" spans="2:9" x14ac:dyDescent="0.3">
      <c r="B159" s="44">
        <v>46095</v>
      </c>
      <c r="C159" s="3" t="s">
        <v>416</v>
      </c>
      <c r="D159" s="3" t="s">
        <v>488</v>
      </c>
      <c r="E159" s="101"/>
      <c r="F159" s="4" t="s">
        <v>118</v>
      </c>
      <c r="G159" s="4">
        <v>3356005</v>
      </c>
      <c r="H159" s="3" t="s">
        <v>120</v>
      </c>
      <c r="I159" s="4">
        <v>3355506</v>
      </c>
    </row>
    <row r="160" spans="2:9" x14ac:dyDescent="0.3">
      <c r="B160" s="44">
        <v>46095</v>
      </c>
      <c r="C160" s="3" t="s">
        <v>416</v>
      </c>
      <c r="D160" s="3" t="s">
        <v>488</v>
      </c>
      <c r="E160" s="101"/>
      <c r="F160" s="4" t="s">
        <v>121</v>
      </c>
      <c r="G160" s="4">
        <v>3354309</v>
      </c>
      <c r="H160" s="3" t="s">
        <v>560</v>
      </c>
      <c r="I160" s="4" t="s">
        <v>562</v>
      </c>
    </row>
    <row r="161" spans="2:9" x14ac:dyDescent="0.3">
      <c r="B161" s="44">
        <v>46095</v>
      </c>
      <c r="C161" s="3" t="s">
        <v>416</v>
      </c>
      <c r="D161" s="3" t="s">
        <v>488</v>
      </c>
      <c r="E161" s="101"/>
      <c r="F161" s="4" t="s">
        <v>122</v>
      </c>
      <c r="G161" s="4">
        <v>3353800</v>
      </c>
      <c r="H161" s="4" t="s">
        <v>561</v>
      </c>
      <c r="I161" s="4" t="s">
        <v>563</v>
      </c>
    </row>
    <row r="162" spans="2:9" x14ac:dyDescent="0.3">
      <c r="B162" s="44">
        <v>46095</v>
      </c>
      <c r="C162" s="3" t="s">
        <v>416</v>
      </c>
      <c r="D162" s="3" t="s">
        <v>488</v>
      </c>
      <c r="E162" s="101"/>
      <c r="F162" s="4" t="s">
        <v>151</v>
      </c>
      <c r="G162" s="4">
        <v>3351208</v>
      </c>
      <c r="H162" s="4" t="s">
        <v>147</v>
      </c>
      <c r="I162" s="4">
        <v>3067409</v>
      </c>
    </row>
    <row r="163" spans="2:9" x14ac:dyDescent="0.3">
      <c r="B163" s="44">
        <v>46095</v>
      </c>
      <c r="C163" s="3" t="s">
        <v>416</v>
      </c>
      <c r="D163" s="3" t="s">
        <v>488</v>
      </c>
      <c r="E163" s="101"/>
      <c r="F163" s="3" t="s">
        <v>117</v>
      </c>
      <c r="G163" s="4">
        <v>3359002</v>
      </c>
      <c r="H163" s="3" t="s">
        <v>123</v>
      </c>
      <c r="I163" s="4">
        <v>3351104</v>
      </c>
    </row>
    <row r="164" spans="2:9" x14ac:dyDescent="0.3">
      <c r="B164" s="44">
        <v>46095</v>
      </c>
      <c r="C164" s="3" t="s">
        <v>416</v>
      </c>
      <c r="D164" s="3" t="s">
        <v>488</v>
      </c>
      <c r="E164" s="101"/>
      <c r="F164" s="3" t="s">
        <v>119</v>
      </c>
      <c r="G164" s="4">
        <v>3067909</v>
      </c>
      <c r="H164" s="3" t="s">
        <v>153</v>
      </c>
      <c r="I164" s="4">
        <v>3033405</v>
      </c>
    </row>
    <row r="165" spans="2:9" x14ac:dyDescent="0.3">
      <c r="B165" s="4"/>
      <c r="E165" s="101"/>
      <c r="F165" s="4"/>
      <c r="G165" s="3"/>
      <c r="I165" s="3"/>
    </row>
    <row r="166" spans="2:9" x14ac:dyDescent="0.3">
      <c r="B166" s="44">
        <v>46102</v>
      </c>
      <c r="C166" s="3" t="s">
        <v>416</v>
      </c>
      <c r="D166" s="3" t="s">
        <v>488</v>
      </c>
      <c r="E166" s="101"/>
      <c r="F166" s="3" t="s">
        <v>153</v>
      </c>
      <c r="G166" s="4">
        <v>3033405</v>
      </c>
      <c r="H166" s="4" t="s">
        <v>147</v>
      </c>
      <c r="I166" s="4">
        <v>3067409</v>
      </c>
    </row>
    <row r="167" spans="2:9" x14ac:dyDescent="0.3">
      <c r="B167" s="44">
        <v>46102</v>
      </c>
      <c r="C167" s="3" t="s">
        <v>416</v>
      </c>
      <c r="D167" s="3" t="s">
        <v>488</v>
      </c>
      <c r="E167" s="101"/>
      <c r="F167" s="3" t="s">
        <v>560</v>
      </c>
      <c r="G167" s="4" t="s">
        <v>562</v>
      </c>
      <c r="H167" s="4" t="s">
        <v>122</v>
      </c>
      <c r="I167" s="4">
        <v>3353800</v>
      </c>
    </row>
    <row r="168" spans="2:9" x14ac:dyDescent="0.3">
      <c r="B168" s="44">
        <v>46102</v>
      </c>
      <c r="C168" s="3" t="s">
        <v>416</v>
      </c>
      <c r="D168" s="3" t="s">
        <v>488</v>
      </c>
      <c r="E168" s="101"/>
      <c r="F168" s="3" t="s">
        <v>120</v>
      </c>
      <c r="G168" s="4">
        <v>3355506</v>
      </c>
      <c r="H168" s="4" t="s">
        <v>121</v>
      </c>
      <c r="I168" s="4">
        <v>3354309</v>
      </c>
    </row>
    <row r="169" spans="2:9" x14ac:dyDescent="0.3">
      <c r="B169" s="44">
        <v>46102</v>
      </c>
      <c r="C169" s="3" t="s">
        <v>416</v>
      </c>
      <c r="D169" s="3" t="s">
        <v>488</v>
      </c>
      <c r="E169" s="101"/>
      <c r="F169" s="4" t="s">
        <v>561</v>
      </c>
      <c r="G169" s="4" t="s">
        <v>563</v>
      </c>
      <c r="H169" s="4" t="s">
        <v>151</v>
      </c>
      <c r="I169" s="4">
        <v>3351208</v>
      </c>
    </row>
    <row r="170" spans="2:9" x14ac:dyDescent="0.3">
      <c r="B170" s="44">
        <v>46102</v>
      </c>
      <c r="C170" s="3" t="s">
        <v>416</v>
      </c>
      <c r="D170" s="3" t="s">
        <v>488</v>
      </c>
      <c r="E170" s="101"/>
      <c r="F170" s="3" t="s">
        <v>123</v>
      </c>
      <c r="G170" s="4">
        <v>3351104</v>
      </c>
      <c r="H170" s="3" t="s">
        <v>118</v>
      </c>
      <c r="I170" s="4">
        <v>3356005</v>
      </c>
    </row>
    <row r="171" spans="2:9" x14ac:dyDescent="0.3">
      <c r="B171" s="44">
        <v>46102</v>
      </c>
      <c r="C171" s="3" t="s">
        <v>416</v>
      </c>
      <c r="D171" s="3" t="s">
        <v>488</v>
      </c>
      <c r="E171" s="101"/>
      <c r="F171" s="3" t="s">
        <v>119</v>
      </c>
      <c r="G171" s="4">
        <v>3067909</v>
      </c>
      <c r="H171" s="3" t="s">
        <v>117</v>
      </c>
      <c r="I171" s="4">
        <v>3359002</v>
      </c>
    </row>
    <row r="172" spans="2:9" x14ac:dyDescent="0.3">
      <c r="B172" s="4"/>
      <c r="E172" s="101"/>
      <c r="F172" s="4"/>
      <c r="G172" s="3"/>
      <c r="I172" s="3"/>
    </row>
    <row r="173" spans="2:9" x14ac:dyDescent="0.3">
      <c r="B173" s="44">
        <v>46109</v>
      </c>
      <c r="C173" s="3" t="s">
        <v>416</v>
      </c>
      <c r="D173" s="3" t="s">
        <v>488</v>
      </c>
      <c r="E173" s="101"/>
      <c r="F173" s="4" t="s">
        <v>118</v>
      </c>
      <c r="G173" s="4">
        <v>3356005</v>
      </c>
      <c r="H173" s="3" t="s">
        <v>119</v>
      </c>
      <c r="I173" s="4">
        <v>3067909</v>
      </c>
    </row>
    <row r="174" spans="2:9" x14ac:dyDescent="0.3">
      <c r="B174" s="44">
        <v>46109</v>
      </c>
      <c r="C174" s="3" t="s">
        <v>416</v>
      </c>
      <c r="D174" s="3" t="s">
        <v>488</v>
      </c>
      <c r="E174" s="101"/>
      <c r="F174" s="4" t="s">
        <v>121</v>
      </c>
      <c r="G174" s="4">
        <v>3354309</v>
      </c>
      <c r="H174" s="3" t="s">
        <v>123</v>
      </c>
      <c r="I174" s="4">
        <v>3351104</v>
      </c>
    </row>
    <row r="175" spans="2:9" x14ac:dyDescent="0.3">
      <c r="B175" s="44">
        <v>46109</v>
      </c>
      <c r="C175" s="3" t="s">
        <v>416</v>
      </c>
      <c r="D175" s="3" t="s">
        <v>488</v>
      </c>
      <c r="E175" s="101"/>
      <c r="F175" s="4" t="s">
        <v>122</v>
      </c>
      <c r="G175" s="4">
        <v>3353800</v>
      </c>
      <c r="H175" s="3" t="s">
        <v>120</v>
      </c>
      <c r="I175" s="4">
        <v>3355506</v>
      </c>
    </row>
    <row r="176" spans="2:9" x14ac:dyDescent="0.3">
      <c r="B176" s="44">
        <v>46109</v>
      </c>
      <c r="C176" s="3" t="s">
        <v>416</v>
      </c>
      <c r="D176" s="3" t="s">
        <v>488</v>
      </c>
      <c r="E176" s="101"/>
      <c r="F176" s="4" t="s">
        <v>151</v>
      </c>
      <c r="G176" s="4">
        <v>3351208</v>
      </c>
      <c r="H176" s="3" t="s">
        <v>560</v>
      </c>
      <c r="I176" s="4" t="s">
        <v>562</v>
      </c>
    </row>
    <row r="177" spans="2:9" x14ac:dyDescent="0.3">
      <c r="B177" s="44">
        <v>46109</v>
      </c>
      <c r="C177" s="3" t="s">
        <v>416</v>
      </c>
      <c r="D177" s="3" t="s">
        <v>488</v>
      </c>
      <c r="E177" s="101"/>
      <c r="F177" s="4" t="s">
        <v>147</v>
      </c>
      <c r="G177" s="4">
        <v>3067409</v>
      </c>
      <c r="H177" s="4" t="s">
        <v>561</v>
      </c>
      <c r="I177" s="4" t="s">
        <v>563</v>
      </c>
    </row>
    <row r="178" spans="2:9" x14ac:dyDescent="0.3">
      <c r="B178" s="44">
        <v>46109</v>
      </c>
      <c r="C178" s="3" t="s">
        <v>416</v>
      </c>
      <c r="D178" s="3" t="s">
        <v>488</v>
      </c>
      <c r="E178" s="101"/>
      <c r="F178" s="3" t="s">
        <v>117</v>
      </c>
      <c r="G178" s="4">
        <v>3359002</v>
      </c>
      <c r="H178" s="3" t="s">
        <v>153</v>
      </c>
      <c r="I178" s="4">
        <v>3033405</v>
      </c>
    </row>
  </sheetData>
  <mergeCells count="1">
    <mergeCell ref="K5:K6"/>
  </mergeCells>
  <conditionalFormatting sqref="F9:I9">
    <cfRule type="containsText" dxfId="5890" priority="12" operator="containsText" text="c'[Fixtures All.xlsx]Women Filtered'!$F$2">
      <formula>NOT(ISERROR(SEARCH("c'[Fixtures All.xlsx]Women Filtered'!$F$2",F9)))</formula>
    </cfRule>
  </conditionalFormatting>
  <conditionalFormatting sqref="F9:I21">
    <cfRule type="containsText" dxfId="5889" priority="6" operator="containsText" text="Code">
      <formula>NOT(ISERROR(SEARCH("Code",F9)))</formula>
    </cfRule>
  </conditionalFormatting>
  <conditionalFormatting sqref="F26:I178">
    <cfRule type="containsText" dxfId="5888" priority="13" operator="containsText" text="Code">
      <formula>NOT(ISERROR(SEARCH("Code",F26)))</formula>
    </cfRule>
    <cfRule type="containsText" dxfId="5887" priority="14" operator="containsText" text="c'[Fixtures All.xlsx]Women Filtered'!$F$2">
      <formula>NOT(ISERROR(SEARCH("c'[Fixtures All.xlsx]Women Filtered'!$F$2",F26)))</formula>
    </cfRule>
  </conditionalFormatting>
  <conditionalFormatting sqref="F10:J21">
    <cfRule type="containsText" dxfId="5886" priority="1" operator="containsText" text="c'[Fixtures All.xlsx]Women Filtered'!$F$2">
      <formula>NOT(ISERROR(SEARCH("c'[Fixtures All.xlsx]Women Filtered'!$F$2",F10)))</formula>
    </cfRule>
  </conditionalFormatting>
  <conditionalFormatting sqref="I10:L21">
    <cfRule type="cellIs" dxfId="5885" priority="4" operator="lessThan">
      <formula>5</formula>
    </cfRule>
    <cfRule type="cellIs" dxfId="5884" priority="5" operator="greaterThan">
      <formula>6</formula>
    </cfRule>
  </conditionalFormatting>
  <conditionalFormatting sqref="K9:K21">
    <cfRule type="containsText" dxfId="5883" priority="3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882" priority="2" operator="containsText" text="Code">
      <formula>NOT(ISERROR(SEARCH("Code",K10)))</formula>
    </cfRule>
  </conditionalFormatting>
  <conditionalFormatting sqref="L10:L21">
    <cfRule type="containsText" dxfId="5881" priority="7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68001858-B6AA-4411-9395-DAA8C19186FC}"/>
    <hyperlink ref="K5:K6" location="'All Fixtures'!A1" display="See all NW Fixtures" xr:uid="{7367B5AE-C2C7-4017-ACA3-AACA2858CB30}"/>
  </hyperlinks>
  <pageMargins left="0.7" right="0.7" top="0.75" bottom="0.75" header="0.3" footer="0.3"/>
  <ignoredErrors>
    <ignoredError sqref="J10:J21 K10:K21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CC91-AAA9-4D58-9958-6E22B7EBF95F}">
  <dimension ref="A2:AQ178"/>
  <sheetViews>
    <sheetView zoomScaleNormal="100" workbookViewId="0"/>
  </sheetViews>
  <sheetFormatPr defaultRowHeight="14.4" x14ac:dyDescent="0.3"/>
  <cols>
    <col min="1" max="1" width="5.21875" style="47" customWidth="1"/>
    <col min="2" max="2" width="32.33203125" style="3" customWidth="1"/>
    <col min="3" max="3" width="27.109375" style="3" customWidth="1"/>
    <col min="4" max="4" width="37.109375" style="3" customWidth="1"/>
    <col min="5" max="5" width="14.6640625" style="3" customWidth="1"/>
    <col min="6" max="6" width="33.5546875" style="3" customWidth="1"/>
    <col min="7" max="7" width="12" style="3" customWidth="1"/>
    <col min="8" max="8" width="26.33203125" style="3" customWidth="1"/>
    <col min="9" max="9" width="8.88671875" style="3"/>
    <col min="10" max="10" width="7.109375" style="3" customWidth="1"/>
    <col min="11" max="11" width="18.33203125" style="50" customWidth="1"/>
    <col min="12" max="12" width="3.77734375" style="3" customWidth="1"/>
    <col min="13" max="43" width="8.88671875" style="3"/>
  </cols>
  <sheetData>
    <row r="2" spans="1:12" ht="15" thickBot="1" x14ac:dyDescent="0.35"/>
    <row r="3" spans="1:12" ht="37.200000000000003" thickBot="1" x14ac:dyDescent="0.75">
      <c r="E3" s="16" t="s">
        <v>489</v>
      </c>
      <c r="F3" s="16"/>
      <c r="H3" s="16"/>
      <c r="K3" s="23" t="s">
        <v>86</v>
      </c>
    </row>
    <row r="4" spans="1:12" ht="15" customHeight="1" thickBot="1" x14ac:dyDescent="0.35"/>
    <row r="5" spans="1:12" ht="15" customHeight="1" x14ac:dyDescent="0.3">
      <c r="K5" s="185" t="s">
        <v>417</v>
      </c>
    </row>
    <row r="6" spans="1:12" ht="15" customHeight="1" thickBot="1" x14ac:dyDescent="0.35">
      <c r="K6" s="186"/>
    </row>
    <row r="7" spans="1:12" ht="15" customHeight="1" x14ac:dyDescent="0.3"/>
    <row r="8" spans="1:12" ht="15" customHeight="1" x14ac:dyDescent="0.7">
      <c r="B8" s="16"/>
      <c r="D8" s="59"/>
      <c r="E8" s="59"/>
      <c r="F8" s="59"/>
      <c r="G8" s="59"/>
      <c r="H8" s="59"/>
      <c r="I8" s="59"/>
      <c r="J8" s="59"/>
    </row>
    <row r="9" spans="1:12" ht="15" customHeight="1" x14ac:dyDescent="0.4">
      <c r="B9" s="21" t="s">
        <v>85</v>
      </c>
      <c r="D9" s="59"/>
      <c r="E9" s="59"/>
      <c r="F9" s="77" t="s">
        <v>436</v>
      </c>
      <c r="G9" s="77"/>
      <c r="H9" s="77" t="s">
        <v>437</v>
      </c>
      <c r="I9" s="77" t="s">
        <v>557</v>
      </c>
      <c r="K9" s="77" t="s">
        <v>558</v>
      </c>
    </row>
    <row r="10" spans="1:12" ht="15" customHeight="1" x14ac:dyDescent="0.3">
      <c r="A10" s="47">
        <f>COUNTIF(F$26:H$178,"Chester 3")</f>
        <v>22</v>
      </c>
      <c r="B10" s="3" t="s">
        <v>156</v>
      </c>
      <c r="C10" s="74">
        <v>3359200</v>
      </c>
      <c r="D10" s="57">
        <f>COUNTIF(F$26:I$178,"3359200")</f>
        <v>22</v>
      </c>
      <c r="E10" s="59"/>
      <c r="F10" s="57">
        <f>COUNTIF(F$26:F$178,"Chester 3")</f>
        <v>11</v>
      </c>
      <c r="G10" s="57"/>
      <c r="H10" s="57">
        <f>COUNTIF(H$26:H$178,"Chester 3")</f>
        <v>11</v>
      </c>
      <c r="I10" s="57">
        <f>COUNTIF(F$26:F$101,"Chester 3")</f>
        <v>5</v>
      </c>
      <c r="J10" s="57">
        <f>COUNTIF(F$102:F$178,"Chester 3")</f>
        <v>6</v>
      </c>
      <c r="K10" s="57">
        <f>COUNTIF(H$26:H$101,"Chester 3")</f>
        <v>6</v>
      </c>
      <c r="L10" s="57">
        <f>COUNTIF(H$102:H$178,"Chester 3")</f>
        <v>5</v>
      </c>
    </row>
    <row r="11" spans="1:12" ht="15" customHeight="1" x14ac:dyDescent="0.3">
      <c r="A11" s="47">
        <f>COUNTIF(F$26:H$178,"Crewe Vagrants 2")</f>
        <v>22</v>
      </c>
      <c r="B11" s="3" t="s">
        <v>139</v>
      </c>
      <c r="C11" s="53">
        <v>3358305</v>
      </c>
      <c r="D11" s="57">
        <f>COUNTIF(F$26:I$178,"3358305")</f>
        <v>22</v>
      </c>
      <c r="E11" s="59"/>
      <c r="F11" s="57">
        <f>COUNTIF(F$26:F$178,"Crewe Vagrants 2")</f>
        <v>11</v>
      </c>
      <c r="G11" s="57"/>
      <c r="H11" s="57">
        <f>COUNTIF(H$26:H$184,"Crewe Vagrants 2")</f>
        <v>11</v>
      </c>
      <c r="I11" s="57">
        <f>COUNTIF(F$26:F$101,"Crewe Vagrants 2")</f>
        <v>6</v>
      </c>
      <c r="J11" s="57">
        <f>COUNTIF(F$102:F$178,"Crewe Vagrants 2")</f>
        <v>5</v>
      </c>
      <c r="K11" s="57">
        <f>COUNTIF(H$26:H$101,"Crewe Vagrants 2")</f>
        <v>5</v>
      </c>
      <c r="L11" s="57">
        <f>COUNTIF(H$102:H$178,"Crewe Vagrants 2")</f>
        <v>6</v>
      </c>
    </row>
    <row r="12" spans="1:12" ht="15" customHeight="1" x14ac:dyDescent="0.3">
      <c r="A12" s="47">
        <f>COUNTIF(F$26:H$178,"Didsbury Northern 3")</f>
        <v>22</v>
      </c>
      <c r="B12" s="3" t="s">
        <v>128</v>
      </c>
      <c r="C12" s="74">
        <v>3357202</v>
      </c>
      <c r="D12" s="57">
        <f>COUNTIF(F$26:I$178,"3357202")</f>
        <v>22</v>
      </c>
      <c r="E12" s="59"/>
      <c r="F12" s="57">
        <f>COUNTIF(F$26:F$178,"Didsbury Northern 3")</f>
        <v>11</v>
      </c>
      <c r="G12" s="57"/>
      <c r="H12" s="57">
        <f>COUNTIF(H$26:H$184,"Didsbury Northern 3")</f>
        <v>11</v>
      </c>
      <c r="I12" s="57">
        <f>COUNTIF(F$26:F$101,"Didsbury Northern 3")</f>
        <v>5</v>
      </c>
      <c r="J12" s="57">
        <f>COUNTIF(F$102:F$178,"Didsbury Northern 3")</f>
        <v>6</v>
      </c>
      <c r="K12" s="57">
        <f>COUNTIF(H$26:H$101,"Didsbury Northern 3")</f>
        <v>6</v>
      </c>
      <c r="L12" s="57">
        <f>COUNTIF(H$102:H$178,"Didsbury Northern 3")</f>
        <v>5</v>
      </c>
    </row>
    <row r="13" spans="1:12" ht="15" customHeight="1" x14ac:dyDescent="0.3">
      <c r="A13" s="47">
        <f>COUNTIF(F$26:H$178,"Golborne &amp; Prescot 2")</f>
        <v>22</v>
      </c>
      <c r="B13" s="3" t="s">
        <v>564</v>
      </c>
      <c r="C13" s="74">
        <v>3969804</v>
      </c>
      <c r="D13" s="57">
        <f>COUNTIF(F$26:I$178,"3969804")</f>
        <v>22</v>
      </c>
      <c r="E13" s="59"/>
      <c r="F13" s="57">
        <f>COUNTIF(F$26:F$178,"Golborne &amp; Prescot 2")</f>
        <v>11</v>
      </c>
      <c r="G13" s="57"/>
      <c r="H13" s="57">
        <f>COUNTIF(H$26:H$184,"Golborne &amp; Prescot 2")</f>
        <v>11</v>
      </c>
      <c r="I13" s="57">
        <f>COUNTIF(F$26:F$101,"Golborne &amp; Prescot 2")</f>
        <v>6</v>
      </c>
      <c r="J13" s="57">
        <f>COUNTIF(F$102:F$178,"Golborne &amp; Prescot 2")</f>
        <v>5</v>
      </c>
      <c r="K13" s="57">
        <f>COUNTIF(H$26:H$101,"Golborne &amp; Prescot 2")</f>
        <v>5</v>
      </c>
      <c r="L13" s="57">
        <f>COUNTIF(H$102:H$178,"Golborne &amp; Prescot 2")</f>
        <v>6</v>
      </c>
    </row>
    <row r="14" spans="1:12" ht="15" customHeight="1" x14ac:dyDescent="0.3">
      <c r="A14" s="47">
        <f>COUNTIF(F$26:H$178,"Lymm 1")</f>
        <v>22</v>
      </c>
      <c r="B14" s="3" t="s">
        <v>129</v>
      </c>
      <c r="C14" s="74">
        <v>3067503</v>
      </c>
      <c r="D14" s="57">
        <f>COUNTIF(F$26:I$178,"3067503")</f>
        <v>22</v>
      </c>
      <c r="E14" s="59"/>
      <c r="F14" s="57">
        <f>COUNTIF(F$26:F$178,"Lymm 1")</f>
        <v>11</v>
      </c>
      <c r="G14" s="57"/>
      <c r="H14" s="57">
        <f>COUNTIF(H$26:H$184,"Lymm 1")</f>
        <v>11</v>
      </c>
      <c r="I14" s="57">
        <f>COUNTIF(F$26:F$101,"Lymm 1")</f>
        <v>5</v>
      </c>
      <c r="J14" s="57">
        <f>COUNTIF(F$102:F$178,"Lymm 1")</f>
        <v>6</v>
      </c>
      <c r="K14" s="57">
        <f>COUNTIF(H$26:H$101,"Lymm 1")</f>
        <v>6</v>
      </c>
      <c r="L14" s="57">
        <f>COUNTIF(H$102:H$178,"Lymm 1")</f>
        <v>5</v>
      </c>
    </row>
    <row r="15" spans="1:12" ht="15" customHeight="1" x14ac:dyDescent="0.3">
      <c r="A15" s="47">
        <f>COUNTIF(F$26:H$178,"Mossley Hill 1")</f>
        <v>22</v>
      </c>
      <c r="B15" s="3" t="s">
        <v>160</v>
      </c>
      <c r="C15" s="53">
        <v>3353008</v>
      </c>
      <c r="D15" s="57">
        <f>COUNTIF(F$26:I$178,"3353008")</f>
        <v>22</v>
      </c>
      <c r="E15" s="59"/>
      <c r="F15" s="57">
        <f>COUNTIF(F$26:F$178,"Mossley Hill 1")</f>
        <v>11</v>
      </c>
      <c r="G15" s="57"/>
      <c r="H15" s="57">
        <f>COUNTIF(H$26:H$178,"Mossley Hill 1")</f>
        <v>11</v>
      </c>
      <c r="I15" s="57">
        <f>COUNTIF(F$26:F$101,"Mossley Hill 1")</f>
        <v>6</v>
      </c>
      <c r="J15" s="57">
        <f>COUNTIF(F$102:F$178,"Mossley Hill 1")</f>
        <v>5</v>
      </c>
      <c r="K15" s="57">
        <f>COUNTIF(H$26:H$101,"Mossley Hill 1")</f>
        <v>5</v>
      </c>
      <c r="L15" s="57">
        <f>COUNTIF(H$102:H$178,"Mossley Hill 1")</f>
        <v>6</v>
      </c>
    </row>
    <row r="16" spans="1:12" ht="15" customHeight="1" x14ac:dyDescent="0.3">
      <c r="A16" s="47">
        <f>COUNTIF(F$26:H$178,"Neston 3")</f>
        <v>22</v>
      </c>
      <c r="B16" s="3" t="s">
        <v>130</v>
      </c>
      <c r="C16" s="74">
        <v>3352405</v>
      </c>
      <c r="D16" s="57">
        <f>COUNTIF(F$26:I$178,"3352405")</f>
        <v>22</v>
      </c>
      <c r="E16" s="59"/>
      <c r="F16" s="57">
        <f>COUNTIF(F$26:F$178,"Neston 3")</f>
        <v>11</v>
      </c>
      <c r="G16" s="57"/>
      <c r="H16" s="57">
        <f>COUNTIF(H$26:H$184,"Neston 3")</f>
        <v>11</v>
      </c>
      <c r="I16" s="57">
        <f>COUNTIF(F$26:F$101,"Neston 3")</f>
        <v>5</v>
      </c>
      <c r="J16" s="57">
        <f>COUNTIF(F$102:F$178,"Neston 3")</f>
        <v>6</v>
      </c>
      <c r="K16" s="57">
        <f>COUNTIF(H$26:H$101,"Neston 3")</f>
        <v>6</v>
      </c>
      <c r="L16" s="57">
        <f>COUNTIF(H$102:H$178,"Neston 3")</f>
        <v>5</v>
      </c>
    </row>
    <row r="17" spans="1:12" ht="15" customHeight="1" x14ac:dyDescent="0.3">
      <c r="A17" s="47">
        <f>COUNTIF(F$26:H$178,"Northop Hall 1")</f>
        <v>22</v>
      </c>
      <c r="B17" s="3" t="s">
        <v>163</v>
      </c>
      <c r="C17" s="74">
        <v>3351802</v>
      </c>
      <c r="D17" s="57">
        <f>COUNTIF(F$26:I$178,"3351802")</f>
        <v>22</v>
      </c>
      <c r="E17" s="59"/>
      <c r="F17" s="57">
        <f>COUNTIF(F$26:F$178,"Northop Hall 1")</f>
        <v>11</v>
      </c>
      <c r="G17" s="57"/>
      <c r="H17" s="57">
        <f>COUNTIF(H$26:H$178,"Northop Hall 1")</f>
        <v>11</v>
      </c>
      <c r="I17" s="57">
        <f>COUNTIF(F$26:F$101,"Northop Hall 1")</f>
        <v>6</v>
      </c>
      <c r="J17" s="57">
        <f>COUNTIF(F$102:F$178,"Northop Hall 1")</f>
        <v>5</v>
      </c>
      <c r="K17" s="57">
        <f>COUNTIF(H$26:H$101,"Northop Hall 1")</f>
        <v>5</v>
      </c>
      <c r="L17" s="57">
        <f>COUNTIF(H$102:H$178,"Northop Hall 1")</f>
        <v>6</v>
      </c>
    </row>
    <row r="18" spans="1:12" x14ac:dyDescent="0.3">
      <c r="A18" s="47">
        <f>COUNTIF(F$26:H$178,"Rochdale 1")</f>
        <v>22</v>
      </c>
      <c r="B18" s="3" t="s">
        <v>131</v>
      </c>
      <c r="C18" s="74">
        <v>3350605</v>
      </c>
      <c r="D18" s="57">
        <f>COUNTIF(F$26:I$178,"3350605")</f>
        <v>22</v>
      </c>
      <c r="E18" s="59"/>
      <c r="F18" s="57">
        <f>COUNTIF(F$26:F$178,"Rochdale 1")</f>
        <v>11</v>
      </c>
      <c r="G18" s="57"/>
      <c r="H18" s="57">
        <f>COUNTIF(H$26:H$184,"Rochdale 1")</f>
        <v>11</v>
      </c>
      <c r="I18" s="57">
        <f>COUNTIF(F$26:F$101,"Rochdale 1")</f>
        <v>6</v>
      </c>
      <c r="J18" s="57">
        <f>COUNTIF(F$102:F$178,"Rochdale 1")</f>
        <v>5</v>
      </c>
      <c r="K18" s="57">
        <f>COUNTIF(H$26:H$101,"Rochdale 1")</f>
        <v>5</v>
      </c>
      <c r="L18" s="57">
        <f>COUNTIF(H$102:H$178,"Rochdale 1")</f>
        <v>6</v>
      </c>
    </row>
    <row r="19" spans="1:12" x14ac:dyDescent="0.3">
      <c r="A19" s="47">
        <f>COUNTIF(F$26:H$178,"Southport 1")</f>
        <v>22</v>
      </c>
      <c r="B19" s="3" t="s">
        <v>132</v>
      </c>
      <c r="C19" s="74">
        <v>3068304</v>
      </c>
      <c r="D19" s="57">
        <f>COUNTIF(F$26:I$178,"3068304")</f>
        <v>22</v>
      </c>
      <c r="E19" s="59"/>
      <c r="F19" s="57">
        <f>COUNTIF(F$26:F$178,"Southport 1")</f>
        <v>11</v>
      </c>
      <c r="G19" s="57"/>
      <c r="H19" s="57">
        <f>COUNTIF(H$26:H$184,"Southport 1")</f>
        <v>11</v>
      </c>
      <c r="I19" s="57">
        <f>COUNTIF(F$26:F$101,"Southport 1")</f>
        <v>5</v>
      </c>
      <c r="J19" s="57">
        <f>COUNTIF(F$102:F$178,"Southport 1")</f>
        <v>6</v>
      </c>
      <c r="K19" s="57">
        <f>COUNTIF(H$26:H$101,"Southport 1")</f>
        <v>6</v>
      </c>
      <c r="L19" s="57">
        <f>COUNTIF(H$102:H$178,"Southport 1")</f>
        <v>5</v>
      </c>
    </row>
    <row r="20" spans="1:12" x14ac:dyDescent="0.3">
      <c r="A20" s="47">
        <f>COUNTIF(F$26:H$178,"Wigan 1")</f>
        <v>22</v>
      </c>
      <c r="B20" s="3" t="s">
        <v>135</v>
      </c>
      <c r="C20" s="74">
        <v>3346603</v>
      </c>
      <c r="D20" s="57">
        <f>COUNTIF(F$26:I$178,"3346603")</f>
        <v>22</v>
      </c>
      <c r="E20" s="59"/>
      <c r="F20" s="57">
        <f>COUNTIF(F$26:F$178,"Wigan 1")</f>
        <v>11</v>
      </c>
      <c r="G20" s="57"/>
      <c r="H20" s="57">
        <f>COUNTIF(H$26:H$184,"Wigan 1")</f>
        <v>11</v>
      </c>
      <c r="I20" s="57">
        <f>COUNTIF(F$26:F$101,"Wigan 1")</f>
        <v>5</v>
      </c>
      <c r="J20" s="57">
        <f>COUNTIF(F$102:F$178,"Wigan 1")</f>
        <v>6</v>
      </c>
      <c r="K20" s="57">
        <f>COUNTIF(H$26:H$101,"Wigan 1")</f>
        <v>6</v>
      </c>
      <c r="L20" s="57">
        <f>COUNTIF(H$102:H$178,"Wigan 1")</f>
        <v>5</v>
      </c>
    </row>
    <row r="21" spans="1:12" x14ac:dyDescent="0.3">
      <c r="A21" s="47">
        <f>COUNTIF(F$26:H$178,"Wilmslow 1")</f>
        <v>22</v>
      </c>
      <c r="B21" s="3" t="s">
        <v>10</v>
      </c>
      <c r="C21" s="53">
        <v>3036204</v>
      </c>
      <c r="D21" s="57">
        <f>COUNTIF(F$26:I$178,"3036204")</f>
        <v>22</v>
      </c>
      <c r="E21" s="59"/>
      <c r="F21" s="57">
        <f>COUNTIF(F$26:F$178,"Wilmslow 1")</f>
        <v>11</v>
      </c>
      <c r="G21" s="57"/>
      <c r="H21" s="57">
        <f>COUNTIF(H$26:H$184,"Wilmslow 1")</f>
        <v>11</v>
      </c>
      <c r="I21" s="57">
        <f>COUNTIF(F$26:F$101,"Wilmslow 1")</f>
        <v>6</v>
      </c>
      <c r="J21" s="57">
        <f>COUNTIF(F$102:F$178,"Wilmslow 1")</f>
        <v>5</v>
      </c>
      <c r="K21" s="57">
        <f>COUNTIF(H$26:H$101,"Wilmslow 1")</f>
        <v>5</v>
      </c>
      <c r="L21" s="57">
        <f>COUNTIF(H$102:H$178,"Wilmslow 1")</f>
        <v>6</v>
      </c>
    </row>
    <row r="22" spans="1:12" x14ac:dyDescent="0.3">
      <c r="D22" s="59"/>
      <c r="E22" s="59"/>
      <c r="F22" s="59"/>
      <c r="G22" s="59"/>
      <c r="H22" s="59"/>
      <c r="I22" s="59"/>
      <c r="J22" s="59"/>
    </row>
    <row r="23" spans="1:12" ht="21" x14ac:dyDescent="0.4">
      <c r="B23" s="22" t="s">
        <v>93</v>
      </c>
      <c r="D23" s="59"/>
      <c r="E23" s="59"/>
      <c r="F23" s="59"/>
      <c r="G23" s="59"/>
      <c r="H23" s="59"/>
      <c r="I23" s="59"/>
      <c r="J23" s="59"/>
    </row>
    <row r="24" spans="1:12" x14ac:dyDescent="0.3">
      <c r="B24" s="40" t="s">
        <v>408</v>
      </c>
      <c r="C24" s="14" t="s">
        <v>409</v>
      </c>
      <c r="D24" s="14" t="s">
        <v>410</v>
      </c>
      <c r="E24" s="14" t="s">
        <v>411</v>
      </c>
      <c r="F24" s="14" t="s">
        <v>412</v>
      </c>
      <c r="G24" s="14" t="s">
        <v>413</v>
      </c>
      <c r="H24" s="14" t="s">
        <v>414</v>
      </c>
      <c r="I24" s="14" t="s">
        <v>415</v>
      </c>
    </row>
    <row r="26" spans="1:12" x14ac:dyDescent="0.3">
      <c r="B26" s="44">
        <v>45913</v>
      </c>
      <c r="C26" s="3" t="s">
        <v>416</v>
      </c>
      <c r="D26" s="3" t="s">
        <v>489</v>
      </c>
      <c r="E26" s="96"/>
      <c r="F26" s="3" t="s">
        <v>139</v>
      </c>
      <c r="G26" s="4">
        <v>3358305</v>
      </c>
      <c r="H26" s="4" t="s">
        <v>130</v>
      </c>
      <c r="I26" s="4">
        <v>3352405</v>
      </c>
      <c r="K26" s="58"/>
    </row>
    <row r="27" spans="1:12" x14ac:dyDescent="0.3">
      <c r="B27" s="44">
        <v>45913</v>
      </c>
      <c r="C27" s="3" t="s">
        <v>416</v>
      </c>
      <c r="D27" s="3" t="s">
        <v>489</v>
      </c>
      <c r="E27" s="96"/>
      <c r="F27" s="3" t="s">
        <v>156</v>
      </c>
      <c r="G27" s="4">
        <v>3359200</v>
      </c>
      <c r="H27" s="3" t="s">
        <v>129</v>
      </c>
      <c r="I27" s="4">
        <v>3067503</v>
      </c>
      <c r="K27" s="4"/>
      <c r="L27" s="4"/>
    </row>
    <row r="28" spans="1:12" x14ac:dyDescent="0.3">
      <c r="B28" s="44">
        <v>45913</v>
      </c>
      <c r="C28" s="3" t="s">
        <v>416</v>
      </c>
      <c r="D28" s="3" t="s">
        <v>489</v>
      </c>
      <c r="E28" s="96"/>
      <c r="F28" s="3" t="s">
        <v>163</v>
      </c>
      <c r="G28" s="4">
        <v>3351802</v>
      </c>
      <c r="H28" s="4" t="s">
        <v>132</v>
      </c>
      <c r="I28" s="4">
        <v>3068304</v>
      </c>
      <c r="K28" s="4"/>
      <c r="L28" s="4"/>
    </row>
    <row r="29" spans="1:12" x14ac:dyDescent="0.3">
      <c r="B29" s="44">
        <v>45913</v>
      </c>
      <c r="C29" s="3" t="s">
        <v>416</v>
      </c>
      <c r="D29" s="3" t="s">
        <v>489</v>
      </c>
      <c r="E29" s="96"/>
      <c r="F29" s="3" t="s">
        <v>131</v>
      </c>
      <c r="G29" s="4">
        <v>3350605</v>
      </c>
      <c r="H29" s="4" t="s">
        <v>128</v>
      </c>
      <c r="I29" s="4">
        <v>3357202</v>
      </c>
    </row>
    <row r="30" spans="1:12" x14ac:dyDescent="0.3">
      <c r="B30" s="44">
        <v>45913</v>
      </c>
      <c r="C30" s="3" t="s">
        <v>416</v>
      </c>
      <c r="D30" s="3" t="s">
        <v>489</v>
      </c>
      <c r="E30" s="96"/>
      <c r="F30" s="4" t="s">
        <v>160</v>
      </c>
      <c r="G30" s="4">
        <v>3353008</v>
      </c>
      <c r="H30" s="4" t="s">
        <v>564</v>
      </c>
      <c r="I30" s="4">
        <v>3969804</v>
      </c>
    </row>
    <row r="31" spans="1:12" x14ac:dyDescent="0.3">
      <c r="B31" s="44">
        <v>45913</v>
      </c>
      <c r="C31" s="3" t="s">
        <v>416</v>
      </c>
      <c r="D31" s="3" t="s">
        <v>489</v>
      </c>
      <c r="E31" s="96"/>
      <c r="F31" s="3" t="s">
        <v>10</v>
      </c>
      <c r="G31" s="4">
        <v>3036204</v>
      </c>
      <c r="H31" s="4" t="s">
        <v>135</v>
      </c>
      <c r="I31" s="4">
        <v>3346603</v>
      </c>
    </row>
    <row r="32" spans="1:12" x14ac:dyDescent="0.3">
      <c r="B32" s="4"/>
      <c r="E32" s="96"/>
      <c r="F32" s="4" t="s">
        <v>418</v>
      </c>
      <c r="G32" s="4"/>
    </row>
    <row r="33" spans="2:9" x14ac:dyDescent="0.3">
      <c r="B33" s="44">
        <v>45920</v>
      </c>
      <c r="C33" s="3" t="s">
        <v>416</v>
      </c>
      <c r="D33" s="3" t="s">
        <v>489</v>
      </c>
      <c r="E33" s="96"/>
      <c r="F33" s="3" t="s">
        <v>129</v>
      </c>
      <c r="G33" s="4">
        <v>3067503</v>
      </c>
      <c r="H33" s="3" t="s">
        <v>139</v>
      </c>
      <c r="I33" s="4">
        <v>3358305</v>
      </c>
    </row>
    <row r="34" spans="2:9" x14ac:dyDescent="0.3">
      <c r="B34" s="44">
        <v>45920</v>
      </c>
      <c r="C34" s="3" t="s">
        <v>416</v>
      </c>
      <c r="D34" s="3" t="s">
        <v>489</v>
      </c>
      <c r="E34" s="96"/>
      <c r="F34" s="4" t="s">
        <v>132</v>
      </c>
      <c r="G34" s="4">
        <v>3068304</v>
      </c>
      <c r="H34" s="3" t="s">
        <v>10</v>
      </c>
      <c r="I34" s="4">
        <v>3036204</v>
      </c>
    </row>
    <row r="35" spans="2:9" x14ac:dyDescent="0.3">
      <c r="B35" s="44">
        <v>45920</v>
      </c>
      <c r="C35" s="3" t="s">
        <v>416</v>
      </c>
      <c r="D35" s="3" t="s">
        <v>489</v>
      </c>
      <c r="E35" s="96"/>
      <c r="F35" s="4" t="s">
        <v>128</v>
      </c>
      <c r="G35" s="4">
        <v>3357202</v>
      </c>
      <c r="H35" s="4" t="s">
        <v>160</v>
      </c>
      <c r="I35" s="4">
        <v>3353008</v>
      </c>
    </row>
    <row r="36" spans="2:9" x14ac:dyDescent="0.3">
      <c r="B36" s="44">
        <v>45920</v>
      </c>
      <c r="C36" s="3" t="s">
        <v>416</v>
      </c>
      <c r="D36" s="3" t="s">
        <v>489</v>
      </c>
      <c r="E36" s="96"/>
      <c r="F36" s="4" t="s">
        <v>135</v>
      </c>
      <c r="G36" s="4">
        <v>3346603</v>
      </c>
      <c r="H36" s="3" t="s">
        <v>131</v>
      </c>
      <c r="I36" s="4">
        <v>3350605</v>
      </c>
    </row>
    <row r="37" spans="2:9" x14ac:dyDescent="0.3">
      <c r="B37" s="44">
        <v>45920</v>
      </c>
      <c r="C37" s="3" t="s">
        <v>416</v>
      </c>
      <c r="D37" s="3" t="s">
        <v>489</v>
      </c>
      <c r="E37" s="96"/>
      <c r="F37" s="4" t="s">
        <v>564</v>
      </c>
      <c r="G37" s="4">
        <v>3969804</v>
      </c>
      <c r="H37" s="3" t="s">
        <v>156</v>
      </c>
      <c r="I37" s="4">
        <v>3359200</v>
      </c>
    </row>
    <row r="38" spans="2:9" x14ac:dyDescent="0.3">
      <c r="B38" s="44">
        <v>45920</v>
      </c>
      <c r="C38" s="3" t="s">
        <v>416</v>
      </c>
      <c r="D38" s="3" t="s">
        <v>489</v>
      </c>
      <c r="E38" s="96"/>
      <c r="F38" s="4" t="s">
        <v>130</v>
      </c>
      <c r="G38" s="4">
        <v>3352405</v>
      </c>
      <c r="H38" s="3" t="s">
        <v>163</v>
      </c>
      <c r="I38" s="4">
        <v>3351802</v>
      </c>
    </row>
    <row r="39" spans="2:9" x14ac:dyDescent="0.3">
      <c r="B39" s="4"/>
      <c r="E39" s="96"/>
      <c r="F39" s="4" t="s">
        <v>418</v>
      </c>
      <c r="G39" s="4"/>
    </row>
    <row r="40" spans="2:9" x14ac:dyDescent="0.3">
      <c r="B40" s="44">
        <v>45927</v>
      </c>
      <c r="C40" s="3" t="s">
        <v>416</v>
      </c>
      <c r="D40" s="3" t="s">
        <v>489</v>
      </c>
      <c r="E40" s="96"/>
      <c r="F40" s="3" t="s">
        <v>139</v>
      </c>
      <c r="G40" s="4">
        <v>3358305</v>
      </c>
      <c r="H40" s="3" t="s">
        <v>156</v>
      </c>
      <c r="I40" s="4">
        <v>3359200</v>
      </c>
    </row>
    <row r="41" spans="2:9" x14ac:dyDescent="0.3">
      <c r="B41" s="44">
        <v>45927</v>
      </c>
      <c r="C41" s="3" t="s">
        <v>416</v>
      </c>
      <c r="D41" s="3" t="s">
        <v>489</v>
      </c>
      <c r="E41" s="96"/>
      <c r="F41" s="3" t="s">
        <v>163</v>
      </c>
      <c r="G41" s="4">
        <v>3351802</v>
      </c>
      <c r="H41" s="3" t="s">
        <v>129</v>
      </c>
      <c r="I41" s="4">
        <v>3067503</v>
      </c>
    </row>
    <row r="42" spans="2:9" x14ac:dyDescent="0.3">
      <c r="B42" s="44">
        <v>45927</v>
      </c>
      <c r="C42" s="3" t="s">
        <v>416</v>
      </c>
      <c r="D42" s="3" t="s">
        <v>489</v>
      </c>
      <c r="E42" s="96"/>
      <c r="F42" s="4" t="s">
        <v>564</v>
      </c>
      <c r="G42" s="4">
        <v>3969804</v>
      </c>
      <c r="H42" s="4" t="s">
        <v>128</v>
      </c>
      <c r="I42" s="4">
        <v>3357202</v>
      </c>
    </row>
    <row r="43" spans="2:9" x14ac:dyDescent="0.3">
      <c r="B43" s="44">
        <v>45927</v>
      </c>
      <c r="C43" s="3" t="s">
        <v>416</v>
      </c>
      <c r="D43" s="3" t="s">
        <v>489</v>
      </c>
      <c r="E43" s="96"/>
      <c r="F43" s="3" t="s">
        <v>131</v>
      </c>
      <c r="G43" s="4">
        <v>3350605</v>
      </c>
      <c r="H43" s="4" t="s">
        <v>132</v>
      </c>
      <c r="I43" s="4">
        <v>3068304</v>
      </c>
    </row>
    <row r="44" spans="2:9" x14ac:dyDescent="0.3">
      <c r="B44" s="44">
        <v>45927</v>
      </c>
      <c r="C44" s="3" t="s">
        <v>416</v>
      </c>
      <c r="D44" s="3" t="s">
        <v>489</v>
      </c>
      <c r="E44" s="96"/>
      <c r="F44" s="4" t="s">
        <v>160</v>
      </c>
      <c r="G44" s="4">
        <v>3353008</v>
      </c>
      <c r="H44" s="4" t="s">
        <v>135</v>
      </c>
      <c r="I44" s="4">
        <v>3346603</v>
      </c>
    </row>
    <row r="45" spans="2:9" x14ac:dyDescent="0.3">
      <c r="B45" s="44">
        <v>45927</v>
      </c>
      <c r="C45" s="3" t="s">
        <v>416</v>
      </c>
      <c r="D45" s="3" t="s">
        <v>489</v>
      </c>
      <c r="E45" s="96"/>
      <c r="F45" s="3" t="s">
        <v>10</v>
      </c>
      <c r="G45" s="4">
        <v>3036204</v>
      </c>
      <c r="H45" s="4" t="s">
        <v>130</v>
      </c>
      <c r="I45" s="4">
        <v>3352405</v>
      </c>
    </row>
    <row r="46" spans="2:9" x14ac:dyDescent="0.3">
      <c r="B46" s="4"/>
      <c r="E46" s="96"/>
      <c r="F46" s="4" t="s">
        <v>418</v>
      </c>
      <c r="G46" s="4"/>
    </row>
    <row r="47" spans="2:9" x14ac:dyDescent="0.3">
      <c r="B47" s="44">
        <v>45934</v>
      </c>
      <c r="C47" s="3" t="s">
        <v>416</v>
      </c>
      <c r="D47" s="3" t="s">
        <v>489</v>
      </c>
      <c r="E47" s="96"/>
      <c r="F47" s="3" t="s">
        <v>129</v>
      </c>
      <c r="G47" s="4">
        <v>3067503</v>
      </c>
      <c r="H47" s="3" t="s">
        <v>10</v>
      </c>
      <c r="I47" s="4">
        <v>3036204</v>
      </c>
    </row>
    <row r="48" spans="2:9" x14ac:dyDescent="0.3">
      <c r="B48" s="44">
        <v>45934</v>
      </c>
      <c r="C48" s="3" t="s">
        <v>416</v>
      </c>
      <c r="D48" s="3" t="s">
        <v>489</v>
      </c>
      <c r="E48" s="96"/>
      <c r="F48" s="3" t="s">
        <v>139</v>
      </c>
      <c r="G48" s="4">
        <v>3358305</v>
      </c>
      <c r="H48" s="4" t="s">
        <v>564</v>
      </c>
      <c r="I48" s="4">
        <v>3969804</v>
      </c>
    </row>
    <row r="49" spans="2:9" x14ac:dyDescent="0.3">
      <c r="B49" s="44">
        <v>45934</v>
      </c>
      <c r="C49" s="3" t="s">
        <v>416</v>
      </c>
      <c r="D49" s="3" t="s">
        <v>489</v>
      </c>
      <c r="E49" s="96"/>
      <c r="F49" s="3" t="s">
        <v>156</v>
      </c>
      <c r="G49" s="4">
        <v>3359200</v>
      </c>
      <c r="H49" s="3" t="s">
        <v>163</v>
      </c>
      <c r="I49" s="4">
        <v>3351802</v>
      </c>
    </row>
    <row r="50" spans="2:9" x14ac:dyDescent="0.3">
      <c r="B50" s="44">
        <v>45934</v>
      </c>
      <c r="C50" s="3" t="s">
        <v>416</v>
      </c>
      <c r="D50" s="3" t="s">
        <v>489</v>
      </c>
      <c r="E50" s="96"/>
      <c r="F50" s="4" t="s">
        <v>132</v>
      </c>
      <c r="G50" s="4">
        <v>3068304</v>
      </c>
      <c r="H50" s="4" t="s">
        <v>160</v>
      </c>
      <c r="I50" s="4">
        <v>3353008</v>
      </c>
    </row>
    <row r="51" spans="2:9" x14ac:dyDescent="0.3">
      <c r="B51" s="44">
        <v>45934</v>
      </c>
      <c r="C51" s="3" t="s">
        <v>416</v>
      </c>
      <c r="D51" s="3" t="s">
        <v>489</v>
      </c>
      <c r="E51" s="96"/>
      <c r="F51" s="4" t="s">
        <v>135</v>
      </c>
      <c r="G51" s="4">
        <v>3346603</v>
      </c>
      <c r="H51" s="4" t="s">
        <v>128</v>
      </c>
      <c r="I51" s="4">
        <v>3357202</v>
      </c>
    </row>
    <row r="52" spans="2:9" x14ac:dyDescent="0.3">
      <c r="B52" s="44">
        <v>45934</v>
      </c>
      <c r="C52" s="3" t="s">
        <v>416</v>
      </c>
      <c r="D52" s="3" t="s">
        <v>489</v>
      </c>
      <c r="E52" s="96"/>
      <c r="F52" s="4" t="s">
        <v>130</v>
      </c>
      <c r="G52" s="4">
        <v>3352405</v>
      </c>
      <c r="H52" s="3" t="s">
        <v>131</v>
      </c>
      <c r="I52" s="4">
        <v>3350605</v>
      </c>
    </row>
    <row r="53" spans="2:9" x14ac:dyDescent="0.3">
      <c r="B53" s="4"/>
      <c r="E53" s="96"/>
      <c r="F53" s="4" t="s">
        <v>418</v>
      </c>
      <c r="G53" s="4"/>
    </row>
    <row r="54" spans="2:9" x14ac:dyDescent="0.3">
      <c r="B54" s="44">
        <v>45941</v>
      </c>
      <c r="C54" s="3" t="s">
        <v>416</v>
      </c>
      <c r="D54" s="3" t="s">
        <v>489</v>
      </c>
      <c r="E54" s="96"/>
      <c r="F54" s="4" t="s">
        <v>128</v>
      </c>
      <c r="G54" s="4">
        <v>3357202</v>
      </c>
      <c r="H54" s="4" t="s">
        <v>132</v>
      </c>
      <c r="I54" s="4">
        <v>3068304</v>
      </c>
    </row>
    <row r="55" spans="2:9" x14ac:dyDescent="0.3">
      <c r="B55" s="44">
        <v>45941</v>
      </c>
      <c r="C55" s="3" t="s">
        <v>416</v>
      </c>
      <c r="D55" s="3" t="s">
        <v>489</v>
      </c>
      <c r="E55" s="96"/>
      <c r="F55" s="3" t="s">
        <v>163</v>
      </c>
      <c r="G55" s="4">
        <v>3351802</v>
      </c>
      <c r="H55" s="3" t="s">
        <v>139</v>
      </c>
      <c r="I55" s="4">
        <v>3358305</v>
      </c>
    </row>
    <row r="56" spans="2:9" x14ac:dyDescent="0.3">
      <c r="B56" s="44">
        <v>45941</v>
      </c>
      <c r="C56" s="3" t="s">
        <v>416</v>
      </c>
      <c r="D56" s="3" t="s">
        <v>489</v>
      </c>
      <c r="E56" s="96"/>
      <c r="F56" s="4" t="s">
        <v>564</v>
      </c>
      <c r="G56" s="4">
        <v>3969804</v>
      </c>
      <c r="H56" s="4" t="s">
        <v>135</v>
      </c>
      <c r="I56" s="4">
        <v>3346603</v>
      </c>
    </row>
    <row r="57" spans="2:9" x14ac:dyDescent="0.3">
      <c r="B57" s="44">
        <v>45941</v>
      </c>
      <c r="C57" s="3" t="s">
        <v>416</v>
      </c>
      <c r="D57" s="3" t="s">
        <v>489</v>
      </c>
      <c r="E57" s="96"/>
      <c r="F57" s="3" t="s">
        <v>131</v>
      </c>
      <c r="G57" s="4">
        <v>3350605</v>
      </c>
      <c r="H57" s="3" t="s">
        <v>129</v>
      </c>
      <c r="I57" s="4">
        <v>3067503</v>
      </c>
    </row>
    <row r="58" spans="2:9" x14ac:dyDescent="0.3">
      <c r="B58" s="44">
        <v>45941</v>
      </c>
      <c r="C58" s="3" t="s">
        <v>416</v>
      </c>
      <c r="D58" s="3" t="s">
        <v>489</v>
      </c>
      <c r="E58" s="96"/>
      <c r="F58" s="4" t="s">
        <v>160</v>
      </c>
      <c r="G58" s="4">
        <v>3353008</v>
      </c>
      <c r="H58" s="4" t="s">
        <v>130</v>
      </c>
      <c r="I58" s="4">
        <v>3352405</v>
      </c>
    </row>
    <row r="59" spans="2:9" x14ac:dyDescent="0.3">
      <c r="B59" s="44">
        <v>45941</v>
      </c>
      <c r="C59" s="3" t="s">
        <v>416</v>
      </c>
      <c r="D59" s="3" t="s">
        <v>489</v>
      </c>
      <c r="E59" s="96"/>
      <c r="F59" s="3" t="s">
        <v>10</v>
      </c>
      <c r="G59" s="4">
        <v>3036204</v>
      </c>
      <c r="H59" s="3" t="s">
        <v>156</v>
      </c>
      <c r="I59" s="4">
        <v>3359200</v>
      </c>
    </row>
    <row r="60" spans="2:9" x14ac:dyDescent="0.3">
      <c r="B60" s="4"/>
      <c r="E60" s="96"/>
      <c r="F60" s="4" t="s">
        <v>418</v>
      </c>
      <c r="G60" s="4"/>
    </row>
    <row r="61" spans="2:9" x14ac:dyDescent="0.3">
      <c r="B61" s="44">
        <v>45948</v>
      </c>
      <c r="C61" s="3" t="s">
        <v>416</v>
      </c>
      <c r="D61" s="3" t="s">
        <v>489</v>
      </c>
      <c r="E61" s="96"/>
      <c r="F61" s="3" t="s">
        <v>129</v>
      </c>
      <c r="G61" s="4">
        <v>3067503</v>
      </c>
      <c r="H61" s="4" t="s">
        <v>160</v>
      </c>
      <c r="I61" s="4">
        <v>3353008</v>
      </c>
    </row>
    <row r="62" spans="2:9" x14ac:dyDescent="0.3">
      <c r="B62" s="44">
        <v>45948</v>
      </c>
      <c r="C62" s="3" t="s">
        <v>416</v>
      </c>
      <c r="D62" s="3" t="s">
        <v>489</v>
      </c>
      <c r="E62" s="96"/>
      <c r="F62" s="3" t="s">
        <v>139</v>
      </c>
      <c r="G62" s="4">
        <v>3358305</v>
      </c>
      <c r="H62" s="3" t="s">
        <v>10</v>
      </c>
      <c r="I62" s="4">
        <v>3036204</v>
      </c>
    </row>
    <row r="63" spans="2:9" x14ac:dyDescent="0.3">
      <c r="B63" s="44">
        <v>45948</v>
      </c>
      <c r="C63" s="3" t="s">
        <v>416</v>
      </c>
      <c r="D63" s="3" t="s">
        <v>489</v>
      </c>
      <c r="E63" s="96"/>
      <c r="F63" s="3" t="s">
        <v>156</v>
      </c>
      <c r="G63" s="4">
        <v>3359200</v>
      </c>
      <c r="H63" s="3" t="s">
        <v>131</v>
      </c>
      <c r="I63" s="4">
        <v>3350605</v>
      </c>
    </row>
    <row r="64" spans="2:9" x14ac:dyDescent="0.3">
      <c r="B64" s="44">
        <v>45948</v>
      </c>
      <c r="C64" s="3" t="s">
        <v>416</v>
      </c>
      <c r="D64" s="3" t="s">
        <v>489</v>
      </c>
      <c r="E64" s="96"/>
      <c r="F64" s="4" t="s">
        <v>132</v>
      </c>
      <c r="G64" s="4">
        <v>3068304</v>
      </c>
      <c r="H64" s="4" t="s">
        <v>135</v>
      </c>
      <c r="I64" s="4">
        <v>3346603</v>
      </c>
    </row>
    <row r="65" spans="2:9" x14ac:dyDescent="0.3">
      <c r="B65" s="44">
        <v>45948</v>
      </c>
      <c r="C65" s="3" t="s">
        <v>416</v>
      </c>
      <c r="D65" s="3" t="s">
        <v>489</v>
      </c>
      <c r="E65" s="96"/>
      <c r="F65" s="3" t="s">
        <v>163</v>
      </c>
      <c r="G65" s="4">
        <v>3351802</v>
      </c>
      <c r="H65" s="4" t="s">
        <v>564</v>
      </c>
      <c r="I65" s="4">
        <v>3969804</v>
      </c>
    </row>
    <row r="66" spans="2:9" x14ac:dyDescent="0.3">
      <c r="B66" s="44">
        <v>45948</v>
      </c>
      <c r="C66" s="3" t="s">
        <v>416</v>
      </c>
      <c r="D66" s="3" t="s">
        <v>489</v>
      </c>
      <c r="E66" s="96"/>
      <c r="F66" s="4" t="s">
        <v>130</v>
      </c>
      <c r="G66" s="4">
        <v>3352405</v>
      </c>
      <c r="H66" s="4" t="s">
        <v>128</v>
      </c>
      <c r="I66" s="4">
        <v>3357202</v>
      </c>
    </row>
    <row r="67" spans="2:9" x14ac:dyDescent="0.3">
      <c r="B67" s="4"/>
      <c r="E67" s="96"/>
      <c r="F67" s="4" t="s">
        <v>418</v>
      </c>
      <c r="G67" s="4"/>
    </row>
    <row r="68" spans="2:9" x14ac:dyDescent="0.3">
      <c r="B68" s="44">
        <v>45962</v>
      </c>
      <c r="C68" s="3" t="s">
        <v>416</v>
      </c>
      <c r="D68" s="3" t="s">
        <v>489</v>
      </c>
      <c r="E68" s="96"/>
      <c r="F68" s="4" t="s">
        <v>128</v>
      </c>
      <c r="G68" s="4">
        <v>3357202</v>
      </c>
      <c r="H68" s="3" t="s">
        <v>129</v>
      </c>
      <c r="I68" s="4">
        <v>3067503</v>
      </c>
    </row>
    <row r="69" spans="2:9" x14ac:dyDescent="0.3">
      <c r="B69" s="44">
        <v>45962</v>
      </c>
      <c r="C69" s="3" t="s">
        <v>416</v>
      </c>
      <c r="D69" s="3" t="s">
        <v>489</v>
      </c>
      <c r="E69" s="96"/>
      <c r="F69" s="4" t="s">
        <v>135</v>
      </c>
      <c r="G69" s="4">
        <v>3346603</v>
      </c>
      <c r="H69" s="4" t="s">
        <v>130</v>
      </c>
      <c r="I69" s="4">
        <v>3352405</v>
      </c>
    </row>
    <row r="70" spans="2:9" x14ac:dyDescent="0.3">
      <c r="B70" s="44">
        <v>45962</v>
      </c>
      <c r="C70" s="3" t="s">
        <v>416</v>
      </c>
      <c r="D70" s="3" t="s">
        <v>489</v>
      </c>
      <c r="E70" s="96"/>
      <c r="F70" s="4" t="s">
        <v>564</v>
      </c>
      <c r="G70" s="4">
        <v>3969804</v>
      </c>
      <c r="H70" s="4" t="s">
        <v>132</v>
      </c>
      <c r="I70" s="4">
        <v>3068304</v>
      </c>
    </row>
    <row r="71" spans="2:9" x14ac:dyDescent="0.3">
      <c r="B71" s="44">
        <v>45962</v>
      </c>
      <c r="C71" s="3" t="s">
        <v>416</v>
      </c>
      <c r="D71" s="3" t="s">
        <v>489</v>
      </c>
      <c r="E71" s="96"/>
      <c r="F71" s="3" t="s">
        <v>131</v>
      </c>
      <c r="G71" s="4">
        <v>3350605</v>
      </c>
      <c r="H71" s="3" t="s">
        <v>139</v>
      </c>
      <c r="I71" s="4">
        <v>3358305</v>
      </c>
    </row>
    <row r="72" spans="2:9" x14ac:dyDescent="0.3">
      <c r="B72" s="44">
        <v>45962</v>
      </c>
      <c r="C72" s="3" t="s">
        <v>416</v>
      </c>
      <c r="D72" s="3" t="s">
        <v>489</v>
      </c>
      <c r="E72" s="96"/>
      <c r="F72" s="4" t="s">
        <v>160</v>
      </c>
      <c r="G72" s="4">
        <v>3353008</v>
      </c>
      <c r="H72" s="3" t="s">
        <v>156</v>
      </c>
      <c r="I72" s="4">
        <v>3359200</v>
      </c>
    </row>
    <row r="73" spans="2:9" x14ac:dyDescent="0.3">
      <c r="B73" s="44">
        <v>45962</v>
      </c>
      <c r="C73" s="3" t="s">
        <v>416</v>
      </c>
      <c r="D73" s="3" t="s">
        <v>489</v>
      </c>
      <c r="E73" s="96"/>
      <c r="F73" s="3" t="s">
        <v>10</v>
      </c>
      <c r="G73" s="4">
        <v>3036204</v>
      </c>
      <c r="H73" s="3" t="s">
        <v>163</v>
      </c>
      <c r="I73" s="4">
        <v>3351802</v>
      </c>
    </row>
    <row r="74" spans="2:9" x14ac:dyDescent="0.3">
      <c r="B74" s="4"/>
      <c r="E74" s="96"/>
      <c r="F74" s="4" t="s">
        <v>418</v>
      </c>
      <c r="G74" s="4"/>
    </row>
    <row r="75" spans="2:9" x14ac:dyDescent="0.3">
      <c r="B75" s="44">
        <v>45969</v>
      </c>
      <c r="C75" s="3" t="s">
        <v>416</v>
      </c>
      <c r="D75" s="3" t="s">
        <v>489</v>
      </c>
      <c r="E75" s="96"/>
      <c r="F75" s="3" t="s">
        <v>129</v>
      </c>
      <c r="G75" s="4">
        <v>3067503</v>
      </c>
      <c r="H75" s="4" t="s">
        <v>135</v>
      </c>
      <c r="I75" s="4">
        <v>3346603</v>
      </c>
    </row>
    <row r="76" spans="2:9" x14ac:dyDescent="0.3">
      <c r="B76" s="44">
        <v>45969</v>
      </c>
      <c r="C76" s="3" t="s">
        <v>416</v>
      </c>
      <c r="D76" s="3" t="s">
        <v>489</v>
      </c>
      <c r="E76" s="96"/>
      <c r="F76" s="3" t="s">
        <v>139</v>
      </c>
      <c r="G76" s="4">
        <v>3358305</v>
      </c>
      <c r="H76" s="4" t="s">
        <v>160</v>
      </c>
      <c r="I76" s="4">
        <v>3353008</v>
      </c>
    </row>
    <row r="77" spans="2:9" x14ac:dyDescent="0.3">
      <c r="B77" s="44">
        <v>45969</v>
      </c>
      <c r="C77" s="3" t="s">
        <v>416</v>
      </c>
      <c r="D77" s="3" t="s">
        <v>489</v>
      </c>
      <c r="E77" s="96"/>
      <c r="F77" s="3" t="s">
        <v>156</v>
      </c>
      <c r="G77" s="4">
        <v>3359200</v>
      </c>
      <c r="H77" s="4" t="s">
        <v>128</v>
      </c>
      <c r="I77" s="4">
        <v>3357202</v>
      </c>
    </row>
    <row r="78" spans="2:9" x14ac:dyDescent="0.3">
      <c r="B78" s="44">
        <v>45969</v>
      </c>
      <c r="C78" s="3" t="s">
        <v>416</v>
      </c>
      <c r="D78" s="3" t="s">
        <v>489</v>
      </c>
      <c r="E78" s="96"/>
      <c r="F78" s="3" t="s">
        <v>163</v>
      </c>
      <c r="G78" s="4">
        <v>3351802</v>
      </c>
      <c r="H78" s="3" t="s">
        <v>131</v>
      </c>
      <c r="I78" s="4">
        <v>3350605</v>
      </c>
    </row>
    <row r="79" spans="2:9" x14ac:dyDescent="0.3">
      <c r="B79" s="44">
        <v>45969</v>
      </c>
      <c r="C79" s="3" t="s">
        <v>416</v>
      </c>
      <c r="D79" s="3" t="s">
        <v>489</v>
      </c>
      <c r="E79" s="96"/>
      <c r="F79" s="4" t="s">
        <v>130</v>
      </c>
      <c r="G79" s="4">
        <v>3352405</v>
      </c>
      <c r="H79" s="4" t="s">
        <v>132</v>
      </c>
      <c r="I79" s="4">
        <v>3068304</v>
      </c>
    </row>
    <row r="80" spans="2:9" x14ac:dyDescent="0.3">
      <c r="B80" s="44">
        <v>45969</v>
      </c>
      <c r="C80" s="3" t="s">
        <v>416</v>
      </c>
      <c r="D80" s="3" t="s">
        <v>489</v>
      </c>
      <c r="E80" s="96"/>
      <c r="F80" s="3" t="s">
        <v>10</v>
      </c>
      <c r="G80" s="4">
        <v>3036204</v>
      </c>
      <c r="H80" s="4" t="s">
        <v>564</v>
      </c>
      <c r="I80" s="4">
        <v>3969804</v>
      </c>
    </row>
    <row r="81" spans="2:9" x14ac:dyDescent="0.3">
      <c r="B81" s="4"/>
      <c r="E81" s="96"/>
      <c r="F81" s="4" t="s">
        <v>418</v>
      </c>
      <c r="G81" s="4"/>
    </row>
    <row r="82" spans="2:9" x14ac:dyDescent="0.3">
      <c r="B82" s="44">
        <v>45976</v>
      </c>
      <c r="C82" s="3" t="s">
        <v>416</v>
      </c>
      <c r="D82" s="3" t="s">
        <v>489</v>
      </c>
      <c r="E82" s="96"/>
      <c r="F82" s="4" t="s">
        <v>132</v>
      </c>
      <c r="G82" s="4">
        <v>3068304</v>
      </c>
      <c r="H82" s="3" t="s">
        <v>129</v>
      </c>
      <c r="I82" s="4">
        <v>3067503</v>
      </c>
    </row>
    <row r="83" spans="2:9" x14ac:dyDescent="0.3">
      <c r="B83" s="44">
        <v>45976</v>
      </c>
      <c r="C83" s="3" t="s">
        <v>416</v>
      </c>
      <c r="D83" s="3" t="s">
        <v>489</v>
      </c>
      <c r="E83" s="96"/>
      <c r="F83" s="4" t="s">
        <v>128</v>
      </c>
      <c r="G83" s="4">
        <v>3357202</v>
      </c>
      <c r="H83" s="3" t="s">
        <v>139</v>
      </c>
      <c r="I83" s="4">
        <v>3358305</v>
      </c>
    </row>
    <row r="84" spans="2:9" x14ac:dyDescent="0.3">
      <c r="B84" s="44">
        <v>45976</v>
      </c>
      <c r="C84" s="3" t="s">
        <v>416</v>
      </c>
      <c r="D84" s="3" t="s">
        <v>489</v>
      </c>
      <c r="E84" s="96"/>
      <c r="F84" s="4" t="s">
        <v>135</v>
      </c>
      <c r="G84" s="4">
        <v>3346603</v>
      </c>
      <c r="H84" s="3" t="s">
        <v>156</v>
      </c>
      <c r="I84" s="4">
        <v>3359200</v>
      </c>
    </row>
    <row r="85" spans="2:9" x14ac:dyDescent="0.3">
      <c r="B85" s="44">
        <v>45976</v>
      </c>
      <c r="C85" s="3" t="s">
        <v>416</v>
      </c>
      <c r="D85" s="3" t="s">
        <v>489</v>
      </c>
      <c r="E85" s="96"/>
      <c r="F85" s="4" t="s">
        <v>564</v>
      </c>
      <c r="G85" s="4">
        <v>3969804</v>
      </c>
      <c r="H85" s="4" t="s">
        <v>130</v>
      </c>
      <c r="I85" s="4">
        <v>3352405</v>
      </c>
    </row>
    <row r="86" spans="2:9" x14ac:dyDescent="0.3">
      <c r="B86" s="44">
        <v>45976</v>
      </c>
      <c r="C86" s="3" t="s">
        <v>416</v>
      </c>
      <c r="D86" s="3" t="s">
        <v>489</v>
      </c>
      <c r="E86" s="96"/>
      <c r="F86" s="3" t="s">
        <v>131</v>
      </c>
      <c r="G86" s="4">
        <v>3350605</v>
      </c>
      <c r="H86" s="3" t="s">
        <v>10</v>
      </c>
      <c r="I86" s="4">
        <v>3036204</v>
      </c>
    </row>
    <row r="87" spans="2:9" x14ac:dyDescent="0.3">
      <c r="B87" s="44">
        <v>45976</v>
      </c>
      <c r="C87" s="3" t="s">
        <v>416</v>
      </c>
      <c r="D87" s="3" t="s">
        <v>489</v>
      </c>
      <c r="E87" s="96"/>
      <c r="F87" s="4" t="s">
        <v>160</v>
      </c>
      <c r="G87" s="4">
        <v>3353008</v>
      </c>
      <c r="H87" s="3" t="s">
        <v>163</v>
      </c>
      <c r="I87" s="4">
        <v>3351802</v>
      </c>
    </row>
    <row r="88" spans="2:9" x14ac:dyDescent="0.3">
      <c r="B88" s="4"/>
      <c r="E88" s="96"/>
      <c r="F88" s="4" t="s">
        <v>418</v>
      </c>
      <c r="G88" s="4"/>
    </row>
    <row r="89" spans="2:9" x14ac:dyDescent="0.3">
      <c r="B89" s="44">
        <v>45983</v>
      </c>
      <c r="C89" s="3" t="s">
        <v>416</v>
      </c>
      <c r="D89" s="3" t="s">
        <v>489</v>
      </c>
      <c r="E89" s="96"/>
      <c r="F89" s="3" t="s">
        <v>129</v>
      </c>
      <c r="G89" s="4">
        <v>3067503</v>
      </c>
      <c r="H89" s="4" t="s">
        <v>130</v>
      </c>
      <c r="I89" s="4">
        <v>3352405</v>
      </c>
    </row>
    <row r="90" spans="2:9" x14ac:dyDescent="0.3">
      <c r="B90" s="44">
        <v>45983</v>
      </c>
      <c r="C90" s="3" t="s">
        <v>416</v>
      </c>
      <c r="D90" s="3" t="s">
        <v>489</v>
      </c>
      <c r="E90" s="96"/>
      <c r="F90" s="3" t="s">
        <v>139</v>
      </c>
      <c r="G90" s="4">
        <v>3358305</v>
      </c>
      <c r="H90" s="4" t="s">
        <v>135</v>
      </c>
      <c r="I90" s="4">
        <v>3346603</v>
      </c>
    </row>
    <row r="91" spans="2:9" x14ac:dyDescent="0.3">
      <c r="B91" s="44">
        <v>45983</v>
      </c>
      <c r="C91" s="3" t="s">
        <v>416</v>
      </c>
      <c r="D91" s="3" t="s">
        <v>489</v>
      </c>
      <c r="E91" s="96"/>
      <c r="F91" s="3" t="s">
        <v>156</v>
      </c>
      <c r="G91" s="4">
        <v>3359200</v>
      </c>
      <c r="H91" s="4" t="s">
        <v>132</v>
      </c>
      <c r="I91" s="4">
        <v>3068304</v>
      </c>
    </row>
    <row r="92" spans="2:9" x14ac:dyDescent="0.3">
      <c r="B92" s="44">
        <v>45983</v>
      </c>
      <c r="C92" s="3" t="s">
        <v>416</v>
      </c>
      <c r="D92" s="3" t="s">
        <v>489</v>
      </c>
      <c r="E92" s="96"/>
      <c r="F92" s="3" t="s">
        <v>163</v>
      </c>
      <c r="G92" s="4">
        <v>3351802</v>
      </c>
      <c r="H92" s="4" t="s">
        <v>128</v>
      </c>
      <c r="I92" s="4">
        <v>3357202</v>
      </c>
    </row>
    <row r="93" spans="2:9" x14ac:dyDescent="0.3">
      <c r="B93" s="44">
        <v>45983</v>
      </c>
      <c r="C93" s="3" t="s">
        <v>416</v>
      </c>
      <c r="D93" s="3" t="s">
        <v>489</v>
      </c>
      <c r="E93" s="96"/>
      <c r="F93" s="3" t="s">
        <v>131</v>
      </c>
      <c r="G93" s="4">
        <v>3350605</v>
      </c>
      <c r="H93" s="4" t="s">
        <v>564</v>
      </c>
      <c r="I93" s="4">
        <v>3969804</v>
      </c>
    </row>
    <row r="94" spans="2:9" x14ac:dyDescent="0.3">
      <c r="B94" s="44">
        <v>45983</v>
      </c>
      <c r="C94" s="3" t="s">
        <v>416</v>
      </c>
      <c r="D94" s="3" t="s">
        <v>489</v>
      </c>
      <c r="E94" s="96"/>
      <c r="F94" s="3" t="s">
        <v>10</v>
      </c>
      <c r="G94" s="4">
        <v>3036204</v>
      </c>
      <c r="H94" s="4" t="s">
        <v>160</v>
      </c>
      <c r="I94" s="4">
        <v>3353008</v>
      </c>
    </row>
    <row r="95" spans="2:9" x14ac:dyDescent="0.3">
      <c r="B95" s="4"/>
      <c r="E95" s="96"/>
      <c r="F95" s="4" t="s">
        <v>418</v>
      </c>
      <c r="G95" s="4"/>
    </row>
    <row r="96" spans="2:9" x14ac:dyDescent="0.3">
      <c r="B96" s="44">
        <v>45990</v>
      </c>
      <c r="C96" s="3" t="s">
        <v>416</v>
      </c>
      <c r="D96" s="3" t="s">
        <v>489</v>
      </c>
      <c r="E96" s="96"/>
      <c r="F96" s="4" t="s">
        <v>132</v>
      </c>
      <c r="G96" s="4">
        <v>3068304</v>
      </c>
      <c r="H96" s="3" t="s">
        <v>139</v>
      </c>
      <c r="I96" s="4">
        <v>3358305</v>
      </c>
    </row>
    <row r="97" spans="2:9" x14ac:dyDescent="0.3">
      <c r="B97" s="44">
        <v>45990</v>
      </c>
      <c r="C97" s="3" t="s">
        <v>416</v>
      </c>
      <c r="D97" s="3" t="s">
        <v>489</v>
      </c>
      <c r="E97" s="96"/>
      <c r="F97" s="4" t="s">
        <v>128</v>
      </c>
      <c r="G97" s="4">
        <v>3357202</v>
      </c>
      <c r="H97" s="3" t="s">
        <v>10</v>
      </c>
      <c r="I97" s="4">
        <v>3036204</v>
      </c>
    </row>
    <row r="98" spans="2:9" x14ac:dyDescent="0.3">
      <c r="B98" s="44">
        <v>45990</v>
      </c>
      <c r="C98" s="3" t="s">
        <v>416</v>
      </c>
      <c r="D98" s="3" t="s">
        <v>489</v>
      </c>
      <c r="E98" s="96"/>
      <c r="F98" s="4" t="s">
        <v>135</v>
      </c>
      <c r="G98" s="4">
        <v>3346603</v>
      </c>
      <c r="H98" s="3" t="s">
        <v>163</v>
      </c>
      <c r="I98" s="4">
        <v>3351802</v>
      </c>
    </row>
    <row r="99" spans="2:9" x14ac:dyDescent="0.3">
      <c r="B99" s="44">
        <v>45990</v>
      </c>
      <c r="C99" s="3" t="s">
        <v>416</v>
      </c>
      <c r="D99" s="3" t="s">
        <v>489</v>
      </c>
      <c r="E99" s="96"/>
      <c r="F99" s="4" t="s">
        <v>564</v>
      </c>
      <c r="G99" s="4">
        <v>3969804</v>
      </c>
      <c r="H99" s="3" t="s">
        <v>129</v>
      </c>
      <c r="I99" s="4">
        <v>3067503</v>
      </c>
    </row>
    <row r="100" spans="2:9" x14ac:dyDescent="0.3">
      <c r="B100" s="44">
        <v>45990</v>
      </c>
      <c r="C100" s="3" t="s">
        <v>416</v>
      </c>
      <c r="D100" s="3" t="s">
        <v>489</v>
      </c>
      <c r="E100" s="96"/>
      <c r="F100" s="4" t="s">
        <v>130</v>
      </c>
      <c r="G100" s="4">
        <v>3352405</v>
      </c>
      <c r="H100" s="3" t="s">
        <v>156</v>
      </c>
      <c r="I100" s="4">
        <v>3359200</v>
      </c>
    </row>
    <row r="101" spans="2:9" x14ac:dyDescent="0.3">
      <c r="B101" s="44">
        <v>45990</v>
      </c>
      <c r="C101" s="3" t="s">
        <v>416</v>
      </c>
      <c r="D101" s="3" t="s">
        <v>489</v>
      </c>
      <c r="E101" s="96"/>
      <c r="F101" s="4" t="s">
        <v>160</v>
      </c>
      <c r="G101" s="4">
        <v>3353008</v>
      </c>
      <c r="H101" s="3" t="s">
        <v>131</v>
      </c>
      <c r="I101" s="4">
        <v>3350605</v>
      </c>
    </row>
    <row r="102" spans="2:9" x14ac:dyDescent="0.3">
      <c r="B102" s="4"/>
      <c r="E102" s="96"/>
      <c r="F102" s="4" t="s">
        <v>418</v>
      </c>
      <c r="G102" s="4"/>
    </row>
    <row r="103" spans="2:9" x14ac:dyDescent="0.3">
      <c r="B103" s="44">
        <v>46032</v>
      </c>
      <c r="C103" s="3" t="s">
        <v>416</v>
      </c>
      <c r="D103" s="3" t="s">
        <v>489</v>
      </c>
      <c r="E103" s="96"/>
      <c r="F103" s="3" t="s">
        <v>129</v>
      </c>
      <c r="G103" s="4">
        <v>3067503</v>
      </c>
      <c r="H103" s="3" t="s">
        <v>156</v>
      </c>
      <c r="I103" s="4">
        <v>3359200</v>
      </c>
    </row>
    <row r="104" spans="2:9" x14ac:dyDescent="0.3">
      <c r="B104" s="44">
        <v>46032</v>
      </c>
      <c r="C104" s="3" t="s">
        <v>416</v>
      </c>
      <c r="D104" s="3" t="s">
        <v>489</v>
      </c>
      <c r="E104" s="96"/>
      <c r="F104" s="4" t="s">
        <v>132</v>
      </c>
      <c r="G104" s="4">
        <v>3068304</v>
      </c>
      <c r="H104" s="3" t="s">
        <v>163</v>
      </c>
      <c r="I104" s="4">
        <v>3351802</v>
      </c>
    </row>
    <row r="105" spans="2:9" x14ac:dyDescent="0.3">
      <c r="B105" s="44">
        <v>46032</v>
      </c>
      <c r="C105" s="3" t="s">
        <v>416</v>
      </c>
      <c r="D105" s="3" t="s">
        <v>489</v>
      </c>
      <c r="E105" s="96"/>
      <c r="F105" s="4" t="s">
        <v>128</v>
      </c>
      <c r="G105" s="4">
        <v>3357202</v>
      </c>
      <c r="H105" s="3" t="s">
        <v>131</v>
      </c>
      <c r="I105" s="4">
        <v>3350605</v>
      </c>
    </row>
    <row r="106" spans="2:9" x14ac:dyDescent="0.3">
      <c r="B106" s="44">
        <v>46032</v>
      </c>
      <c r="C106" s="3" t="s">
        <v>416</v>
      </c>
      <c r="D106" s="3" t="s">
        <v>489</v>
      </c>
      <c r="E106" s="96"/>
      <c r="F106" s="4" t="s">
        <v>135</v>
      </c>
      <c r="G106" s="4">
        <v>3346603</v>
      </c>
      <c r="H106" s="3" t="s">
        <v>10</v>
      </c>
      <c r="I106" s="4">
        <v>3036204</v>
      </c>
    </row>
    <row r="107" spans="2:9" x14ac:dyDescent="0.3">
      <c r="B107" s="44">
        <v>46032</v>
      </c>
      <c r="C107" s="3" t="s">
        <v>416</v>
      </c>
      <c r="D107" s="3" t="s">
        <v>489</v>
      </c>
      <c r="E107" s="96"/>
      <c r="F107" s="4" t="s">
        <v>564</v>
      </c>
      <c r="G107" s="4">
        <v>3969804</v>
      </c>
      <c r="H107" s="4" t="s">
        <v>160</v>
      </c>
      <c r="I107" s="4">
        <v>3353008</v>
      </c>
    </row>
    <row r="108" spans="2:9" x14ac:dyDescent="0.3">
      <c r="B108" s="44">
        <v>46032</v>
      </c>
      <c r="C108" s="3" t="s">
        <v>416</v>
      </c>
      <c r="D108" s="3" t="s">
        <v>489</v>
      </c>
      <c r="E108" s="96"/>
      <c r="F108" s="4" t="s">
        <v>130</v>
      </c>
      <c r="G108" s="4">
        <v>3352405</v>
      </c>
      <c r="H108" s="3" t="s">
        <v>139</v>
      </c>
      <c r="I108" s="4">
        <v>3358305</v>
      </c>
    </row>
    <row r="109" spans="2:9" x14ac:dyDescent="0.3">
      <c r="B109" s="4"/>
      <c r="E109" s="96"/>
      <c r="F109" s="4" t="s">
        <v>418</v>
      </c>
      <c r="G109" s="4"/>
    </row>
    <row r="110" spans="2:9" x14ac:dyDescent="0.3">
      <c r="B110" s="44">
        <v>46039</v>
      </c>
      <c r="C110" s="3" t="s">
        <v>416</v>
      </c>
      <c r="D110" s="3" t="s">
        <v>489</v>
      </c>
      <c r="E110" s="96"/>
      <c r="F110" s="3" t="s">
        <v>139</v>
      </c>
      <c r="G110" s="4">
        <v>3358305</v>
      </c>
      <c r="H110" s="3" t="s">
        <v>129</v>
      </c>
      <c r="I110" s="4">
        <v>3067503</v>
      </c>
    </row>
    <row r="111" spans="2:9" x14ac:dyDescent="0.3">
      <c r="B111" s="44">
        <v>46039</v>
      </c>
      <c r="C111" s="3" t="s">
        <v>416</v>
      </c>
      <c r="D111" s="3" t="s">
        <v>489</v>
      </c>
      <c r="E111" s="96"/>
      <c r="F111" s="3" t="s">
        <v>156</v>
      </c>
      <c r="G111" s="4">
        <v>3359200</v>
      </c>
      <c r="H111" s="4" t="s">
        <v>564</v>
      </c>
      <c r="I111" s="4">
        <v>3969804</v>
      </c>
    </row>
    <row r="112" spans="2:9" x14ac:dyDescent="0.3">
      <c r="B112" s="44">
        <v>46039</v>
      </c>
      <c r="C112" s="3" t="s">
        <v>416</v>
      </c>
      <c r="D112" s="3" t="s">
        <v>489</v>
      </c>
      <c r="E112" s="96"/>
      <c r="F112" s="3" t="s">
        <v>163</v>
      </c>
      <c r="G112" s="4">
        <v>3351802</v>
      </c>
      <c r="H112" s="4" t="s">
        <v>130</v>
      </c>
      <c r="I112" s="4">
        <v>3352405</v>
      </c>
    </row>
    <row r="113" spans="2:9" x14ac:dyDescent="0.3">
      <c r="B113" s="44">
        <v>46039</v>
      </c>
      <c r="C113" s="3" t="s">
        <v>416</v>
      </c>
      <c r="D113" s="3" t="s">
        <v>489</v>
      </c>
      <c r="E113" s="96"/>
      <c r="F113" s="3" t="s">
        <v>131</v>
      </c>
      <c r="G113" s="4">
        <v>3350605</v>
      </c>
      <c r="H113" s="4" t="s">
        <v>135</v>
      </c>
      <c r="I113" s="4">
        <v>3346603</v>
      </c>
    </row>
    <row r="114" spans="2:9" x14ac:dyDescent="0.3">
      <c r="B114" s="44">
        <v>46039</v>
      </c>
      <c r="C114" s="3" t="s">
        <v>416</v>
      </c>
      <c r="D114" s="3" t="s">
        <v>489</v>
      </c>
      <c r="E114" s="96"/>
      <c r="F114" s="4" t="s">
        <v>160</v>
      </c>
      <c r="G114" s="4">
        <v>3353008</v>
      </c>
      <c r="H114" s="4" t="s">
        <v>128</v>
      </c>
      <c r="I114" s="4">
        <v>3357202</v>
      </c>
    </row>
    <row r="115" spans="2:9" x14ac:dyDescent="0.3">
      <c r="B115" s="44">
        <v>46039</v>
      </c>
      <c r="C115" s="3" t="s">
        <v>416</v>
      </c>
      <c r="D115" s="3" t="s">
        <v>489</v>
      </c>
      <c r="E115" s="96"/>
      <c r="F115" s="3" t="s">
        <v>10</v>
      </c>
      <c r="G115" s="4">
        <v>3036204</v>
      </c>
      <c r="H115" s="4" t="s">
        <v>132</v>
      </c>
      <c r="I115" s="4">
        <v>3068304</v>
      </c>
    </row>
    <row r="116" spans="2:9" x14ac:dyDescent="0.3">
      <c r="B116" s="4"/>
      <c r="E116" s="96"/>
      <c r="F116" s="4" t="s">
        <v>418</v>
      </c>
      <c r="G116" s="4"/>
    </row>
    <row r="117" spans="2:9" x14ac:dyDescent="0.3">
      <c r="B117" s="44">
        <v>46046</v>
      </c>
      <c r="C117" s="3" t="s">
        <v>416</v>
      </c>
      <c r="D117" s="3" t="s">
        <v>489</v>
      </c>
      <c r="E117" s="96"/>
      <c r="F117" s="3" t="s">
        <v>129</v>
      </c>
      <c r="G117" s="4">
        <v>3067503</v>
      </c>
      <c r="H117" s="3" t="s">
        <v>163</v>
      </c>
      <c r="I117" s="4">
        <v>3351802</v>
      </c>
    </row>
    <row r="118" spans="2:9" x14ac:dyDescent="0.3">
      <c r="B118" s="44">
        <v>46046</v>
      </c>
      <c r="C118" s="3" t="s">
        <v>416</v>
      </c>
      <c r="D118" s="3" t="s">
        <v>489</v>
      </c>
      <c r="E118" s="96"/>
      <c r="F118" s="3" t="s">
        <v>156</v>
      </c>
      <c r="G118" s="4">
        <v>3359200</v>
      </c>
      <c r="H118" s="3" t="s">
        <v>139</v>
      </c>
      <c r="I118" s="4">
        <v>3358305</v>
      </c>
    </row>
    <row r="119" spans="2:9" x14ac:dyDescent="0.3">
      <c r="B119" s="44">
        <v>46046</v>
      </c>
      <c r="C119" s="3" t="s">
        <v>416</v>
      </c>
      <c r="D119" s="3" t="s">
        <v>489</v>
      </c>
      <c r="E119" s="96"/>
      <c r="F119" s="4" t="s">
        <v>132</v>
      </c>
      <c r="G119" s="4">
        <v>3068304</v>
      </c>
      <c r="H119" s="3" t="s">
        <v>131</v>
      </c>
      <c r="I119" s="4">
        <v>3350605</v>
      </c>
    </row>
    <row r="120" spans="2:9" x14ac:dyDescent="0.3">
      <c r="B120" s="44">
        <v>46046</v>
      </c>
      <c r="C120" s="3" t="s">
        <v>416</v>
      </c>
      <c r="D120" s="3" t="s">
        <v>489</v>
      </c>
      <c r="E120" s="96"/>
      <c r="F120" s="4" t="s">
        <v>128</v>
      </c>
      <c r="G120" s="4">
        <v>3357202</v>
      </c>
      <c r="H120" s="4" t="s">
        <v>564</v>
      </c>
      <c r="I120" s="4">
        <v>3969804</v>
      </c>
    </row>
    <row r="121" spans="2:9" x14ac:dyDescent="0.3">
      <c r="B121" s="44">
        <v>46046</v>
      </c>
      <c r="C121" s="3" t="s">
        <v>416</v>
      </c>
      <c r="D121" s="3" t="s">
        <v>489</v>
      </c>
      <c r="E121" s="96"/>
      <c r="F121" s="4" t="s">
        <v>135</v>
      </c>
      <c r="G121" s="4">
        <v>3346603</v>
      </c>
      <c r="H121" s="4" t="s">
        <v>160</v>
      </c>
      <c r="I121" s="4">
        <v>3353008</v>
      </c>
    </row>
    <row r="122" spans="2:9" x14ac:dyDescent="0.3">
      <c r="B122" s="44">
        <v>46046</v>
      </c>
      <c r="C122" s="3" t="s">
        <v>416</v>
      </c>
      <c r="D122" s="3" t="s">
        <v>489</v>
      </c>
      <c r="E122" s="96"/>
      <c r="F122" s="4" t="s">
        <v>130</v>
      </c>
      <c r="G122" s="4">
        <v>3352405</v>
      </c>
      <c r="H122" s="3" t="s">
        <v>10</v>
      </c>
      <c r="I122" s="4">
        <v>3036204</v>
      </c>
    </row>
    <row r="123" spans="2:9" x14ac:dyDescent="0.3">
      <c r="B123" s="4"/>
      <c r="E123" s="96"/>
      <c r="F123" s="4" t="s">
        <v>418</v>
      </c>
      <c r="G123" s="4"/>
    </row>
    <row r="124" spans="2:9" x14ac:dyDescent="0.3">
      <c r="B124" s="44">
        <v>46053</v>
      </c>
      <c r="C124" s="3" t="s">
        <v>416</v>
      </c>
      <c r="D124" s="3" t="s">
        <v>489</v>
      </c>
      <c r="E124" s="96"/>
      <c r="F124" s="4" t="s">
        <v>128</v>
      </c>
      <c r="G124" s="4">
        <v>3357202</v>
      </c>
      <c r="H124" s="4" t="s">
        <v>135</v>
      </c>
      <c r="I124" s="4">
        <v>3346603</v>
      </c>
    </row>
    <row r="125" spans="2:9" x14ac:dyDescent="0.3">
      <c r="B125" s="44">
        <v>46053</v>
      </c>
      <c r="C125" s="3" t="s">
        <v>416</v>
      </c>
      <c r="D125" s="3" t="s">
        <v>489</v>
      </c>
      <c r="E125" s="96"/>
      <c r="F125" s="3" t="s">
        <v>163</v>
      </c>
      <c r="G125" s="4">
        <v>3351802</v>
      </c>
      <c r="H125" s="3" t="s">
        <v>156</v>
      </c>
      <c r="I125" s="4">
        <v>3359200</v>
      </c>
    </row>
    <row r="126" spans="2:9" x14ac:dyDescent="0.3">
      <c r="B126" s="44">
        <v>46053</v>
      </c>
      <c r="C126" s="3" t="s">
        <v>416</v>
      </c>
      <c r="D126" s="3" t="s">
        <v>489</v>
      </c>
      <c r="E126" s="96"/>
      <c r="F126" s="4" t="s">
        <v>564</v>
      </c>
      <c r="G126" s="4">
        <v>3969804</v>
      </c>
      <c r="H126" s="3" t="s">
        <v>139</v>
      </c>
      <c r="I126" s="4">
        <v>3358305</v>
      </c>
    </row>
    <row r="127" spans="2:9" x14ac:dyDescent="0.3">
      <c r="B127" s="44">
        <v>46053</v>
      </c>
      <c r="C127" s="3" t="s">
        <v>416</v>
      </c>
      <c r="D127" s="3" t="s">
        <v>489</v>
      </c>
      <c r="E127" s="96"/>
      <c r="F127" s="3" t="s">
        <v>131</v>
      </c>
      <c r="G127" s="4">
        <v>3350605</v>
      </c>
      <c r="H127" s="4" t="s">
        <v>130</v>
      </c>
      <c r="I127" s="4">
        <v>3352405</v>
      </c>
    </row>
    <row r="128" spans="2:9" x14ac:dyDescent="0.3">
      <c r="B128" s="44">
        <v>46053</v>
      </c>
      <c r="C128" s="3" t="s">
        <v>416</v>
      </c>
      <c r="D128" s="3" t="s">
        <v>489</v>
      </c>
      <c r="E128" s="96"/>
      <c r="F128" s="4" t="s">
        <v>160</v>
      </c>
      <c r="G128" s="4">
        <v>3353008</v>
      </c>
      <c r="H128" s="4" t="s">
        <v>132</v>
      </c>
      <c r="I128" s="4">
        <v>3068304</v>
      </c>
    </row>
    <row r="129" spans="2:9" x14ac:dyDescent="0.3">
      <c r="B129" s="44">
        <v>46053</v>
      </c>
      <c r="C129" s="3" t="s">
        <v>416</v>
      </c>
      <c r="D129" s="3" t="s">
        <v>489</v>
      </c>
      <c r="E129" s="96"/>
      <c r="F129" s="3" t="s">
        <v>10</v>
      </c>
      <c r="G129" s="4">
        <v>3036204</v>
      </c>
      <c r="H129" s="3" t="s">
        <v>129</v>
      </c>
      <c r="I129" s="4">
        <v>3067503</v>
      </c>
    </row>
    <row r="130" spans="2:9" x14ac:dyDescent="0.3">
      <c r="B130" s="4"/>
      <c r="E130" s="96"/>
      <c r="F130" s="4"/>
      <c r="G130" s="4"/>
    </row>
    <row r="131" spans="2:9" x14ac:dyDescent="0.3">
      <c r="B131" s="44">
        <v>46060</v>
      </c>
      <c r="C131" s="3" t="s">
        <v>416</v>
      </c>
      <c r="D131" s="3" t="s">
        <v>489</v>
      </c>
      <c r="E131" s="96"/>
      <c r="F131" s="3" t="s">
        <v>129</v>
      </c>
      <c r="G131" s="4">
        <v>3067503</v>
      </c>
      <c r="H131" s="3" t="s">
        <v>131</v>
      </c>
      <c r="I131" s="4">
        <v>3350605</v>
      </c>
    </row>
    <row r="132" spans="2:9" x14ac:dyDescent="0.3">
      <c r="B132" s="44">
        <v>46060</v>
      </c>
      <c r="C132" s="3" t="s">
        <v>416</v>
      </c>
      <c r="D132" s="3" t="s">
        <v>489</v>
      </c>
      <c r="E132" s="96"/>
      <c r="F132" s="3" t="s">
        <v>139</v>
      </c>
      <c r="G132" s="4">
        <v>3358305</v>
      </c>
      <c r="H132" s="3" t="s">
        <v>163</v>
      </c>
      <c r="I132" s="4">
        <v>3351802</v>
      </c>
    </row>
    <row r="133" spans="2:9" x14ac:dyDescent="0.3">
      <c r="B133" s="44">
        <v>46060</v>
      </c>
      <c r="C133" s="3" t="s">
        <v>416</v>
      </c>
      <c r="D133" s="3" t="s">
        <v>489</v>
      </c>
      <c r="E133" s="96"/>
      <c r="F133" s="3" t="s">
        <v>156</v>
      </c>
      <c r="G133" s="4">
        <v>3359200</v>
      </c>
      <c r="H133" s="3" t="s">
        <v>10</v>
      </c>
      <c r="I133" s="4">
        <v>3036204</v>
      </c>
    </row>
    <row r="134" spans="2:9" x14ac:dyDescent="0.3">
      <c r="B134" s="44">
        <v>46060</v>
      </c>
      <c r="C134" s="3" t="s">
        <v>416</v>
      </c>
      <c r="D134" s="3" t="s">
        <v>489</v>
      </c>
      <c r="E134" s="96"/>
      <c r="F134" s="4" t="s">
        <v>132</v>
      </c>
      <c r="G134" s="4">
        <v>3068304</v>
      </c>
      <c r="H134" s="4" t="s">
        <v>128</v>
      </c>
      <c r="I134" s="4">
        <v>3357202</v>
      </c>
    </row>
    <row r="135" spans="2:9" x14ac:dyDescent="0.3">
      <c r="B135" s="44">
        <v>46060</v>
      </c>
      <c r="C135" s="3" t="s">
        <v>416</v>
      </c>
      <c r="D135" s="3" t="s">
        <v>489</v>
      </c>
      <c r="E135" s="96"/>
      <c r="F135" s="4" t="s">
        <v>135</v>
      </c>
      <c r="G135" s="4">
        <v>3346603</v>
      </c>
      <c r="H135" s="4" t="s">
        <v>564</v>
      </c>
      <c r="I135" s="4">
        <v>3969804</v>
      </c>
    </row>
    <row r="136" spans="2:9" x14ac:dyDescent="0.3">
      <c r="B136" s="44">
        <v>46060</v>
      </c>
      <c r="C136" s="3" t="s">
        <v>416</v>
      </c>
      <c r="D136" s="3" t="s">
        <v>489</v>
      </c>
      <c r="E136" s="96"/>
      <c r="F136" s="4" t="s">
        <v>130</v>
      </c>
      <c r="G136" s="4">
        <v>3352405</v>
      </c>
      <c r="H136" s="4" t="s">
        <v>160</v>
      </c>
      <c r="I136" s="4">
        <v>3353008</v>
      </c>
    </row>
    <row r="137" spans="2:9" x14ac:dyDescent="0.3">
      <c r="B137" s="4"/>
      <c r="E137" s="96"/>
      <c r="F137" s="4" t="s">
        <v>418</v>
      </c>
      <c r="G137" s="4"/>
    </row>
    <row r="138" spans="2:9" x14ac:dyDescent="0.3">
      <c r="B138" s="44">
        <v>46074</v>
      </c>
      <c r="C138" s="3" t="s">
        <v>416</v>
      </c>
      <c r="D138" s="3" t="s">
        <v>489</v>
      </c>
      <c r="E138" s="96"/>
      <c r="F138" s="4" t="s">
        <v>128</v>
      </c>
      <c r="G138" s="4">
        <v>3357202</v>
      </c>
      <c r="H138" s="4" t="s">
        <v>130</v>
      </c>
      <c r="I138" s="4">
        <v>3352405</v>
      </c>
    </row>
    <row r="139" spans="2:9" x14ac:dyDescent="0.3">
      <c r="B139" s="44">
        <v>46074</v>
      </c>
      <c r="C139" s="3" t="s">
        <v>416</v>
      </c>
      <c r="D139" s="3" t="s">
        <v>489</v>
      </c>
      <c r="E139" s="96"/>
      <c r="F139" s="4" t="s">
        <v>135</v>
      </c>
      <c r="G139" s="4">
        <v>3346603</v>
      </c>
      <c r="H139" s="4" t="s">
        <v>132</v>
      </c>
      <c r="I139" s="4">
        <v>3068304</v>
      </c>
    </row>
    <row r="140" spans="2:9" x14ac:dyDescent="0.3">
      <c r="B140" s="44">
        <v>46074</v>
      </c>
      <c r="C140" s="3" t="s">
        <v>416</v>
      </c>
      <c r="D140" s="3" t="s">
        <v>489</v>
      </c>
      <c r="E140" s="96"/>
      <c r="F140" s="4" t="s">
        <v>564</v>
      </c>
      <c r="G140" s="4">
        <v>3969804</v>
      </c>
      <c r="H140" s="3" t="s">
        <v>163</v>
      </c>
      <c r="I140" s="4">
        <v>3351802</v>
      </c>
    </row>
    <row r="141" spans="2:9" x14ac:dyDescent="0.3">
      <c r="B141" s="44">
        <v>46074</v>
      </c>
      <c r="C141" s="3" t="s">
        <v>416</v>
      </c>
      <c r="D141" s="3" t="s">
        <v>489</v>
      </c>
      <c r="E141" s="96"/>
      <c r="F141" s="3" t="s">
        <v>131</v>
      </c>
      <c r="G141" s="4">
        <v>3350605</v>
      </c>
      <c r="H141" s="3" t="s">
        <v>156</v>
      </c>
      <c r="I141" s="4">
        <v>3359200</v>
      </c>
    </row>
    <row r="142" spans="2:9" x14ac:dyDescent="0.3">
      <c r="B142" s="44">
        <v>46074</v>
      </c>
      <c r="C142" s="3" t="s">
        <v>416</v>
      </c>
      <c r="D142" s="3" t="s">
        <v>489</v>
      </c>
      <c r="E142" s="96"/>
      <c r="F142" s="4" t="s">
        <v>160</v>
      </c>
      <c r="G142" s="4">
        <v>3353008</v>
      </c>
      <c r="H142" s="3" t="s">
        <v>129</v>
      </c>
      <c r="I142" s="4">
        <v>3067503</v>
      </c>
    </row>
    <row r="143" spans="2:9" x14ac:dyDescent="0.3">
      <c r="B143" s="44">
        <v>46074</v>
      </c>
      <c r="C143" s="3" t="s">
        <v>416</v>
      </c>
      <c r="D143" s="3" t="s">
        <v>489</v>
      </c>
      <c r="E143" s="96"/>
      <c r="F143" s="3" t="s">
        <v>10</v>
      </c>
      <c r="G143" s="4">
        <v>3036204</v>
      </c>
      <c r="H143" s="3" t="s">
        <v>139</v>
      </c>
      <c r="I143" s="4">
        <v>3358305</v>
      </c>
    </row>
    <row r="144" spans="2:9" x14ac:dyDescent="0.3">
      <c r="B144" s="4"/>
      <c r="E144" s="96"/>
      <c r="F144" s="4" t="s">
        <v>418</v>
      </c>
      <c r="G144" s="4"/>
    </row>
    <row r="145" spans="2:9" x14ac:dyDescent="0.3">
      <c r="B145" s="44">
        <v>46081</v>
      </c>
      <c r="C145" s="3" t="s">
        <v>416</v>
      </c>
      <c r="D145" s="3" t="s">
        <v>489</v>
      </c>
      <c r="E145" s="96"/>
      <c r="F145" s="3" t="s">
        <v>129</v>
      </c>
      <c r="G145" s="4">
        <v>3067503</v>
      </c>
      <c r="H145" s="4" t="s">
        <v>128</v>
      </c>
      <c r="I145" s="4">
        <v>3357202</v>
      </c>
    </row>
    <row r="146" spans="2:9" x14ac:dyDescent="0.3">
      <c r="B146" s="44">
        <v>46081</v>
      </c>
      <c r="C146" s="3" t="s">
        <v>416</v>
      </c>
      <c r="D146" s="3" t="s">
        <v>489</v>
      </c>
      <c r="E146" s="96"/>
      <c r="F146" s="3" t="s">
        <v>139</v>
      </c>
      <c r="G146" s="4">
        <v>3358305</v>
      </c>
      <c r="H146" s="3" t="s">
        <v>131</v>
      </c>
      <c r="I146" s="4">
        <v>3350605</v>
      </c>
    </row>
    <row r="147" spans="2:9" x14ac:dyDescent="0.3">
      <c r="B147" s="44">
        <v>46081</v>
      </c>
      <c r="C147" s="3" t="s">
        <v>416</v>
      </c>
      <c r="D147" s="3" t="s">
        <v>489</v>
      </c>
      <c r="E147" s="96"/>
      <c r="F147" s="3" t="s">
        <v>156</v>
      </c>
      <c r="G147" s="4">
        <v>3359200</v>
      </c>
      <c r="H147" s="4" t="s">
        <v>160</v>
      </c>
      <c r="I147" s="4">
        <v>3353008</v>
      </c>
    </row>
    <row r="148" spans="2:9" x14ac:dyDescent="0.3">
      <c r="B148" s="44">
        <v>46081</v>
      </c>
      <c r="C148" s="3" t="s">
        <v>416</v>
      </c>
      <c r="D148" s="3" t="s">
        <v>489</v>
      </c>
      <c r="E148" s="96"/>
      <c r="F148" s="4" t="s">
        <v>132</v>
      </c>
      <c r="G148" s="4">
        <v>3068304</v>
      </c>
      <c r="H148" s="4" t="s">
        <v>564</v>
      </c>
      <c r="I148" s="4">
        <v>3969804</v>
      </c>
    </row>
    <row r="149" spans="2:9" x14ac:dyDescent="0.3">
      <c r="B149" s="44">
        <v>46081</v>
      </c>
      <c r="C149" s="3" t="s">
        <v>416</v>
      </c>
      <c r="D149" s="3" t="s">
        <v>489</v>
      </c>
      <c r="E149" s="96"/>
      <c r="F149" s="3" t="s">
        <v>163</v>
      </c>
      <c r="G149" s="4">
        <v>3351802</v>
      </c>
      <c r="H149" s="3" t="s">
        <v>10</v>
      </c>
      <c r="I149" s="4">
        <v>3036204</v>
      </c>
    </row>
    <row r="150" spans="2:9" x14ac:dyDescent="0.3">
      <c r="B150" s="44">
        <v>46081</v>
      </c>
      <c r="C150" s="3" t="s">
        <v>416</v>
      </c>
      <c r="D150" s="3" t="s">
        <v>489</v>
      </c>
      <c r="E150" s="96"/>
      <c r="F150" s="4" t="s">
        <v>130</v>
      </c>
      <c r="G150" s="4">
        <v>3352405</v>
      </c>
      <c r="H150" s="4" t="s">
        <v>135</v>
      </c>
      <c r="I150" s="4">
        <v>3346603</v>
      </c>
    </row>
    <row r="151" spans="2:9" x14ac:dyDescent="0.3">
      <c r="B151" s="4"/>
      <c r="E151" s="96"/>
      <c r="F151" s="4" t="s">
        <v>418</v>
      </c>
      <c r="G151" s="4"/>
    </row>
    <row r="152" spans="2:9" x14ac:dyDescent="0.3">
      <c r="B152" s="44">
        <v>46088</v>
      </c>
      <c r="C152" s="3" t="s">
        <v>416</v>
      </c>
      <c r="D152" s="3" t="s">
        <v>489</v>
      </c>
      <c r="E152" s="96"/>
      <c r="F152" s="4" t="s">
        <v>132</v>
      </c>
      <c r="G152" s="4">
        <v>3068304</v>
      </c>
      <c r="H152" s="4" t="s">
        <v>130</v>
      </c>
      <c r="I152" s="4">
        <v>3352405</v>
      </c>
    </row>
    <row r="153" spans="2:9" x14ac:dyDescent="0.3">
      <c r="B153" s="44">
        <v>46088</v>
      </c>
      <c r="C153" s="3" t="s">
        <v>416</v>
      </c>
      <c r="D153" s="3" t="s">
        <v>489</v>
      </c>
      <c r="E153" s="96"/>
      <c r="F153" s="4" t="s">
        <v>128</v>
      </c>
      <c r="G153" s="4">
        <v>3357202</v>
      </c>
      <c r="H153" s="3" t="s">
        <v>156</v>
      </c>
      <c r="I153" s="4">
        <v>3359200</v>
      </c>
    </row>
    <row r="154" spans="2:9" x14ac:dyDescent="0.3">
      <c r="B154" s="44">
        <v>46088</v>
      </c>
      <c r="C154" s="3" t="s">
        <v>416</v>
      </c>
      <c r="D154" s="3" t="s">
        <v>489</v>
      </c>
      <c r="E154" s="96"/>
      <c r="F154" s="4" t="s">
        <v>135</v>
      </c>
      <c r="G154" s="4">
        <v>3346603</v>
      </c>
      <c r="H154" s="3" t="s">
        <v>129</v>
      </c>
      <c r="I154" s="4">
        <v>3067503</v>
      </c>
    </row>
    <row r="155" spans="2:9" x14ac:dyDescent="0.3">
      <c r="B155" s="44">
        <v>46088</v>
      </c>
      <c r="C155" s="3" t="s">
        <v>416</v>
      </c>
      <c r="D155" s="3" t="s">
        <v>489</v>
      </c>
      <c r="E155" s="96"/>
      <c r="F155" s="4" t="s">
        <v>564</v>
      </c>
      <c r="G155" s="4">
        <v>3969804</v>
      </c>
      <c r="H155" s="3" t="s">
        <v>10</v>
      </c>
      <c r="I155" s="4">
        <v>3036204</v>
      </c>
    </row>
    <row r="156" spans="2:9" x14ac:dyDescent="0.3">
      <c r="B156" s="44">
        <v>46088</v>
      </c>
      <c r="C156" s="3" t="s">
        <v>416</v>
      </c>
      <c r="D156" s="3" t="s">
        <v>489</v>
      </c>
      <c r="E156" s="96"/>
      <c r="F156" s="3" t="s">
        <v>131</v>
      </c>
      <c r="G156" s="4">
        <v>3350605</v>
      </c>
      <c r="H156" s="3" t="s">
        <v>163</v>
      </c>
      <c r="I156" s="4">
        <v>3351802</v>
      </c>
    </row>
    <row r="157" spans="2:9" x14ac:dyDescent="0.3">
      <c r="B157" s="44">
        <v>46088</v>
      </c>
      <c r="C157" s="3" t="s">
        <v>416</v>
      </c>
      <c r="D157" s="3" t="s">
        <v>489</v>
      </c>
      <c r="E157" s="96"/>
      <c r="F157" s="4" t="s">
        <v>160</v>
      </c>
      <c r="G157" s="4">
        <v>3353008</v>
      </c>
      <c r="H157" s="3" t="s">
        <v>139</v>
      </c>
      <c r="I157" s="4">
        <v>3358305</v>
      </c>
    </row>
    <row r="158" spans="2:9" x14ac:dyDescent="0.3">
      <c r="B158" s="4"/>
      <c r="E158" s="96"/>
      <c r="F158" s="4" t="s">
        <v>418</v>
      </c>
      <c r="G158" s="4"/>
    </row>
    <row r="159" spans="2:9" x14ac:dyDescent="0.3">
      <c r="B159" s="44">
        <v>46095</v>
      </c>
      <c r="C159" s="3" t="s">
        <v>416</v>
      </c>
      <c r="D159" s="3" t="s">
        <v>489</v>
      </c>
      <c r="E159" s="96"/>
      <c r="F159" s="3" t="s">
        <v>129</v>
      </c>
      <c r="G159" s="4">
        <v>3067503</v>
      </c>
      <c r="H159" s="4" t="s">
        <v>132</v>
      </c>
      <c r="I159" s="4">
        <v>3068304</v>
      </c>
    </row>
    <row r="160" spans="2:9" x14ac:dyDescent="0.3">
      <c r="B160" s="44">
        <v>46095</v>
      </c>
      <c r="C160" s="3" t="s">
        <v>416</v>
      </c>
      <c r="D160" s="3" t="s">
        <v>489</v>
      </c>
      <c r="E160" s="96"/>
      <c r="F160" s="3" t="s">
        <v>139</v>
      </c>
      <c r="G160" s="4">
        <v>3358305</v>
      </c>
      <c r="H160" s="4" t="s">
        <v>128</v>
      </c>
      <c r="I160" s="4">
        <v>3357202</v>
      </c>
    </row>
    <row r="161" spans="2:9" x14ac:dyDescent="0.3">
      <c r="B161" s="44">
        <v>46095</v>
      </c>
      <c r="C161" s="3" t="s">
        <v>416</v>
      </c>
      <c r="D161" s="3" t="s">
        <v>489</v>
      </c>
      <c r="E161" s="96"/>
      <c r="F161" s="3" t="s">
        <v>156</v>
      </c>
      <c r="G161" s="4">
        <v>3359200</v>
      </c>
      <c r="H161" s="4" t="s">
        <v>135</v>
      </c>
      <c r="I161" s="4">
        <v>3346603</v>
      </c>
    </row>
    <row r="162" spans="2:9" x14ac:dyDescent="0.3">
      <c r="B162" s="44">
        <v>46095</v>
      </c>
      <c r="C162" s="3" t="s">
        <v>416</v>
      </c>
      <c r="D162" s="3" t="s">
        <v>489</v>
      </c>
      <c r="E162" s="96"/>
      <c r="F162" s="3" t="s">
        <v>163</v>
      </c>
      <c r="G162" s="4">
        <v>3351802</v>
      </c>
      <c r="H162" s="4" t="s">
        <v>160</v>
      </c>
      <c r="I162" s="4">
        <v>3353008</v>
      </c>
    </row>
    <row r="163" spans="2:9" x14ac:dyDescent="0.3">
      <c r="B163" s="44">
        <v>46095</v>
      </c>
      <c r="C163" s="3" t="s">
        <v>416</v>
      </c>
      <c r="D163" s="3" t="s">
        <v>489</v>
      </c>
      <c r="E163" s="96"/>
      <c r="F163" s="4" t="s">
        <v>130</v>
      </c>
      <c r="G163" s="4">
        <v>3352405</v>
      </c>
      <c r="H163" s="4" t="s">
        <v>564</v>
      </c>
      <c r="I163" s="4">
        <v>3969804</v>
      </c>
    </row>
    <row r="164" spans="2:9" x14ac:dyDescent="0.3">
      <c r="B164" s="44">
        <v>46095</v>
      </c>
      <c r="C164" s="3" t="s">
        <v>416</v>
      </c>
      <c r="D164" s="3" t="s">
        <v>489</v>
      </c>
      <c r="E164" s="96"/>
      <c r="F164" s="3" t="s">
        <v>10</v>
      </c>
      <c r="G164" s="4">
        <v>3036204</v>
      </c>
      <c r="H164" s="3" t="s">
        <v>131</v>
      </c>
      <c r="I164" s="4">
        <v>3350605</v>
      </c>
    </row>
    <row r="165" spans="2:9" x14ac:dyDescent="0.3">
      <c r="B165" s="4"/>
      <c r="E165" s="96"/>
      <c r="F165" s="4" t="s">
        <v>418</v>
      </c>
      <c r="G165" s="4"/>
    </row>
    <row r="166" spans="2:9" x14ac:dyDescent="0.3">
      <c r="B166" s="44">
        <v>46102</v>
      </c>
      <c r="C166" s="3" t="s">
        <v>416</v>
      </c>
      <c r="D166" s="3" t="s">
        <v>489</v>
      </c>
      <c r="E166" s="96"/>
      <c r="F166" s="4" t="s">
        <v>132</v>
      </c>
      <c r="G166" s="4">
        <v>3068304</v>
      </c>
      <c r="H166" s="3" t="s">
        <v>156</v>
      </c>
      <c r="I166" s="4">
        <v>3359200</v>
      </c>
    </row>
    <row r="167" spans="2:9" x14ac:dyDescent="0.3">
      <c r="B167" s="44">
        <v>46102</v>
      </c>
      <c r="C167" s="3" t="s">
        <v>416</v>
      </c>
      <c r="D167" s="3" t="s">
        <v>489</v>
      </c>
      <c r="E167" s="96"/>
      <c r="F167" s="4" t="s">
        <v>128</v>
      </c>
      <c r="G167" s="4">
        <v>3357202</v>
      </c>
      <c r="H167" s="3" t="s">
        <v>163</v>
      </c>
      <c r="I167" s="4">
        <v>3351802</v>
      </c>
    </row>
    <row r="168" spans="2:9" x14ac:dyDescent="0.3">
      <c r="B168" s="44">
        <v>46102</v>
      </c>
      <c r="C168" s="3" t="s">
        <v>416</v>
      </c>
      <c r="D168" s="3" t="s">
        <v>489</v>
      </c>
      <c r="E168" s="96"/>
      <c r="F168" s="4" t="s">
        <v>135</v>
      </c>
      <c r="G168" s="4">
        <v>3346603</v>
      </c>
      <c r="H168" s="3" t="s">
        <v>139</v>
      </c>
      <c r="I168" s="4">
        <v>3358305</v>
      </c>
    </row>
    <row r="169" spans="2:9" x14ac:dyDescent="0.3">
      <c r="B169" s="44">
        <v>46102</v>
      </c>
      <c r="C169" s="3" t="s">
        <v>416</v>
      </c>
      <c r="D169" s="3" t="s">
        <v>489</v>
      </c>
      <c r="E169" s="96"/>
      <c r="F169" s="4" t="s">
        <v>564</v>
      </c>
      <c r="G169" s="4">
        <v>3969804</v>
      </c>
      <c r="H169" s="3" t="s">
        <v>131</v>
      </c>
      <c r="I169" s="4">
        <v>3350605</v>
      </c>
    </row>
    <row r="170" spans="2:9" x14ac:dyDescent="0.3">
      <c r="B170" s="44">
        <v>46102</v>
      </c>
      <c r="C170" s="3" t="s">
        <v>416</v>
      </c>
      <c r="D170" s="3" t="s">
        <v>489</v>
      </c>
      <c r="E170" s="96"/>
      <c r="F170" s="4" t="s">
        <v>130</v>
      </c>
      <c r="G170" s="4">
        <v>3352405</v>
      </c>
      <c r="H170" s="3" t="s">
        <v>129</v>
      </c>
      <c r="I170" s="4">
        <v>3067503</v>
      </c>
    </row>
    <row r="171" spans="2:9" x14ac:dyDescent="0.3">
      <c r="B171" s="44">
        <v>46102</v>
      </c>
      <c r="C171" s="3" t="s">
        <v>416</v>
      </c>
      <c r="D171" s="3" t="s">
        <v>489</v>
      </c>
      <c r="E171" s="96"/>
      <c r="F171" s="4" t="s">
        <v>160</v>
      </c>
      <c r="G171" s="4">
        <v>3353008</v>
      </c>
      <c r="H171" s="3" t="s">
        <v>10</v>
      </c>
      <c r="I171" s="4">
        <v>3036204</v>
      </c>
    </row>
    <row r="172" spans="2:9" x14ac:dyDescent="0.3">
      <c r="B172" s="4"/>
      <c r="E172" s="96"/>
      <c r="F172" s="4" t="s">
        <v>418</v>
      </c>
      <c r="G172" s="4"/>
    </row>
    <row r="173" spans="2:9" x14ac:dyDescent="0.3">
      <c r="B173" s="44">
        <v>46109</v>
      </c>
      <c r="C173" s="3" t="s">
        <v>416</v>
      </c>
      <c r="D173" s="3" t="s">
        <v>489</v>
      </c>
      <c r="E173" s="96"/>
      <c r="F173" s="3" t="s">
        <v>129</v>
      </c>
      <c r="G173" s="4">
        <v>3067503</v>
      </c>
      <c r="H173" s="4" t="s">
        <v>564</v>
      </c>
      <c r="I173" s="4">
        <v>3969804</v>
      </c>
    </row>
    <row r="174" spans="2:9" x14ac:dyDescent="0.3">
      <c r="B174" s="44">
        <v>46109</v>
      </c>
      <c r="C174" s="3" t="s">
        <v>416</v>
      </c>
      <c r="D174" s="3" t="s">
        <v>489</v>
      </c>
      <c r="E174" s="96"/>
      <c r="F174" s="3" t="s">
        <v>139</v>
      </c>
      <c r="G174" s="4">
        <v>3358305</v>
      </c>
      <c r="H174" s="4" t="s">
        <v>132</v>
      </c>
      <c r="I174" s="4">
        <v>3068304</v>
      </c>
    </row>
    <row r="175" spans="2:9" x14ac:dyDescent="0.3">
      <c r="B175" s="44">
        <v>46109</v>
      </c>
      <c r="C175" s="3" t="s">
        <v>416</v>
      </c>
      <c r="D175" s="3" t="s">
        <v>489</v>
      </c>
      <c r="E175" s="96"/>
      <c r="F175" s="3" t="s">
        <v>156</v>
      </c>
      <c r="G175" s="4">
        <v>3359200</v>
      </c>
      <c r="H175" s="4" t="s">
        <v>130</v>
      </c>
      <c r="I175" s="4">
        <v>3352405</v>
      </c>
    </row>
    <row r="176" spans="2:9" x14ac:dyDescent="0.3">
      <c r="B176" s="44">
        <v>46109</v>
      </c>
      <c r="C176" s="3" t="s">
        <v>416</v>
      </c>
      <c r="D176" s="3" t="s">
        <v>489</v>
      </c>
      <c r="E176" s="96"/>
      <c r="F176" s="3" t="s">
        <v>163</v>
      </c>
      <c r="G176" s="4">
        <v>3351802</v>
      </c>
      <c r="H176" s="4" t="s">
        <v>135</v>
      </c>
      <c r="I176" s="4">
        <v>3346603</v>
      </c>
    </row>
    <row r="177" spans="2:9" x14ac:dyDescent="0.3">
      <c r="B177" s="44">
        <v>46109</v>
      </c>
      <c r="C177" s="3" t="s">
        <v>416</v>
      </c>
      <c r="D177" s="3" t="s">
        <v>489</v>
      </c>
      <c r="E177" s="96"/>
      <c r="F177" s="3" t="s">
        <v>131</v>
      </c>
      <c r="G177" s="4">
        <v>3350605</v>
      </c>
      <c r="H177" s="4" t="s">
        <v>160</v>
      </c>
      <c r="I177" s="4">
        <v>3353008</v>
      </c>
    </row>
    <row r="178" spans="2:9" x14ac:dyDescent="0.3">
      <c r="B178" s="44">
        <v>46109</v>
      </c>
      <c r="C178" s="3" t="s">
        <v>416</v>
      </c>
      <c r="D178" s="3" t="s">
        <v>489</v>
      </c>
      <c r="E178" s="96"/>
      <c r="F178" s="3" t="s">
        <v>10</v>
      </c>
      <c r="G178" s="4">
        <v>3036204</v>
      </c>
      <c r="H178" s="4" t="s">
        <v>128</v>
      </c>
      <c r="I178" s="4">
        <v>3357202</v>
      </c>
    </row>
  </sheetData>
  <sortState xmlns:xlrd2="http://schemas.microsoft.com/office/spreadsheetml/2017/richdata2" ref="A10:AQ21">
    <sortCondition ref="B10:B21"/>
  </sortState>
  <mergeCells count="1">
    <mergeCell ref="K5:K6"/>
  </mergeCells>
  <conditionalFormatting sqref="B9">
    <cfRule type="duplicateValues" dxfId="5880" priority="19"/>
  </conditionalFormatting>
  <conditionalFormatting sqref="B10:B11 B14:B16 B18:B21">
    <cfRule type="duplicateValues" dxfId="5879" priority="2486"/>
  </conditionalFormatting>
  <conditionalFormatting sqref="I9:I21">
    <cfRule type="containsText" dxfId="5878" priority="6" operator="containsText" text="Code">
      <formula>NOT(ISERROR(SEARCH("Code",I9)))</formula>
    </cfRule>
    <cfRule type="containsText" dxfId="5877" priority="11" operator="containsText" text="c'[Fixtures All.xlsx]Women Filtered'!$F$2">
      <formula>NOT(ISERROR(SEARCH("c'[Fixtures All.xlsx]Women Filtered'!$F$2",I9)))</formula>
    </cfRule>
  </conditionalFormatting>
  <conditionalFormatting sqref="I10:L21">
    <cfRule type="cellIs" dxfId="5876" priority="4" operator="lessThan">
      <formula>5</formula>
    </cfRule>
    <cfRule type="cellIs" dxfId="5875" priority="5" operator="greaterThan">
      <formula>6</formula>
    </cfRule>
  </conditionalFormatting>
  <conditionalFormatting sqref="J10:J21">
    <cfRule type="containsText" dxfId="5874" priority="1" operator="containsText" text="c'[Fixtures All.xlsx]Women Filtered'!$F$2">
      <formula>NOT(ISERROR(SEARCH("c'[Fixtures All.xlsx]Women Filtered'!$F$2",J10)))</formula>
    </cfRule>
  </conditionalFormatting>
  <conditionalFormatting sqref="K3:K4 K7:K8">
    <cfRule type="duplicateValues" dxfId="5873" priority="21"/>
  </conditionalFormatting>
  <conditionalFormatting sqref="K5">
    <cfRule type="duplicateValues" dxfId="5872" priority="16"/>
  </conditionalFormatting>
  <conditionalFormatting sqref="K9:K21">
    <cfRule type="containsText" dxfId="5871" priority="3" operator="containsText" text="c'[Fixtures All.xlsx]Women Filtered'!$F$2">
      <formula>NOT(ISERROR(SEARCH("c'[Fixtures All.xlsx]Women Filtered'!$F$2",K9)))</formula>
    </cfRule>
  </conditionalFormatting>
  <conditionalFormatting sqref="K10:K21">
    <cfRule type="containsText" dxfId="5870" priority="2" operator="containsText" text="Code">
      <formula>NOT(ISERROR(SEARCH("Code",K10)))</formula>
    </cfRule>
  </conditionalFormatting>
  <conditionalFormatting sqref="L10:L21">
    <cfRule type="containsText" dxfId="5869" priority="7" operator="containsText" text="c'[Fixtures All.xlsx]Women Filtered'!$F$2">
      <formula>NOT(ISERROR(SEARCH("c'[Fixtures All.xlsx]Women Filtered'!$F$2",L10)))</formula>
    </cfRule>
  </conditionalFormatting>
  <hyperlinks>
    <hyperlink ref="K3" location="Contents!A1" display="Back to Contents" xr:uid="{0731F4AC-6B83-45A5-8C6D-12E57E9B219D}"/>
    <hyperlink ref="K5:K6" location="'All Fixtures'!A1" display="See all NW Fixtures" xr:uid="{C5689CF1-5501-4A4F-9F25-D46A7BC384F5}"/>
  </hyperlinks>
  <pageMargins left="0.7" right="0.7" top="0.75" bottom="0.75" header="0.3" footer="0.3"/>
  <ignoredErrors>
    <ignoredError sqref="J10:J21 K10:K21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Contents</vt:lpstr>
      <vt:lpstr>Men's Structure</vt:lpstr>
      <vt:lpstr>Women's Structure</vt:lpstr>
      <vt:lpstr>All Fixtures</vt:lpstr>
      <vt:lpstr>MPrem</vt:lpstr>
      <vt:lpstr>M1</vt:lpstr>
      <vt:lpstr>M2</vt:lpstr>
      <vt:lpstr>M3N</vt:lpstr>
      <vt:lpstr>M3S</vt:lpstr>
      <vt:lpstr>M4E</vt:lpstr>
      <vt:lpstr>M4N</vt:lpstr>
      <vt:lpstr>M4W</vt:lpstr>
      <vt:lpstr>M5E</vt:lpstr>
      <vt:lpstr>M5N</vt:lpstr>
      <vt:lpstr>M5SC</vt:lpstr>
      <vt:lpstr>M5WN</vt:lpstr>
      <vt:lpstr>M5WS</vt:lpstr>
      <vt:lpstr>M6E</vt:lpstr>
      <vt:lpstr>M6WS</vt:lpstr>
      <vt:lpstr>M6SC</vt:lpstr>
      <vt:lpstr>M7E</vt:lpstr>
      <vt:lpstr>M67E x3</vt:lpstr>
      <vt:lpstr>M7SC</vt:lpstr>
      <vt:lpstr>WPrem</vt:lpstr>
      <vt:lpstr>W1</vt:lpstr>
      <vt:lpstr>W2N</vt:lpstr>
      <vt:lpstr>W2S</vt:lpstr>
      <vt:lpstr>W3S</vt:lpstr>
      <vt:lpstr>W3N</vt:lpstr>
      <vt:lpstr>W5SC</vt:lpstr>
      <vt:lpstr>W3NC</vt:lpstr>
      <vt:lpstr>W4E</vt:lpstr>
      <vt:lpstr>W4NC</vt:lpstr>
      <vt:lpstr>W4W</vt:lpstr>
      <vt:lpstr>W5E</vt:lpstr>
      <vt:lpstr>W5NC</vt:lpstr>
      <vt:lpstr>W5W</vt:lpstr>
      <vt:lpstr>W6E</vt:lpstr>
      <vt:lpstr>W6SC</vt:lpstr>
      <vt:lpstr>W6WN</vt:lpstr>
      <vt:lpstr>W6WS</vt:lpstr>
      <vt:lpstr>W7E</vt:lpstr>
      <vt:lpstr>W7SC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Leighan Bleasdale</dc:creator>
  <cp:lastModifiedBy>Leighan Bleasdale</cp:lastModifiedBy>
  <cp:lastPrinted>2022-04-07T17:25:33Z</cp:lastPrinted>
  <dcterms:created xsi:type="dcterms:W3CDTF">2020-05-18T14:22:48Z</dcterms:created>
  <dcterms:modified xsi:type="dcterms:W3CDTF">2025-07-12T10:49:29Z</dcterms:modified>
</cp:coreProperties>
</file>